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12" yWindow="300" windowWidth="15360" windowHeight="4488" tabRatio="845" firstSheet="6" activeTab="13"/>
  </bookViews>
  <sheets>
    <sheet name="WP-1" sheetId="50" r:id="rId1"/>
    <sheet name="WP-2" sheetId="19" r:id="rId2"/>
    <sheet name="WP-3" sheetId="18" r:id="rId3"/>
    <sheet name="WP-4" sheetId="60" r:id="rId4"/>
    <sheet name="WP-5a" sheetId="14" r:id="rId5"/>
    <sheet name="WP-5b" sheetId="15" r:id="rId6"/>
    <sheet name="WP-5c" sheetId="43" r:id="rId7"/>
    <sheet name="WP-6a" sheetId="44" r:id="rId8"/>
    <sheet name="WP-6b" sheetId="11" r:id="rId9"/>
    <sheet name="WP-6c" sheetId="12" r:id="rId10"/>
    <sheet name="WP-6d" sheetId="38" r:id="rId11"/>
    <sheet name="WP-7" sheetId="62" r:id="rId12"/>
    <sheet name="WP-8a" sheetId="66" r:id="rId13"/>
    <sheet name="WP-8ai" sheetId="67" r:id="rId14"/>
    <sheet name="WP-8b" sheetId="8" r:id="rId15"/>
    <sheet name="WP-8c" sheetId="49" r:id="rId16"/>
    <sheet name="WP-9a" sheetId="6" r:id="rId17"/>
    <sheet name="WP-9b" sheetId="5" r:id="rId18"/>
    <sheet name="WP-10a" sheetId="25" r:id="rId19"/>
    <sheet name="WP-11" sheetId="22" r:id="rId20"/>
    <sheet name="WP-12a" sheetId="48" r:id="rId21"/>
    <sheet name="WP-12b" sheetId="40" r:id="rId22"/>
    <sheet name="WP-13" sheetId="21" r:id="rId23"/>
    <sheet name="WP-13a" sheetId="57" r:id="rId24"/>
    <sheet name="WP-14" sheetId="3" r:id="rId25"/>
    <sheet name="WP-15a" sheetId="30" r:id="rId26"/>
    <sheet name="WP-15B" sheetId="65" r:id="rId27"/>
    <sheet name="WP-15c" sheetId="28" r:id="rId28"/>
    <sheet name="WP-15d" sheetId="36" r:id="rId29"/>
    <sheet name="WP-16" sheetId="35" r:id="rId30"/>
    <sheet name="WP-17" sheetId="59" r:id="rId31"/>
    <sheet name="WP-18" sheetId="64" r:id="rId32"/>
    <sheet name="WP-19" sheetId="54" r:id="rId33"/>
  </sheets>
  <externalReferences>
    <externalReference r:id="rId34"/>
    <externalReference r:id="rId35"/>
    <externalReference r:id="rId36"/>
  </externalReferences>
  <definedNames>
    <definedName name="Fuel_Summary_2008">'[1]2008 Acct 501_547 Pivot'!$A$5:$M$13</definedName>
    <definedName name="HEADA" localSheetId="13">#REF!</definedName>
    <definedName name="HEADA">'WP-8a'!$A$1:$K$7</definedName>
    <definedName name="HEADB" localSheetId="13">'WP-8ai'!$A$1:$K$9</definedName>
    <definedName name="HEADB">#REF!</definedName>
    <definedName name="HEADC" localSheetId="13">#REF!</definedName>
    <definedName name="HEADC">#REF!</definedName>
    <definedName name="HEADD" localSheetId="13">#REF!</definedName>
    <definedName name="HEADD">#REF!</definedName>
    <definedName name="PAGEA" localSheetId="13">#REF!</definedName>
    <definedName name="PAGEA">'WP-8a'!#REF!</definedName>
    <definedName name="PAGEB" localSheetId="13">'WP-8ai'!#REF!</definedName>
    <definedName name="PAGEB">#REF!</definedName>
    <definedName name="PAGEC" localSheetId="13">#REF!</definedName>
    <definedName name="PAGEC">#REF!</definedName>
    <definedName name="PAGED" localSheetId="13">#REF!</definedName>
    <definedName name="PAGED">#REF!</definedName>
    <definedName name="_xlnm.Print_Area" localSheetId="0">'WP-1'!$A$1:$H$28</definedName>
    <definedName name="_xlnm.Print_Area" localSheetId="19">'WP-11'!$A$1:$F$44</definedName>
    <definedName name="_xlnm.Print_Area" localSheetId="21">'WP-12b'!$A$1:$K$20</definedName>
    <definedName name="_xlnm.Print_Area" localSheetId="22">'WP-13'!$A$1:$P$57</definedName>
    <definedName name="_xlnm.Print_Area" localSheetId="23">'WP-13a'!$A$1:$H$24</definedName>
    <definedName name="_xlnm.Print_Area" localSheetId="24">'WP-14'!$A$1:$J$74</definedName>
    <definedName name="_xlnm.Print_Area" localSheetId="25">'WP-15a'!$A$1:$F$15</definedName>
    <definedName name="_xlnm.Print_Area" localSheetId="27">'WP-15c'!$A$1:$F$21</definedName>
    <definedName name="_xlnm.Print_Area" localSheetId="28">'WP-15d'!$A$1:$E$25</definedName>
    <definedName name="_xlnm.Print_Area" localSheetId="29">'WP-16'!$A$1:$J$44</definedName>
    <definedName name="_xlnm.Print_Area" localSheetId="30">'WP-17'!$A$1:$L$14</definedName>
    <definedName name="_xlnm.Print_Area" localSheetId="31">'WP-18'!$A$1:$H$31</definedName>
    <definedName name="_xlnm.Print_Area" localSheetId="32">'WP-19'!$A$1:$G$27</definedName>
    <definedName name="_xlnm.Print_Area" localSheetId="1">'WP-2'!$A$1:$I$18</definedName>
    <definedName name="_xlnm.Print_Area" localSheetId="2">'WP-3'!$A$1:$D$10</definedName>
    <definedName name="_xlnm.Print_Area" localSheetId="4">'WP-5a'!$A$1:$L$31</definedName>
    <definedName name="_xlnm.Print_Area" localSheetId="6">'WP-5c'!$A$1:$L$45</definedName>
    <definedName name="_xlnm.Print_Area" localSheetId="7">'WP-6a'!$A$1:$G$45</definedName>
    <definedName name="_xlnm.Print_Area" localSheetId="8">'WP-6b'!$A$1:$I$29</definedName>
    <definedName name="_xlnm.Print_Area" localSheetId="9">'WP-6c'!$A$1:$D$51</definedName>
    <definedName name="_xlnm.Print_Area" localSheetId="10">'WP-6d'!$A$1:$D$27</definedName>
    <definedName name="_xlnm.Print_Area" localSheetId="12">'WP-8a'!$A$1:$V$199</definedName>
    <definedName name="_xlnm.Print_Area" localSheetId="13">'WP-8ai'!$A$1:$T$123</definedName>
    <definedName name="_xlnm.Print_Area" localSheetId="15">'WP-8c'!$A$1:$G$128</definedName>
    <definedName name="_xlnm.Print_Area" localSheetId="17">'WP-9b'!$A$1:$G$56</definedName>
    <definedName name="_xlnm.Print_Titles" localSheetId="22">'WP-13'!$1:$2</definedName>
    <definedName name="_xlnm.Print_Titles" localSheetId="24">'WP-14'!$1:$7</definedName>
    <definedName name="_xlnm.Print_Titles" localSheetId="2">'WP-3'!$1:$2</definedName>
    <definedName name="_xlnm.Print_Titles" localSheetId="7">'WP-6a'!$1:$7</definedName>
    <definedName name="_xlnm.Print_Titles" localSheetId="8">'WP-6b'!$1:$19</definedName>
    <definedName name="_xlnm.Print_Titles" localSheetId="12">'WP-8a'!$A:$B,'WP-8a'!$1:$7</definedName>
    <definedName name="_xlnm.Print_Titles" localSheetId="13">'WP-8ai'!$A:$B,'WP-8ai'!$1:$9</definedName>
    <definedName name="Purchased_Power_2008">'[1]2008 Acct 555 Pivot'!$A$5:$M$22</definedName>
    <definedName name="Sales_for_Resale_2008">'[1]2008 Acct 447 Pivot'!$A$5:$M$34</definedName>
  </definedNames>
  <calcPr calcId="145621"/>
</workbook>
</file>

<file path=xl/calcChain.xml><?xml version="1.0" encoding="utf-8"?>
<calcChain xmlns="http://schemas.openxmlformats.org/spreadsheetml/2006/main">
  <c r="D20" i="11" l="1"/>
  <c r="H18" i="11"/>
  <c r="G18" i="11"/>
  <c r="D18" i="11"/>
  <c r="D21" i="11" s="1"/>
  <c r="H16" i="11"/>
  <c r="D16" i="11"/>
  <c r="H14" i="11"/>
  <c r="G14" i="11"/>
  <c r="G16" i="11" s="1"/>
  <c r="F14" i="11"/>
  <c r="F18" i="11" s="1"/>
  <c r="E14" i="11"/>
  <c r="E18" i="11" s="1"/>
  <c r="D14" i="11"/>
  <c r="M122" i="67"/>
  <c r="O121" i="67"/>
  <c r="N121" i="67"/>
  <c r="M121" i="67"/>
  <c r="O120" i="67"/>
  <c r="N120" i="67"/>
  <c r="M120" i="67"/>
  <c r="O119" i="67"/>
  <c r="N119" i="67"/>
  <c r="M119" i="67"/>
  <c r="O118" i="67"/>
  <c r="N118" i="67"/>
  <c r="M118" i="67"/>
  <c r="E16" i="11" l="1"/>
  <c r="F16" i="11"/>
  <c r="K114" i="67"/>
  <c r="J114" i="67"/>
  <c r="I114" i="67"/>
  <c r="D114" i="67"/>
  <c r="C114" i="67"/>
  <c r="G114" i="67" s="1"/>
  <c r="K113" i="67"/>
  <c r="J113" i="67"/>
  <c r="I113" i="67"/>
  <c r="G113" i="67"/>
  <c r="F113" i="67"/>
  <c r="E113" i="67"/>
  <c r="G112" i="67"/>
  <c r="F112" i="67"/>
  <c r="E112" i="67"/>
  <c r="G111" i="67"/>
  <c r="F111" i="67"/>
  <c r="E111" i="67"/>
  <c r="F110" i="67"/>
  <c r="E110" i="67"/>
  <c r="G110" i="67" s="1"/>
  <c r="F109" i="67"/>
  <c r="G109" i="67" s="1"/>
  <c r="E109" i="67"/>
  <c r="F108" i="67"/>
  <c r="E108" i="67"/>
  <c r="G108" i="67" s="1"/>
  <c r="F107" i="67"/>
  <c r="F116" i="67" s="1"/>
  <c r="E107" i="67"/>
  <c r="G107" i="67" s="1"/>
  <c r="G106" i="67"/>
  <c r="F106" i="67"/>
  <c r="E106" i="67"/>
  <c r="G105" i="67"/>
  <c r="F105" i="67"/>
  <c r="E105" i="67"/>
  <c r="G104" i="67"/>
  <c r="F104" i="67"/>
  <c r="E104" i="67"/>
  <c r="G103" i="67"/>
  <c r="F103" i="67"/>
  <c r="E103" i="67"/>
  <c r="E116" i="67" s="1"/>
  <c r="O102" i="67"/>
  <c r="N102" i="67"/>
  <c r="M102" i="67"/>
  <c r="I102" i="67" s="1"/>
  <c r="K102" i="67"/>
  <c r="J102" i="67"/>
  <c r="D102" i="67"/>
  <c r="C102" i="67"/>
  <c r="O101" i="67"/>
  <c r="K101" i="67" s="1"/>
  <c r="N101" i="67"/>
  <c r="J101" i="67" s="1"/>
  <c r="M101" i="67"/>
  <c r="C101" i="67" s="1"/>
  <c r="G101" i="67" s="1"/>
  <c r="I101" i="67"/>
  <c r="D101" i="67"/>
  <c r="O100" i="67"/>
  <c r="N100" i="67"/>
  <c r="M100" i="67"/>
  <c r="I100" i="67" s="1"/>
  <c r="K100" i="67"/>
  <c r="J100" i="67"/>
  <c r="D100" i="67"/>
  <c r="C100" i="67"/>
  <c r="G100" i="67" s="1"/>
  <c r="O99" i="67"/>
  <c r="K99" i="67" s="1"/>
  <c r="N99" i="67"/>
  <c r="J99" i="67" s="1"/>
  <c r="M99" i="67"/>
  <c r="I99" i="67"/>
  <c r="D99" i="67"/>
  <c r="O98" i="67"/>
  <c r="N98" i="67"/>
  <c r="M98" i="67"/>
  <c r="I98" i="67" s="1"/>
  <c r="K98" i="67"/>
  <c r="J98" i="67"/>
  <c r="D98" i="67"/>
  <c r="C98" i="67"/>
  <c r="G98" i="67" s="1"/>
  <c r="O97" i="67"/>
  <c r="K97" i="67" s="1"/>
  <c r="N97" i="67"/>
  <c r="J97" i="67" s="1"/>
  <c r="M97" i="67"/>
  <c r="C97" i="67" s="1"/>
  <c r="G97" i="67" s="1"/>
  <c r="I97" i="67"/>
  <c r="D97" i="67"/>
  <c r="O96" i="67"/>
  <c r="N96" i="67"/>
  <c r="M96" i="67"/>
  <c r="I96" i="67" s="1"/>
  <c r="K96" i="67"/>
  <c r="J96" i="67"/>
  <c r="D96" i="67"/>
  <c r="C96" i="67"/>
  <c r="G96" i="67" s="1"/>
  <c r="O95" i="67"/>
  <c r="K95" i="67" s="1"/>
  <c r="N95" i="67"/>
  <c r="J95" i="67" s="1"/>
  <c r="M95" i="67"/>
  <c r="C95" i="67" s="1"/>
  <c r="G95" i="67" s="1"/>
  <c r="I95" i="67"/>
  <c r="D95" i="67"/>
  <c r="O94" i="67"/>
  <c r="N94" i="67"/>
  <c r="M94" i="67"/>
  <c r="I94" i="67" s="1"/>
  <c r="K94" i="67"/>
  <c r="J94" i="67"/>
  <c r="D94" i="67"/>
  <c r="C94" i="67"/>
  <c r="S93" i="67"/>
  <c r="R93" i="67"/>
  <c r="D93" i="67" s="1"/>
  <c r="Q93" i="67"/>
  <c r="O93" i="67"/>
  <c r="N93" i="67"/>
  <c r="J93" i="67" s="1"/>
  <c r="M93" i="67"/>
  <c r="K93" i="67"/>
  <c r="S92" i="67"/>
  <c r="O92" i="67"/>
  <c r="N92" i="67"/>
  <c r="M92" i="67"/>
  <c r="I92" i="67" s="1"/>
  <c r="K92" i="67"/>
  <c r="J92" i="67"/>
  <c r="D92" i="67"/>
  <c r="C92" i="67"/>
  <c r="S91" i="67"/>
  <c r="Q91" i="67"/>
  <c r="D91" i="67" s="1"/>
  <c r="O91" i="67"/>
  <c r="N91" i="67"/>
  <c r="M91" i="67"/>
  <c r="K91" i="67"/>
  <c r="J91" i="67"/>
  <c r="C91" i="67"/>
  <c r="S90" i="67"/>
  <c r="R90" i="67"/>
  <c r="D90" i="67" s="1"/>
  <c r="Q90" i="67"/>
  <c r="O90" i="67"/>
  <c r="N90" i="67"/>
  <c r="M90" i="67"/>
  <c r="K90" i="67"/>
  <c r="O89" i="67"/>
  <c r="K89" i="67" s="1"/>
  <c r="N89" i="67"/>
  <c r="M89" i="67"/>
  <c r="J89" i="67"/>
  <c r="I89" i="67"/>
  <c r="D89" i="67"/>
  <c r="O88" i="67"/>
  <c r="N88" i="67"/>
  <c r="J88" i="67" s="1"/>
  <c r="M88" i="67"/>
  <c r="K88" i="67"/>
  <c r="D88" i="67"/>
  <c r="O87" i="67"/>
  <c r="K87" i="67" s="1"/>
  <c r="N87" i="67"/>
  <c r="M87" i="67"/>
  <c r="J87" i="67"/>
  <c r="I87" i="67"/>
  <c r="D87" i="67"/>
  <c r="O86" i="67"/>
  <c r="K86" i="67" s="1"/>
  <c r="N86" i="67"/>
  <c r="J86" i="67" s="1"/>
  <c r="M86" i="67"/>
  <c r="D86" i="67"/>
  <c r="O85" i="67"/>
  <c r="K85" i="67" s="1"/>
  <c r="N85" i="67"/>
  <c r="M85" i="67"/>
  <c r="J85" i="67"/>
  <c r="I85" i="67"/>
  <c r="D85" i="67"/>
  <c r="C85" i="67"/>
  <c r="G85" i="67" s="1"/>
  <c r="O84" i="67"/>
  <c r="N84" i="67"/>
  <c r="J84" i="67" s="1"/>
  <c r="M84" i="67"/>
  <c r="K84" i="67"/>
  <c r="D84" i="67"/>
  <c r="O83" i="67"/>
  <c r="K83" i="67" s="1"/>
  <c r="N83" i="67"/>
  <c r="J83" i="67" s="1"/>
  <c r="M83" i="67"/>
  <c r="I83" i="67"/>
  <c r="D83" i="67"/>
  <c r="O82" i="67"/>
  <c r="K82" i="67" s="1"/>
  <c r="N82" i="67"/>
  <c r="J82" i="67" s="1"/>
  <c r="M82" i="67"/>
  <c r="D82" i="67"/>
  <c r="O81" i="67"/>
  <c r="K81" i="67" s="1"/>
  <c r="N81" i="67"/>
  <c r="J81" i="67" s="1"/>
  <c r="M81" i="67"/>
  <c r="I81" i="67"/>
  <c r="D81" i="67"/>
  <c r="O80" i="67"/>
  <c r="N80" i="67"/>
  <c r="J80" i="67" s="1"/>
  <c r="M80" i="67"/>
  <c r="K80" i="67"/>
  <c r="D80" i="67"/>
  <c r="O79" i="67"/>
  <c r="K79" i="67" s="1"/>
  <c r="N79" i="67"/>
  <c r="M79" i="67"/>
  <c r="J79" i="67"/>
  <c r="I79" i="67"/>
  <c r="D79" i="67"/>
  <c r="O78" i="67"/>
  <c r="K78" i="67" s="1"/>
  <c r="N78" i="67"/>
  <c r="J78" i="67" s="1"/>
  <c r="M78" i="67"/>
  <c r="D78" i="67"/>
  <c r="O77" i="67"/>
  <c r="K77" i="67" s="1"/>
  <c r="N77" i="67"/>
  <c r="M77" i="67"/>
  <c r="J77" i="67"/>
  <c r="I77" i="67"/>
  <c r="D77" i="67"/>
  <c r="C77" i="67"/>
  <c r="G77" i="67" s="1"/>
  <c r="O76" i="67"/>
  <c r="K76" i="67" s="1"/>
  <c r="N76" i="67"/>
  <c r="J76" i="67" s="1"/>
  <c r="M76" i="67"/>
  <c r="D76" i="67"/>
  <c r="O75" i="67"/>
  <c r="K75" i="67" s="1"/>
  <c r="N75" i="67"/>
  <c r="M75" i="67"/>
  <c r="J75" i="67"/>
  <c r="I75" i="67"/>
  <c r="D75" i="67"/>
  <c r="C75" i="67"/>
  <c r="G75" i="67" s="1"/>
  <c r="O74" i="67"/>
  <c r="N74" i="67"/>
  <c r="J74" i="67" s="1"/>
  <c r="M74" i="67"/>
  <c r="K74" i="67"/>
  <c r="D74" i="67"/>
  <c r="O73" i="67"/>
  <c r="K73" i="67" s="1"/>
  <c r="N73" i="67"/>
  <c r="J73" i="67" s="1"/>
  <c r="M73" i="67"/>
  <c r="I73" i="67" s="1"/>
  <c r="D73" i="67"/>
  <c r="O72" i="67"/>
  <c r="K72" i="67" s="1"/>
  <c r="N72" i="67"/>
  <c r="M72" i="67"/>
  <c r="J72" i="67"/>
  <c r="D72" i="67"/>
  <c r="O71" i="67"/>
  <c r="K71" i="67" s="1"/>
  <c r="N71" i="67"/>
  <c r="M71" i="67"/>
  <c r="J71" i="67"/>
  <c r="I71" i="67"/>
  <c r="D71" i="67"/>
  <c r="C71" i="67"/>
  <c r="G71" i="67" s="1"/>
  <c r="O70" i="67"/>
  <c r="K70" i="67" s="1"/>
  <c r="N70" i="67"/>
  <c r="M70" i="67"/>
  <c r="J70" i="67"/>
  <c r="D70" i="67"/>
  <c r="O69" i="67"/>
  <c r="K69" i="67" s="1"/>
  <c r="N69" i="67"/>
  <c r="M69" i="67"/>
  <c r="I69" i="67" s="1"/>
  <c r="J69" i="67"/>
  <c r="D69" i="67"/>
  <c r="C69" i="67"/>
  <c r="G69" i="67" s="1"/>
  <c r="O68" i="67"/>
  <c r="K68" i="67" s="1"/>
  <c r="N68" i="67"/>
  <c r="M68" i="67"/>
  <c r="J68" i="67"/>
  <c r="D68" i="67"/>
  <c r="O67" i="67"/>
  <c r="K67" i="67" s="1"/>
  <c r="N67" i="67"/>
  <c r="M67" i="67"/>
  <c r="I67" i="67" s="1"/>
  <c r="J67" i="67"/>
  <c r="D67" i="67"/>
  <c r="C67" i="67"/>
  <c r="G67" i="67" s="1"/>
  <c r="O66" i="67"/>
  <c r="K66" i="67" s="1"/>
  <c r="N66" i="67"/>
  <c r="M66" i="67"/>
  <c r="J66" i="67"/>
  <c r="D66" i="67"/>
  <c r="O65" i="67"/>
  <c r="K65" i="67" s="1"/>
  <c r="N65" i="67"/>
  <c r="J65" i="67" s="1"/>
  <c r="M65" i="67"/>
  <c r="I65" i="67" s="1"/>
  <c r="D65" i="67"/>
  <c r="O64" i="67"/>
  <c r="K64" i="67" s="1"/>
  <c r="N64" i="67"/>
  <c r="M64" i="67"/>
  <c r="I64" i="67" s="1"/>
  <c r="J64" i="67"/>
  <c r="G64" i="67"/>
  <c r="D64" i="67"/>
  <c r="C64" i="67"/>
  <c r="O63" i="67"/>
  <c r="K63" i="67" s="1"/>
  <c r="N63" i="67"/>
  <c r="M63" i="67"/>
  <c r="I63" i="67" s="1"/>
  <c r="J63" i="67"/>
  <c r="D63" i="67"/>
  <c r="O62" i="67"/>
  <c r="K62" i="67" s="1"/>
  <c r="N62" i="67"/>
  <c r="M62" i="67"/>
  <c r="I62" i="67" s="1"/>
  <c r="J62" i="67"/>
  <c r="D62" i="67"/>
  <c r="O61" i="67"/>
  <c r="K61" i="67" s="1"/>
  <c r="N61" i="67"/>
  <c r="M61" i="67"/>
  <c r="I61" i="67" s="1"/>
  <c r="J61" i="67"/>
  <c r="D61" i="67"/>
  <c r="C61" i="67"/>
  <c r="G61" i="67" s="1"/>
  <c r="O60" i="67"/>
  <c r="K60" i="67" s="1"/>
  <c r="N60" i="67"/>
  <c r="M60" i="67"/>
  <c r="I60" i="67" s="1"/>
  <c r="J60" i="67"/>
  <c r="D60" i="67"/>
  <c r="O59" i="67"/>
  <c r="K59" i="67" s="1"/>
  <c r="N59" i="67"/>
  <c r="M59" i="67"/>
  <c r="I59" i="67" s="1"/>
  <c r="J59" i="67"/>
  <c r="D59" i="67"/>
  <c r="O58" i="67"/>
  <c r="K58" i="67" s="1"/>
  <c r="N58" i="67"/>
  <c r="M58" i="67"/>
  <c r="I58" i="67" s="1"/>
  <c r="J58" i="67"/>
  <c r="D58" i="67"/>
  <c r="O57" i="67"/>
  <c r="K57" i="67" s="1"/>
  <c r="N57" i="67"/>
  <c r="J57" i="67" s="1"/>
  <c r="M57" i="67"/>
  <c r="I57" i="67" s="1"/>
  <c r="D57" i="67"/>
  <c r="O56" i="67"/>
  <c r="K56" i="67" s="1"/>
  <c r="N56" i="67"/>
  <c r="M56" i="67"/>
  <c r="I56" i="67" s="1"/>
  <c r="J56" i="67"/>
  <c r="D56" i="67"/>
  <c r="S55" i="67"/>
  <c r="K55" i="67" s="1"/>
  <c r="R55" i="67"/>
  <c r="Q55" i="67"/>
  <c r="O55" i="67"/>
  <c r="N55" i="67"/>
  <c r="J55" i="67" s="1"/>
  <c r="M55" i="67"/>
  <c r="C55" i="67" s="1"/>
  <c r="G55" i="67" s="1"/>
  <c r="I55" i="67"/>
  <c r="D55" i="67"/>
  <c r="S54" i="67"/>
  <c r="R54" i="67"/>
  <c r="Q54" i="67"/>
  <c r="O54" i="67"/>
  <c r="N54" i="67"/>
  <c r="C54" i="67" s="1"/>
  <c r="M54" i="67"/>
  <c r="I54" i="67" s="1"/>
  <c r="J54" i="67"/>
  <c r="S53" i="67"/>
  <c r="D53" i="67" s="1"/>
  <c r="R53" i="67"/>
  <c r="O53" i="67"/>
  <c r="K53" i="67" s="1"/>
  <c r="N53" i="67"/>
  <c r="J53" i="67" s="1"/>
  <c r="M53" i="67"/>
  <c r="I53" i="67"/>
  <c r="O52" i="67"/>
  <c r="K52" i="67" s="1"/>
  <c r="N52" i="67"/>
  <c r="J52" i="67" s="1"/>
  <c r="M52" i="67"/>
  <c r="I52" i="67" s="1"/>
  <c r="D52" i="67"/>
  <c r="O51" i="67"/>
  <c r="K51" i="67" s="1"/>
  <c r="N51" i="67"/>
  <c r="J51" i="67" s="1"/>
  <c r="M51" i="67"/>
  <c r="I51" i="67" s="1"/>
  <c r="D51" i="67"/>
  <c r="O50" i="67"/>
  <c r="K50" i="67" s="1"/>
  <c r="N50" i="67"/>
  <c r="J50" i="67" s="1"/>
  <c r="M50" i="67"/>
  <c r="I50" i="67" s="1"/>
  <c r="D50" i="67"/>
  <c r="O49" i="67"/>
  <c r="K49" i="67" s="1"/>
  <c r="N49" i="67"/>
  <c r="M49" i="67"/>
  <c r="I49" i="67" s="1"/>
  <c r="J49" i="67"/>
  <c r="D49" i="67"/>
  <c r="O48" i="67"/>
  <c r="K48" i="67" s="1"/>
  <c r="N48" i="67"/>
  <c r="J48" i="67" s="1"/>
  <c r="M48" i="67"/>
  <c r="I48" i="67" s="1"/>
  <c r="D48" i="67"/>
  <c r="O47" i="67"/>
  <c r="K47" i="67" s="1"/>
  <c r="N47" i="67"/>
  <c r="J47" i="67" s="1"/>
  <c r="M47" i="67"/>
  <c r="I47" i="67" s="1"/>
  <c r="D47" i="67"/>
  <c r="O46" i="67"/>
  <c r="K46" i="67" s="1"/>
  <c r="N46" i="67"/>
  <c r="J46" i="67" s="1"/>
  <c r="M46" i="67"/>
  <c r="D46" i="67"/>
  <c r="O45" i="67"/>
  <c r="K45" i="67" s="1"/>
  <c r="N45" i="67"/>
  <c r="J45" i="67" s="1"/>
  <c r="M45" i="67"/>
  <c r="I45" i="67" s="1"/>
  <c r="D45" i="67"/>
  <c r="O44" i="67"/>
  <c r="K44" i="67" s="1"/>
  <c r="N44" i="67"/>
  <c r="J44" i="67" s="1"/>
  <c r="M44" i="67"/>
  <c r="D44" i="67"/>
  <c r="O43" i="67"/>
  <c r="K43" i="67" s="1"/>
  <c r="N43" i="67"/>
  <c r="J43" i="67" s="1"/>
  <c r="M43" i="67"/>
  <c r="I43" i="67" s="1"/>
  <c r="D43" i="67"/>
  <c r="O42" i="67"/>
  <c r="K42" i="67" s="1"/>
  <c r="N42" i="67"/>
  <c r="J42" i="67" s="1"/>
  <c r="M42" i="67"/>
  <c r="D42" i="67"/>
  <c r="O41" i="67"/>
  <c r="K41" i="67" s="1"/>
  <c r="N41" i="67"/>
  <c r="J41" i="67" s="1"/>
  <c r="M41" i="67"/>
  <c r="I41" i="67" s="1"/>
  <c r="D41" i="67"/>
  <c r="C41" i="67"/>
  <c r="G41" i="67" s="1"/>
  <c r="O40" i="67"/>
  <c r="K40" i="67" s="1"/>
  <c r="N40" i="67"/>
  <c r="J40" i="67" s="1"/>
  <c r="M40" i="67"/>
  <c r="D40" i="67"/>
  <c r="O39" i="67"/>
  <c r="K39" i="67" s="1"/>
  <c r="N39" i="67"/>
  <c r="J39" i="67" s="1"/>
  <c r="M39" i="67"/>
  <c r="I39" i="67" s="1"/>
  <c r="D39" i="67"/>
  <c r="O38" i="67"/>
  <c r="K38" i="67" s="1"/>
  <c r="N38" i="67"/>
  <c r="M38" i="67"/>
  <c r="J38" i="67"/>
  <c r="D38" i="67"/>
  <c r="O37" i="67"/>
  <c r="K37" i="67" s="1"/>
  <c r="N37" i="67"/>
  <c r="J37" i="67" s="1"/>
  <c r="M37" i="67"/>
  <c r="I37" i="67" s="1"/>
  <c r="D37" i="67"/>
  <c r="O36" i="67"/>
  <c r="K36" i="67" s="1"/>
  <c r="N36" i="67"/>
  <c r="J36" i="67" s="1"/>
  <c r="M36" i="67"/>
  <c r="D36" i="67"/>
  <c r="O35" i="67"/>
  <c r="K35" i="67" s="1"/>
  <c r="N35" i="67"/>
  <c r="M35" i="67"/>
  <c r="I35" i="67" s="1"/>
  <c r="J35" i="67"/>
  <c r="D35" i="67"/>
  <c r="C35" i="67"/>
  <c r="G35" i="67" s="1"/>
  <c r="O34" i="67"/>
  <c r="K34" i="67" s="1"/>
  <c r="N34" i="67"/>
  <c r="M34" i="67"/>
  <c r="J34" i="67"/>
  <c r="D34" i="67"/>
  <c r="O33" i="67"/>
  <c r="K33" i="67" s="1"/>
  <c r="N33" i="67"/>
  <c r="J33" i="67" s="1"/>
  <c r="M33" i="67"/>
  <c r="I33" i="67" s="1"/>
  <c r="D33" i="67"/>
  <c r="O32" i="67"/>
  <c r="K32" i="67" s="1"/>
  <c r="N32" i="67"/>
  <c r="J32" i="67" s="1"/>
  <c r="M32" i="67"/>
  <c r="D32" i="67"/>
  <c r="O31" i="67"/>
  <c r="K31" i="67" s="1"/>
  <c r="N31" i="67"/>
  <c r="M31" i="67"/>
  <c r="I31" i="67" s="1"/>
  <c r="J31" i="67"/>
  <c r="D31" i="67"/>
  <c r="C31" i="67"/>
  <c r="G31" i="67" s="1"/>
  <c r="O30" i="67"/>
  <c r="K30" i="67" s="1"/>
  <c r="N30" i="67"/>
  <c r="M30" i="67"/>
  <c r="J30" i="67"/>
  <c r="D30" i="67"/>
  <c r="O29" i="67"/>
  <c r="K29" i="67" s="1"/>
  <c r="N29" i="67"/>
  <c r="M29" i="67"/>
  <c r="I29" i="67" s="1"/>
  <c r="J29" i="67"/>
  <c r="D29" i="67"/>
  <c r="C29" i="67"/>
  <c r="G29" i="67" s="1"/>
  <c r="O28" i="67"/>
  <c r="K28" i="67" s="1"/>
  <c r="N28" i="67"/>
  <c r="M28" i="67"/>
  <c r="J28" i="67"/>
  <c r="D28" i="67"/>
  <c r="O27" i="67"/>
  <c r="K27" i="67" s="1"/>
  <c r="N27" i="67"/>
  <c r="M27" i="67"/>
  <c r="I27" i="67" s="1"/>
  <c r="J27" i="67"/>
  <c r="D27" i="67"/>
  <c r="C27" i="67"/>
  <c r="G27" i="67" s="1"/>
  <c r="S26" i="67"/>
  <c r="R26" i="67"/>
  <c r="R116" i="67" s="1"/>
  <c r="Q26" i="67"/>
  <c r="O26" i="67"/>
  <c r="N26" i="67"/>
  <c r="J26" i="67" s="1"/>
  <c r="M26" i="67"/>
  <c r="C26" i="67" s="1"/>
  <c r="K26" i="67"/>
  <c r="D26" i="67"/>
  <c r="O25" i="67"/>
  <c r="N25" i="67"/>
  <c r="M25" i="67"/>
  <c r="K25" i="67"/>
  <c r="I25" i="67"/>
  <c r="D25" i="67"/>
  <c r="A25" i="67"/>
  <c r="A26" i="67" s="1"/>
  <c r="A27" i="67" s="1"/>
  <c r="A28" i="67" s="1"/>
  <c r="A29" i="67" s="1"/>
  <c r="A30" i="67" s="1"/>
  <c r="A31" i="67" s="1"/>
  <c r="A32" i="67" s="1"/>
  <c r="A33" i="67" s="1"/>
  <c r="A34" i="67" s="1"/>
  <c r="A35" i="67" s="1"/>
  <c r="A36" i="67" s="1"/>
  <c r="A37" i="67" s="1"/>
  <c r="A38" i="67" s="1"/>
  <c r="A39" i="67" s="1"/>
  <c r="A40" i="67" s="1"/>
  <c r="A41" i="67" s="1"/>
  <c r="A42" i="67" s="1"/>
  <c r="A43" i="67" s="1"/>
  <c r="A44" i="67" s="1"/>
  <c r="A45" i="67" s="1"/>
  <c r="A46" i="67" s="1"/>
  <c r="A47" i="67" s="1"/>
  <c r="A48" i="67" s="1"/>
  <c r="A49" i="67" s="1"/>
  <c r="A50" i="67" s="1"/>
  <c r="A51" i="67" s="1"/>
  <c r="A52" i="67" s="1"/>
  <c r="A53" i="67" s="1"/>
  <c r="A54" i="67" s="1"/>
  <c r="A55" i="67" s="1"/>
  <c r="A56" i="67" s="1"/>
  <c r="A57" i="67" s="1"/>
  <c r="A58" i="67" s="1"/>
  <c r="A59" i="67" s="1"/>
  <c r="A60" i="67" s="1"/>
  <c r="A61" i="67" s="1"/>
  <c r="A62" i="67" s="1"/>
  <c r="A63" i="67" s="1"/>
  <c r="A64" i="67" s="1"/>
  <c r="A65" i="67" s="1"/>
  <c r="A66" i="67" s="1"/>
  <c r="A67" i="67" s="1"/>
  <c r="A68" i="67" s="1"/>
  <c r="A69" i="67" s="1"/>
  <c r="A70" i="67" s="1"/>
  <c r="A71" i="67" s="1"/>
  <c r="A72" i="67" s="1"/>
  <c r="A73" i="67" s="1"/>
  <c r="A74" i="67" s="1"/>
  <c r="A75" i="67" s="1"/>
  <c r="A76" i="67" s="1"/>
  <c r="A77" i="67" s="1"/>
  <c r="A78" i="67" s="1"/>
  <c r="A79" i="67" s="1"/>
  <c r="A80" i="67" s="1"/>
  <c r="A81" i="67" s="1"/>
  <c r="A82" i="67" s="1"/>
  <c r="A83" i="67" s="1"/>
  <c r="A84" i="67" s="1"/>
  <c r="A85" i="67" s="1"/>
  <c r="A86" i="67" s="1"/>
  <c r="A87" i="67" s="1"/>
  <c r="A88" i="67" s="1"/>
  <c r="A89" i="67" s="1"/>
  <c r="A90" i="67" s="1"/>
  <c r="A91" i="67" s="1"/>
  <c r="A92" i="67" s="1"/>
  <c r="A93" i="67" s="1"/>
  <c r="A94" i="67" s="1"/>
  <c r="A95" i="67" s="1"/>
  <c r="A96" i="67" s="1"/>
  <c r="A97" i="67" s="1"/>
  <c r="A98" i="67" s="1"/>
  <c r="A99" i="67" s="1"/>
  <c r="A100" i="67" s="1"/>
  <c r="A101" i="67" s="1"/>
  <c r="A102" i="67" s="1"/>
  <c r="A103" i="67" s="1"/>
  <c r="A104" i="67" s="1"/>
  <c r="A105" i="67" s="1"/>
  <c r="A106" i="67" s="1"/>
  <c r="A107" i="67" s="1"/>
  <c r="A108" i="67" s="1"/>
  <c r="A109" i="67" s="1"/>
  <c r="A110" i="67" s="1"/>
  <c r="A111" i="67" s="1"/>
  <c r="A112" i="67" s="1"/>
  <c r="A113" i="67" s="1"/>
  <c r="A114" i="67" s="1"/>
  <c r="A115" i="67" s="1"/>
  <c r="A116" i="67" s="1"/>
  <c r="S24" i="67"/>
  <c r="O24" i="67"/>
  <c r="N24" i="67"/>
  <c r="M24" i="67"/>
  <c r="D24" i="67"/>
  <c r="A23" i="67"/>
  <c r="A24" i="67" s="1"/>
  <c r="F20" i="67"/>
  <c r="E20" i="67"/>
  <c r="C83" i="67" l="1"/>
  <c r="G83" i="67" s="1"/>
  <c r="C57" i="67"/>
  <c r="G57" i="67" s="1"/>
  <c r="C43" i="67"/>
  <c r="G43" i="67" s="1"/>
  <c r="C39" i="67"/>
  <c r="G39" i="67" s="1"/>
  <c r="C37" i="67"/>
  <c r="G37" i="67" s="1"/>
  <c r="C33" i="67"/>
  <c r="G33" i="67" s="1"/>
  <c r="Q116" i="67"/>
  <c r="I26" i="67"/>
  <c r="C34" i="67"/>
  <c r="G34" i="67" s="1"/>
  <c r="I34" i="67"/>
  <c r="I36" i="67"/>
  <c r="C36" i="67"/>
  <c r="G36" i="67" s="1"/>
  <c r="I40" i="67"/>
  <c r="C40" i="67"/>
  <c r="G40" i="67" s="1"/>
  <c r="C42" i="67"/>
  <c r="G42" i="67" s="1"/>
  <c r="I42" i="67"/>
  <c r="C45" i="67"/>
  <c r="G45" i="67" s="1"/>
  <c r="C46" i="67"/>
  <c r="G46" i="67" s="1"/>
  <c r="I46" i="67"/>
  <c r="C44" i="67"/>
  <c r="G44" i="67" s="1"/>
  <c r="I44" i="67"/>
  <c r="C24" i="67"/>
  <c r="M116" i="67"/>
  <c r="I24" i="67"/>
  <c r="I28" i="67"/>
  <c r="C28" i="67"/>
  <c r="G28" i="67" s="1"/>
  <c r="I32" i="67"/>
  <c r="C32" i="67"/>
  <c r="G32" i="67" s="1"/>
  <c r="C30" i="67"/>
  <c r="G30" i="67" s="1"/>
  <c r="I30" i="67"/>
  <c r="C38" i="67"/>
  <c r="G38" i="67" s="1"/>
  <c r="I38" i="67"/>
  <c r="J25" i="67"/>
  <c r="C25" i="67"/>
  <c r="G25" i="67" s="1"/>
  <c r="G26" i="67"/>
  <c r="C47" i="67"/>
  <c r="G47" i="67" s="1"/>
  <c r="C49" i="67"/>
  <c r="G49" i="67" s="1"/>
  <c r="C62" i="67"/>
  <c r="G62" i="67" s="1"/>
  <c r="I80" i="67"/>
  <c r="C80" i="67"/>
  <c r="G80" i="67" s="1"/>
  <c r="I88" i="67"/>
  <c r="C88" i="67"/>
  <c r="G88" i="67" s="1"/>
  <c r="O116" i="67"/>
  <c r="C48" i="67"/>
  <c r="G48" i="67" s="1"/>
  <c r="D116" i="67"/>
  <c r="K24" i="67"/>
  <c r="S116" i="67"/>
  <c r="C53" i="67"/>
  <c r="G53" i="67" s="1"/>
  <c r="K54" i="67"/>
  <c r="C59" i="67"/>
  <c r="G59" i="67" s="1"/>
  <c r="C63" i="67"/>
  <c r="G63" i="67" s="1"/>
  <c r="C73" i="67"/>
  <c r="G73" i="67" s="1"/>
  <c r="I78" i="67"/>
  <c r="C78" i="67"/>
  <c r="G78" i="67" s="1"/>
  <c r="C81" i="67"/>
  <c r="G81" i="67" s="1"/>
  <c r="I86" i="67"/>
  <c r="C86" i="67"/>
  <c r="G86" i="67" s="1"/>
  <c r="C89" i="67"/>
  <c r="G89" i="67" s="1"/>
  <c r="G92" i="67"/>
  <c r="G94" i="67"/>
  <c r="C99" i="67"/>
  <c r="G99" i="67" s="1"/>
  <c r="G102" i="67"/>
  <c r="C58" i="67"/>
  <c r="G58" i="67" s="1"/>
  <c r="N116" i="67"/>
  <c r="C50" i="67"/>
  <c r="G50" i="67" s="1"/>
  <c r="D54" i="67"/>
  <c r="G54" i="67" s="1"/>
  <c r="C65" i="67"/>
  <c r="G65" i="67" s="1"/>
  <c r="I74" i="67"/>
  <c r="C74" i="67"/>
  <c r="G74" i="67" s="1"/>
  <c r="I82" i="67"/>
  <c r="C82" i="67"/>
  <c r="G82" i="67" s="1"/>
  <c r="J90" i="67"/>
  <c r="I93" i="67"/>
  <c r="C93" i="67"/>
  <c r="G93" i="67" s="1"/>
  <c r="I72" i="67"/>
  <c r="C72" i="67"/>
  <c r="G72" i="67" s="1"/>
  <c r="I90" i="67"/>
  <c r="C90" i="67"/>
  <c r="G90" i="67" s="1"/>
  <c r="J24" i="67"/>
  <c r="C51" i="67"/>
  <c r="G51" i="67" s="1"/>
  <c r="C52" i="67"/>
  <c r="G52" i="67" s="1"/>
  <c r="C56" i="67"/>
  <c r="G56" i="67" s="1"/>
  <c r="C60" i="67"/>
  <c r="G60" i="67" s="1"/>
  <c r="I66" i="67"/>
  <c r="C66" i="67"/>
  <c r="G66" i="67" s="1"/>
  <c r="I68" i="67"/>
  <c r="C68" i="67"/>
  <c r="G68" i="67" s="1"/>
  <c r="I70" i="67"/>
  <c r="C70" i="67"/>
  <c r="G70" i="67" s="1"/>
  <c r="I76" i="67"/>
  <c r="C76" i="67"/>
  <c r="G76" i="67" s="1"/>
  <c r="C79" i="67"/>
  <c r="G79" i="67" s="1"/>
  <c r="I84" i="67"/>
  <c r="C84" i="67"/>
  <c r="G84" i="67" s="1"/>
  <c r="C87" i="67"/>
  <c r="G87" i="67" s="1"/>
  <c r="G91" i="67"/>
  <c r="I91" i="67"/>
  <c r="J116" i="67" l="1"/>
  <c r="I116" i="67"/>
  <c r="K116" i="67"/>
  <c r="C116" i="67"/>
  <c r="G24" i="67"/>
  <c r="G116" i="67" s="1"/>
  <c r="M180" i="66" l="1"/>
  <c r="O179" i="66"/>
  <c r="N179" i="66"/>
  <c r="M179" i="66"/>
  <c r="O178" i="66"/>
  <c r="N178" i="66"/>
  <c r="M178" i="66"/>
  <c r="O177" i="66"/>
  <c r="N177" i="66"/>
  <c r="O176" i="66"/>
  <c r="N176" i="66"/>
  <c r="M176" i="66"/>
  <c r="M177" i="66"/>
  <c r="S194" i="66" l="1"/>
  <c r="R194" i="66"/>
  <c r="Q194" i="66"/>
  <c r="O194" i="66"/>
  <c r="N194" i="66"/>
  <c r="M194" i="66"/>
  <c r="F194" i="66"/>
  <c r="E194" i="66"/>
  <c r="K192" i="66"/>
  <c r="J192" i="66"/>
  <c r="I192" i="66"/>
  <c r="D192" i="66"/>
  <c r="C192" i="66"/>
  <c r="G192" i="66" s="1"/>
  <c r="K191" i="66"/>
  <c r="K194" i="66" s="1"/>
  <c r="J191" i="66"/>
  <c r="J194" i="66" s="1"/>
  <c r="I191" i="66"/>
  <c r="D191" i="66"/>
  <c r="D194" i="66" s="1"/>
  <c r="C191" i="66"/>
  <c r="C194" i="66" s="1"/>
  <c r="F171" i="66"/>
  <c r="E171" i="66"/>
  <c r="S170" i="66"/>
  <c r="K170" i="66" s="1"/>
  <c r="R170" i="66"/>
  <c r="J170" i="66" s="1"/>
  <c r="Q170" i="66"/>
  <c r="I170" i="66"/>
  <c r="C170" i="66"/>
  <c r="S167" i="66"/>
  <c r="S173" i="66" s="1"/>
  <c r="R167" i="66"/>
  <c r="Q167" i="66"/>
  <c r="Q173" i="66" s="1"/>
  <c r="F165" i="66"/>
  <c r="E165" i="66"/>
  <c r="G165" i="66" s="1"/>
  <c r="E164" i="66"/>
  <c r="D164" i="66"/>
  <c r="F164" i="66" s="1"/>
  <c r="C164" i="66"/>
  <c r="D163" i="66"/>
  <c r="F163" i="66" s="1"/>
  <c r="C163" i="66"/>
  <c r="E163" i="66" s="1"/>
  <c r="F162" i="66"/>
  <c r="E162" i="66"/>
  <c r="G162" i="66" s="1"/>
  <c r="F161" i="66"/>
  <c r="E161" i="66"/>
  <c r="G161" i="66" s="1"/>
  <c r="F160" i="66"/>
  <c r="E160" i="66"/>
  <c r="G160" i="66" s="1"/>
  <c r="O159" i="66"/>
  <c r="K159" i="66" s="1"/>
  <c r="N159" i="66"/>
  <c r="J159" i="66" s="1"/>
  <c r="M159" i="66"/>
  <c r="C159" i="66" s="1"/>
  <c r="G159" i="66" s="1"/>
  <c r="D159" i="66"/>
  <c r="O158" i="66"/>
  <c r="K158" i="66" s="1"/>
  <c r="N158" i="66"/>
  <c r="J158" i="66" s="1"/>
  <c r="M158" i="66"/>
  <c r="I158" i="66" s="1"/>
  <c r="D158" i="66"/>
  <c r="O157" i="66"/>
  <c r="K157" i="66" s="1"/>
  <c r="N157" i="66"/>
  <c r="J157" i="66" s="1"/>
  <c r="M157" i="66"/>
  <c r="I157" i="66" s="1"/>
  <c r="D157" i="66"/>
  <c r="O156" i="66"/>
  <c r="K156" i="66" s="1"/>
  <c r="N156" i="66"/>
  <c r="J156" i="66" s="1"/>
  <c r="M156" i="66"/>
  <c r="I156" i="66" s="1"/>
  <c r="D156" i="66"/>
  <c r="O155" i="66"/>
  <c r="K155" i="66" s="1"/>
  <c r="N155" i="66"/>
  <c r="J155" i="66" s="1"/>
  <c r="M155" i="66"/>
  <c r="I155" i="66" s="1"/>
  <c r="D155" i="66"/>
  <c r="O154" i="66"/>
  <c r="K154" i="66" s="1"/>
  <c r="N154" i="66"/>
  <c r="J154" i="66" s="1"/>
  <c r="M154" i="66"/>
  <c r="D154" i="66"/>
  <c r="O153" i="66"/>
  <c r="K153" i="66" s="1"/>
  <c r="N153" i="66"/>
  <c r="J153" i="66" s="1"/>
  <c r="M153" i="66"/>
  <c r="D153" i="66"/>
  <c r="O152" i="66"/>
  <c r="K152" i="66" s="1"/>
  <c r="N152" i="66"/>
  <c r="J152" i="66" s="1"/>
  <c r="M152" i="66"/>
  <c r="I152" i="66" s="1"/>
  <c r="D152" i="66"/>
  <c r="O151" i="66"/>
  <c r="K151" i="66" s="1"/>
  <c r="N151" i="66"/>
  <c r="J151" i="66" s="1"/>
  <c r="M151" i="66"/>
  <c r="D151" i="66"/>
  <c r="O150" i="66"/>
  <c r="K150" i="66" s="1"/>
  <c r="N150" i="66"/>
  <c r="J150" i="66" s="1"/>
  <c r="M150" i="66"/>
  <c r="I150" i="66" s="1"/>
  <c r="D150" i="66"/>
  <c r="O149" i="66"/>
  <c r="K149" i="66" s="1"/>
  <c r="N149" i="66"/>
  <c r="J149" i="66" s="1"/>
  <c r="M149" i="66"/>
  <c r="D149" i="66"/>
  <c r="O148" i="66"/>
  <c r="K148" i="66" s="1"/>
  <c r="N148" i="66"/>
  <c r="J148" i="66" s="1"/>
  <c r="M148" i="66"/>
  <c r="I148" i="66" s="1"/>
  <c r="D148" i="66"/>
  <c r="O147" i="66"/>
  <c r="K147" i="66" s="1"/>
  <c r="N147" i="66"/>
  <c r="J147" i="66" s="1"/>
  <c r="M147" i="66"/>
  <c r="D147" i="66"/>
  <c r="O146" i="66"/>
  <c r="K146" i="66" s="1"/>
  <c r="N146" i="66"/>
  <c r="J146" i="66" s="1"/>
  <c r="M146" i="66"/>
  <c r="I146" i="66" s="1"/>
  <c r="D146" i="66"/>
  <c r="O145" i="66"/>
  <c r="K145" i="66" s="1"/>
  <c r="N145" i="66"/>
  <c r="J145" i="66" s="1"/>
  <c r="M145" i="66"/>
  <c r="D145" i="66"/>
  <c r="O144" i="66"/>
  <c r="K144" i="66" s="1"/>
  <c r="N144" i="66"/>
  <c r="J144" i="66" s="1"/>
  <c r="M144" i="66"/>
  <c r="I144" i="66" s="1"/>
  <c r="D144" i="66"/>
  <c r="O143" i="66"/>
  <c r="K143" i="66" s="1"/>
  <c r="N143" i="66"/>
  <c r="J143" i="66" s="1"/>
  <c r="M143" i="66"/>
  <c r="I143" i="66" s="1"/>
  <c r="D143" i="66"/>
  <c r="O142" i="66"/>
  <c r="K142" i="66" s="1"/>
  <c r="N142" i="66"/>
  <c r="J142" i="66" s="1"/>
  <c r="M142" i="66"/>
  <c r="I142" i="66" s="1"/>
  <c r="D142" i="66"/>
  <c r="O141" i="66"/>
  <c r="K141" i="66" s="1"/>
  <c r="N141" i="66"/>
  <c r="J141" i="66" s="1"/>
  <c r="M141" i="66"/>
  <c r="I141" i="66" s="1"/>
  <c r="D141" i="66"/>
  <c r="O140" i="66"/>
  <c r="K140" i="66" s="1"/>
  <c r="N140" i="66"/>
  <c r="J140" i="66" s="1"/>
  <c r="M140" i="66"/>
  <c r="I140" i="66" s="1"/>
  <c r="D140" i="66"/>
  <c r="O139" i="66"/>
  <c r="K139" i="66" s="1"/>
  <c r="N139" i="66"/>
  <c r="J139" i="66" s="1"/>
  <c r="M139" i="66"/>
  <c r="I139" i="66" s="1"/>
  <c r="D139" i="66"/>
  <c r="O138" i="66"/>
  <c r="K138" i="66" s="1"/>
  <c r="N138" i="66"/>
  <c r="J138" i="66" s="1"/>
  <c r="M138" i="66"/>
  <c r="I138" i="66" s="1"/>
  <c r="D138" i="66"/>
  <c r="O137" i="66"/>
  <c r="K137" i="66" s="1"/>
  <c r="N137" i="66"/>
  <c r="J137" i="66" s="1"/>
  <c r="M137" i="66"/>
  <c r="I137" i="66" s="1"/>
  <c r="D137" i="66"/>
  <c r="O136" i="66"/>
  <c r="K136" i="66" s="1"/>
  <c r="N136" i="66"/>
  <c r="J136" i="66" s="1"/>
  <c r="M136" i="66"/>
  <c r="I136" i="66" s="1"/>
  <c r="D136" i="66"/>
  <c r="O135" i="66"/>
  <c r="K135" i="66" s="1"/>
  <c r="N135" i="66"/>
  <c r="J135" i="66" s="1"/>
  <c r="M135" i="66"/>
  <c r="I135" i="66" s="1"/>
  <c r="D135" i="66"/>
  <c r="O134" i="66"/>
  <c r="K134" i="66" s="1"/>
  <c r="N134" i="66"/>
  <c r="J134" i="66" s="1"/>
  <c r="M134" i="66"/>
  <c r="I134" i="66" s="1"/>
  <c r="D134" i="66"/>
  <c r="O133" i="66"/>
  <c r="K133" i="66" s="1"/>
  <c r="N133" i="66"/>
  <c r="J133" i="66" s="1"/>
  <c r="M133" i="66"/>
  <c r="I133" i="66" s="1"/>
  <c r="D133" i="66"/>
  <c r="O132" i="66"/>
  <c r="K132" i="66" s="1"/>
  <c r="N132" i="66"/>
  <c r="J132" i="66" s="1"/>
  <c r="M132" i="66"/>
  <c r="I132" i="66" s="1"/>
  <c r="D132" i="66"/>
  <c r="O131" i="66"/>
  <c r="K131" i="66" s="1"/>
  <c r="N131" i="66"/>
  <c r="J131" i="66" s="1"/>
  <c r="M131" i="66"/>
  <c r="I131" i="66" s="1"/>
  <c r="D131" i="66"/>
  <c r="O130" i="66"/>
  <c r="K130" i="66" s="1"/>
  <c r="N130" i="66"/>
  <c r="J130" i="66" s="1"/>
  <c r="M130" i="66"/>
  <c r="I130" i="66" s="1"/>
  <c r="D130" i="66"/>
  <c r="O129" i="66"/>
  <c r="K129" i="66" s="1"/>
  <c r="N129" i="66"/>
  <c r="J129" i="66" s="1"/>
  <c r="M129" i="66"/>
  <c r="I129" i="66" s="1"/>
  <c r="D129" i="66"/>
  <c r="O128" i="66"/>
  <c r="K128" i="66" s="1"/>
  <c r="N128" i="66"/>
  <c r="J128" i="66" s="1"/>
  <c r="M128" i="66"/>
  <c r="I128" i="66" s="1"/>
  <c r="D128" i="66"/>
  <c r="O127" i="66"/>
  <c r="K127" i="66" s="1"/>
  <c r="N127" i="66"/>
  <c r="J127" i="66" s="1"/>
  <c r="M127" i="66"/>
  <c r="I127" i="66" s="1"/>
  <c r="D127" i="66"/>
  <c r="O126" i="66"/>
  <c r="K126" i="66" s="1"/>
  <c r="N126" i="66"/>
  <c r="J126" i="66" s="1"/>
  <c r="M126" i="66"/>
  <c r="I126" i="66" s="1"/>
  <c r="D126" i="66"/>
  <c r="O125" i="66"/>
  <c r="K125" i="66" s="1"/>
  <c r="N125" i="66"/>
  <c r="J125" i="66" s="1"/>
  <c r="M125" i="66"/>
  <c r="I125" i="66" s="1"/>
  <c r="D125" i="66"/>
  <c r="O124" i="66"/>
  <c r="K124" i="66" s="1"/>
  <c r="N124" i="66"/>
  <c r="J124" i="66" s="1"/>
  <c r="M124" i="66"/>
  <c r="I124" i="66" s="1"/>
  <c r="D124" i="66"/>
  <c r="O123" i="66"/>
  <c r="K123" i="66" s="1"/>
  <c r="N123" i="66"/>
  <c r="J123" i="66" s="1"/>
  <c r="M123" i="66"/>
  <c r="I123" i="66" s="1"/>
  <c r="D123" i="66"/>
  <c r="O122" i="66"/>
  <c r="K122" i="66" s="1"/>
  <c r="N122" i="66"/>
  <c r="J122" i="66" s="1"/>
  <c r="M122" i="66"/>
  <c r="I122" i="66" s="1"/>
  <c r="D122" i="66"/>
  <c r="O121" i="66"/>
  <c r="K121" i="66" s="1"/>
  <c r="N121" i="66"/>
  <c r="J121" i="66" s="1"/>
  <c r="M121" i="66"/>
  <c r="I121" i="66" s="1"/>
  <c r="D121" i="66"/>
  <c r="O120" i="66"/>
  <c r="K120" i="66" s="1"/>
  <c r="N120" i="66"/>
  <c r="M120" i="66"/>
  <c r="I120" i="66" s="1"/>
  <c r="D120" i="66"/>
  <c r="O119" i="66"/>
  <c r="K119" i="66" s="1"/>
  <c r="N119" i="66"/>
  <c r="J119" i="66" s="1"/>
  <c r="M119" i="66"/>
  <c r="I119" i="66" s="1"/>
  <c r="D119" i="66"/>
  <c r="O118" i="66"/>
  <c r="K118" i="66" s="1"/>
  <c r="N118" i="66"/>
  <c r="J118" i="66" s="1"/>
  <c r="M118" i="66"/>
  <c r="D118" i="66"/>
  <c r="O117" i="66"/>
  <c r="K117" i="66" s="1"/>
  <c r="N117" i="66"/>
  <c r="J117" i="66" s="1"/>
  <c r="M117" i="66"/>
  <c r="D117" i="66"/>
  <c r="O116" i="66"/>
  <c r="K116" i="66" s="1"/>
  <c r="N116" i="66"/>
  <c r="J116" i="66" s="1"/>
  <c r="M116" i="66"/>
  <c r="D116" i="66"/>
  <c r="O115" i="66"/>
  <c r="K115" i="66" s="1"/>
  <c r="N115" i="66"/>
  <c r="J115" i="66" s="1"/>
  <c r="M115" i="66"/>
  <c r="D115" i="66"/>
  <c r="O114" i="66"/>
  <c r="K114" i="66" s="1"/>
  <c r="N114" i="66"/>
  <c r="J114" i="66" s="1"/>
  <c r="M114" i="66"/>
  <c r="I114" i="66" s="1"/>
  <c r="D114" i="66"/>
  <c r="O113" i="66"/>
  <c r="K113" i="66" s="1"/>
  <c r="N113" i="66"/>
  <c r="J113" i="66" s="1"/>
  <c r="M113" i="66"/>
  <c r="D113" i="66"/>
  <c r="O112" i="66"/>
  <c r="K112" i="66" s="1"/>
  <c r="N112" i="66"/>
  <c r="J112" i="66" s="1"/>
  <c r="M112" i="66"/>
  <c r="I112" i="66" s="1"/>
  <c r="D112" i="66"/>
  <c r="O111" i="66"/>
  <c r="K111" i="66" s="1"/>
  <c r="N111" i="66"/>
  <c r="J111" i="66" s="1"/>
  <c r="M111" i="66"/>
  <c r="D111" i="66"/>
  <c r="O110" i="66"/>
  <c r="K110" i="66" s="1"/>
  <c r="N110" i="66"/>
  <c r="J110" i="66" s="1"/>
  <c r="M110" i="66"/>
  <c r="I110" i="66" s="1"/>
  <c r="D110" i="66"/>
  <c r="O109" i="66"/>
  <c r="K109" i="66" s="1"/>
  <c r="N109" i="66"/>
  <c r="J109" i="66" s="1"/>
  <c r="M109" i="66"/>
  <c r="D109" i="66"/>
  <c r="O108" i="66"/>
  <c r="K108" i="66" s="1"/>
  <c r="N108" i="66"/>
  <c r="J108" i="66" s="1"/>
  <c r="M108" i="66"/>
  <c r="I108" i="66" s="1"/>
  <c r="D108" i="66"/>
  <c r="O107" i="66"/>
  <c r="K107" i="66" s="1"/>
  <c r="N107" i="66"/>
  <c r="J107" i="66" s="1"/>
  <c r="M107" i="66"/>
  <c r="D107" i="66"/>
  <c r="O106" i="66"/>
  <c r="K106" i="66" s="1"/>
  <c r="N106" i="66"/>
  <c r="J106" i="66" s="1"/>
  <c r="M106" i="66"/>
  <c r="I106" i="66" s="1"/>
  <c r="D106" i="66"/>
  <c r="O105" i="66"/>
  <c r="K105" i="66" s="1"/>
  <c r="N105" i="66"/>
  <c r="J105" i="66" s="1"/>
  <c r="M105" i="66"/>
  <c r="D105" i="66"/>
  <c r="O104" i="66"/>
  <c r="K104" i="66" s="1"/>
  <c r="N104" i="66"/>
  <c r="J104" i="66" s="1"/>
  <c r="M104" i="66"/>
  <c r="I104" i="66" s="1"/>
  <c r="D104" i="66"/>
  <c r="O103" i="66"/>
  <c r="K103" i="66" s="1"/>
  <c r="N103" i="66"/>
  <c r="J103" i="66" s="1"/>
  <c r="M103" i="66"/>
  <c r="D103" i="66"/>
  <c r="O102" i="66"/>
  <c r="K102" i="66" s="1"/>
  <c r="N102" i="66"/>
  <c r="J102" i="66" s="1"/>
  <c r="M102" i="66"/>
  <c r="I102" i="66" s="1"/>
  <c r="D102" i="66"/>
  <c r="O101" i="66"/>
  <c r="K101" i="66" s="1"/>
  <c r="N101" i="66"/>
  <c r="J101" i="66" s="1"/>
  <c r="M101" i="66"/>
  <c r="D101" i="66"/>
  <c r="O100" i="66"/>
  <c r="K100" i="66" s="1"/>
  <c r="N100" i="66"/>
  <c r="J100" i="66" s="1"/>
  <c r="M100" i="66"/>
  <c r="I100" i="66" s="1"/>
  <c r="D100" i="66"/>
  <c r="O99" i="66"/>
  <c r="K99" i="66" s="1"/>
  <c r="N99" i="66"/>
  <c r="J99" i="66" s="1"/>
  <c r="M99" i="66"/>
  <c r="D99" i="66"/>
  <c r="O98" i="66"/>
  <c r="K98" i="66" s="1"/>
  <c r="N98" i="66"/>
  <c r="J98" i="66" s="1"/>
  <c r="M98" i="66"/>
  <c r="I98" i="66" s="1"/>
  <c r="D98" i="66"/>
  <c r="O97" i="66"/>
  <c r="K97" i="66" s="1"/>
  <c r="N97" i="66"/>
  <c r="J97" i="66" s="1"/>
  <c r="M97" i="66"/>
  <c r="D97" i="66"/>
  <c r="O96" i="66"/>
  <c r="K96" i="66" s="1"/>
  <c r="N96" i="66"/>
  <c r="J96" i="66" s="1"/>
  <c r="M96" i="66"/>
  <c r="I96" i="66" s="1"/>
  <c r="D96" i="66"/>
  <c r="O95" i="66"/>
  <c r="K95" i="66" s="1"/>
  <c r="N95" i="66"/>
  <c r="J95" i="66" s="1"/>
  <c r="M95" i="66"/>
  <c r="D95" i="66"/>
  <c r="O94" i="66"/>
  <c r="K94" i="66" s="1"/>
  <c r="N94" i="66"/>
  <c r="J94" i="66" s="1"/>
  <c r="M94" i="66"/>
  <c r="I94" i="66" s="1"/>
  <c r="D94" i="66"/>
  <c r="O93" i="66"/>
  <c r="K93" i="66" s="1"/>
  <c r="N93" i="66"/>
  <c r="J93" i="66" s="1"/>
  <c r="M93" i="66"/>
  <c r="D93" i="66"/>
  <c r="O92" i="66"/>
  <c r="K92" i="66" s="1"/>
  <c r="N92" i="66"/>
  <c r="J92" i="66" s="1"/>
  <c r="M92" i="66"/>
  <c r="I92" i="66" s="1"/>
  <c r="D92" i="66"/>
  <c r="O91" i="66"/>
  <c r="K91" i="66" s="1"/>
  <c r="N91" i="66"/>
  <c r="J91" i="66" s="1"/>
  <c r="M91" i="66"/>
  <c r="I91" i="66" s="1"/>
  <c r="D91" i="66"/>
  <c r="O90" i="66"/>
  <c r="K90" i="66" s="1"/>
  <c r="N90" i="66"/>
  <c r="J90" i="66" s="1"/>
  <c r="M90" i="66"/>
  <c r="I90" i="66" s="1"/>
  <c r="D90" i="66"/>
  <c r="O89" i="66"/>
  <c r="K89" i="66" s="1"/>
  <c r="N89" i="66"/>
  <c r="J89" i="66" s="1"/>
  <c r="M89" i="66"/>
  <c r="I89" i="66" s="1"/>
  <c r="D89" i="66"/>
  <c r="O88" i="66"/>
  <c r="K88" i="66" s="1"/>
  <c r="N88" i="66"/>
  <c r="J88" i="66" s="1"/>
  <c r="M88" i="66"/>
  <c r="I88" i="66" s="1"/>
  <c r="D88" i="66"/>
  <c r="O87" i="66"/>
  <c r="K87" i="66" s="1"/>
  <c r="N87" i="66"/>
  <c r="J87" i="66" s="1"/>
  <c r="M87" i="66"/>
  <c r="I87" i="66" s="1"/>
  <c r="D87" i="66"/>
  <c r="O86" i="66"/>
  <c r="K86" i="66" s="1"/>
  <c r="N86" i="66"/>
  <c r="J86" i="66" s="1"/>
  <c r="M86" i="66"/>
  <c r="I86" i="66" s="1"/>
  <c r="D86" i="66"/>
  <c r="O85" i="66"/>
  <c r="K85" i="66" s="1"/>
  <c r="N85" i="66"/>
  <c r="J85" i="66" s="1"/>
  <c r="M85" i="66"/>
  <c r="I85" i="66" s="1"/>
  <c r="D85" i="66"/>
  <c r="O84" i="66"/>
  <c r="K84" i="66" s="1"/>
  <c r="N84" i="66"/>
  <c r="J84" i="66" s="1"/>
  <c r="M84" i="66"/>
  <c r="I84" i="66" s="1"/>
  <c r="D84" i="66"/>
  <c r="O83" i="66"/>
  <c r="K83" i="66" s="1"/>
  <c r="N83" i="66"/>
  <c r="J83" i="66" s="1"/>
  <c r="M83" i="66"/>
  <c r="I83" i="66" s="1"/>
  <c r="D83" i="66"/>
  <c r="O82" i="66"/>
  <c r="K82" i="66" s="1"/>
  <c r="N82" i="66"/>
  <c r="J82" i="66" s="1"/>
  <c r="M82" i="66"/>
  <c r="I82" i="66" s="1"/>
  <c r="D82" i="66"/>
  <c r="O81" i="66"/>
  <c r="K81" i="66" s="1"/>
  <c r="N81" i="66"/>
  <c r="J81" i="66" s="1"/>
  <c r="M81" i="66"/>
  <c r="I81" i="66" s="1"/>
  <c r="D81" i="66"/>
  <c r="O80" i="66"/>
  <c r="K80" i="66" s="1"/>
  <c r="N80" i="66"/>
  <c r="J80" i="66" s="1"/>
  <c r="M80" i="66"/>
  <c r="I80" i="66" s="1"/>
  <c r="D80" i="66"/>
  <c r="O79" i="66"/>
  <c r="K79" i="66" s="1"/>
  <c r="N79" i="66"/>
  <c r="J79" i="66" s="1"/>
  <c r="M79" i="66"/>
  <c r="I79" i="66" s="1"/>
  <c r="D79" i="66"/>
  <c r="O78" i="66"/>
  <c r="K78" i="66" s="1"/>
  <c r="N78" i="66"/>
  <c r="J78" i="66" s="1"/>
  <c r="M78" i="66"/>
  <c r="I78" i="66" s="1"/>
  <c r="D78" i="66"/>
  <c r="O77" i="66"/>
  <c r="K77" i="66" s="1"/>
  <c r="N77" i="66"/>
  <c r="J77" i="66" s="1"/>
  <c r="M77" i="66"/>
  <c r="I77" i="66" s="1"/>
  <c r="D77" i="66"/>
  <c r="O76" i="66"/>
  <c r="N76" i="66"/>
  <c r="J76" i="66" s="1"/>
  <c r="M76" i="66"/>
  <c r="D76" i="66"/>
  <c r="D167" i="66" s="1"/>
  <c r="S66" i="66"/>
  <c r="R66" i="66"/>
  <c r="Q66" i="66"/>
  <c r="F64" i="66"/>
  <c r="E64" i="66"/>
  <c r="F63" i="66"/>
  <c r="E63" i="66"/>
  <c r="F62" i="66"/>
  <c r="E62" i="66"/>
  <c r="O61" i="66"/>
  <c r="K61" i="66" s="1"/>
  <c r="N61" i="66"/>
  <c r="J61" i="66" s="1"/>
  <c r="M61" i="66"/>
  <c r="I61" i="66" s="1"/>
  <c r="D61" i="66"/>
  <c r="O60" i="66"/>
  <c r="K60" i="66" s="1"/>
  <c r="N60" i="66"/>
  <c r="J60" i="66" s="1"/>
  <c r="M60" i="66"/>
  <c r="I60" i="66" s="1"/>
  <c r="D60" i="66"/>
  <c r="O59" i="66"/>
  <c r="K59" i="66" s="1"/>
  <c r="N59" i="66"/>
  <c r="J59" i="66" s="1"/>
  <c r="M59" i="66"/>
  <c r="I59" i="66" s="1"/>
  <c r="D59" i="66"/>
  <c r="O58" i="66"/>
  <c r="K58" i="66" s="1"/>
  <c r="N58" i="66"/>
  <c r="J58" i="66" s="1"/>
  <c r="M58" i="66"/>
  <c r="I58" i="66" s="1"/>
  <c r="D58" i="66"/>
  <c r="O57" i="66"/>
  <c r="K57" i="66" s="1"/>
  <c r="N57" i="66"/>
  <c r="J57" i="66" s="1"/>
  <c r="M57" i="66"/>
  <c r="I57" i="66" s="1"/>
  <c r="D57" i="66"/>
  <c r="O56" i="66"/>
  <c r="K56" i="66" s="1"/>
  <c r="N56" i="66"/>
  <c r="J56" i="66" s="1"/>
  <c r="M56" i="66"/>
  <c r="I56" i="66" s="1"/>
  <c r="D56" i="66"/>
  <c r="O55" i="66"/>
  <c r="K55" i="66" s="1"/>
  <c r="N55" i="66"/>
  <c r="J55" i="66" s="1"/>
  <c r="M55" i="66"/>
  <c r="I55" i="66" s="1"/>
  <c r="D55" i="66"/>
  <c r="O54" i="66"/>
  <c r="K54" i="66" s="1"/>
  <c r="N54" i="66"/>
  <c r="J54" i="66" s="1"/>
  <c r="M54" i="66"/>
  <c r="I54" i="66" s="1"/>
  <c r="D54" i="66"/>
  <c r="O53" i="66"/>
  <c r="K53" i="66" s="1"/>
  <c r="N53" i="66"/>
  <c r="J53" i="66" s="1"/>
  <c r="M53" i="66"/>
  <c r="I53" i="66" s="1"/>
  <c r="D53" i="66"/>
  <c r="O52" i="66"/>
  <c r="K52" i="66" s="1"/>
  <c r="N52" i="66"/>
  <c r="C52" i="66" s="1"/>
  <c r="M52" i="66"/>
  <c r="I52" i="66" s="1"/>
  <c r="D52" i="66"/>
  <c r="O51" i="66"/>
  <c r="K51" i="66" s="1"/>
  <c r="N51" i="66"/>
  <c r="J51" i="66" s="1"/>
  <c r="M51" i="66"/>
  <c r="I51" i="66" s="1"/>
  <c r="D51" i="66"/>
  <c r="O50" i="66"/>
  <c r="K50" i="66" s="1"/>
  <c r="N50" i="66"/>
  <c r="J50" i="66" s="1"/>
  <c r="M50" i="66"/>
  <c r="I50" i="66" s="1"/>
  <c r="D50" i="66"/>
  <c r="O49" i="66"/>
  <c r="K49" i="66" s="1"/>
  <c r="N49" i="66"/>
  <c r="J49" i="66" s="1"/>
  <c r="M49" i="66"/>
  <c r="D49" i="66"/>
  <c r="O48" i="66"/>
  <c r="K48" i="66" s="1"/>
  <c r="N48" i="66"/>
  <c r="J48" i="66" s="1"/>
  <c r="M48" i="66"/>
  <c r="I48" i="66" s="1"/>
  <c r="D48" i="66"/>
  <c r="O47" i="66"/>
  <c r="K47" i="66" s="1"/>
  <c r="N47" i="66"/>
  <c r="J47" i="66" s="1"/>
  <c r="M47" i="66"/>
  <c r="I47" i="66" s="1"/>
  <c r="D47" i="66"/>
  <c r="O46" i="66"/>
  <c r="K46" i="66" s="1"/>
  <c r="N46" i="66"/>
  <c r="J46" i="66" s="1"/>
  <c r="M46" i="66"/>
  <c r="I46" i="66" s="1"/>
  <c r="D46" i="66"/>
  <c r="O45" i="66"/>
  <c r="K45" i="66" s="1"/>
  <c r="N45" i="66"/>
  <c r="J45" i="66" s="1"/>
  <c r="M45" i="66"/>
  <c r="I45" i="66" s="1"/>
  <c r="D45" i="66"/>
  <c r="O44" i="66"/>
  <c r="K44" i="66" s="1"/>
  <c r="N44" i="66"/>
  <c r="J44" i="66" s="1"/>
  <c r="M44" i="66"/>
  <c r="I44" i="66" s="1"/>
  <c r="D44" i="66"/>
  <c r="O43" i="66"/>
  <c r="K43" i="66" s="1"/>
  <c r="N43" i="66"/>
  <c r="J43" i="66" s="1"/>
  <c r="M43" i="66"/>
  <c r="I43" i="66" s="1"/>
  <c r="D43" i="66"/>
  <c r="O42" i="66"/>
  <c r="K42" i="66" s="1"/>
  <c r="N42" i="66"/>
  <c r="J42" i="66" s="1"/>
  <c r="M42" i="66"/>
  <c r="I42" i="66" s="1"/>
  <c r="D42" i="66"/>
  <c r="O41" i="66"/>
  <c r="K41" i="66" s="1"/>
  <c r="N41" i="66"/>
  <c r="J41" i="66" s="1"/>
  <c r="M41" i="66"/>
  <c r="D41" i="66"/>
  <c r="O40" i="66"/>
  <c r="K40" i="66" s="1"/>
  <c r="N40" i="66"/>
  <c r="J40" i="66" s="1"/>
  <c r="M40" i="66"/>
  <c r="I40" i="66" s="1"/>
  <c r="D40" i="66"/>
  <c r="O39" i="66"/>
  <c r="K39" i="66" s="1"/>
  <c r="N39" i="66"/>
  <c r="J39" i="66" s="1"/>
  <c r="M39" i="66"/>
  <c r="I39" i="66" s="1"/>
  <c r="D39" i="66"/>
  <c r="O38" i="66"/>
  <c r="K38" i="66" s="1"/>
  <c r="N38" i="66"/>
  <c r="J38" i="66" s="1"/>
  <c r="M38" i="66"/>
  <c r="I38" i="66" s="1"/>
  <c r="D38" i="66"/>
  <c r="O37" i="66"/>
  <c r="K37" i="66" s="1"/>
  <c r="N37" i="66"/>
  <c r="J37" i="66" s="1"/>
  <c r="M37" i="66"/>
  <c r="I37" i="66" s="1"/>
  <c r="D37" i="66"/>
  <c r="O36" i="66"/>
  <c r="N36" i="66"/>
  <c r="J36" i="66" s="1"/>
  <c r="M36" i="66"/>
  <c r="I36" i="66" s="1"/>
  <c r="D36" i="66"/>
  <c r="O35" i="66"/>
  <c r="K35" i="66" s="1"/>
  <c r="N35" i="66"/>
  <c r="J35" i="66" s="1"/>
  <c r="M35" i="66"/>
  <c r="I35" i="66" s="1"/>
  <c r="D35" i="66"/>
  <c r="O34" i="66"/>
  <c r="K34" i="66" s="1"/>
  <c r="N34" i="66"/>
  <c r="J34" i="66" s="1"/>
  <c r="M34" i="66"/>
  <c r="I34" i="66" s="1"/>
  <c r="D34" i="66"/>
  <c r="O33" i="66"/>
  <c r="K33" i="66" s="1"/>
  <c r="N33" i="66"/>
  <c r="J33" i="66" s="1"/>
  <c r="M33" i="66"/>
  <c r="M71" i="66" s="1"/>
  <c r="D33" i="66"/>
  <c r="O32" i="66"/>
  <c r="K32" i="66" s="1"/>
  <c r="N32" i="66"/>
  <c r="J32" i="66" s="1"/>
  <c r="M32" i="66"/>
  <c r="I32" i="66" s="1"/>
  <c r="D32" i="66"/>
  <c r="O31" i="66"/>
  <c r="K31" i="66" s="1"/>
  <c r="N31" i="66"/>
  <c r="J31" i="66" s="1"/>
  <c r="M31" i="66"/>
  <c r="I31" i="66" s="1"/>
  <c r="D31" i="66"/>
  <c r="O30" i="66"/>
  <c r="K30" i="66" s="1"/>
  <c r="N30" i="66"/>
  <c r="J30" i="66" s="1"/>
  <c r="M30" i="66"/>
  <c r="M69" i="66" s="1"/>
  <c r="D30" i="66"/>
  <c r="O29" i="66"/>
  <c r="K29" i="66" s="1"/>
  <c r="N29" i="66"/>
  <c r="J29" i="66" s="1"/>
  <c r="M29" i="66"/>
  <c r="I29" i="66" s="1"/>
  <c r="D29" i="66"/>
  <c r="O28" i="66"/>
  <c r="K28" i="66" s="1"/>
  <c r="N28" i="66"/>
  <c r="J28" i="66" s="1"/>
  <c r="M28" i="66"/>
  <c r="D28" i="66"/>
  <c r="O27" i="66"/>
  <c r="O66" i="66" s="1"/>
  <c r="N27" i="66"/>
  <c r="J27" i="66" s="1"/>
  <c r="M27" i="66"/>
  <c r="I27" i="66" s="1"/>
  <c r="D27" i="66"/>
  <c r="S22" i="66"/>
  <c r="R22" i="66"/>
  <c r="Q22" i="66"/>
  <c r="O22" i="66"/>
  <c r="N22" i="66"/>
  <c r="M22" i="66"/>
  <c r="K22" i="66"/>
  <c r="F20" i="66"/>
  <c r="E20" i="66"/>
  <c r="F19" i="66"/>
  <c r="E19" i="66"/>
  <c r="F18" i="66"/>
  <c r="E18" i="66"/>
  <c r="K16" i="66"/>
  <c r="J16" i="66"/>
  <c r="J22" i="66" s="1"/>
  <c r="I16" i="66"/>
  <c r="I22" i="66" s="1"/>
  <c r="D16" i="66"/>
  <c r="D22" i="66" s="1"/>
  <c r="C16" i="66"/>
  <c r="C22" i="66" s="1"/>
  <c r="A15" i="66"/>
  <c r="A16" i="66" s="1"/>
  <c r="A17" i="66" s="1"/>
  <c r="A18" i="66" s="1"/>
  <c r="A19" i="66" s="1"/>
  <c r="A20" i="66" s="1"/>
  <c r="A21" i="66" s="1"/>
  <c r="A22" i="66" s="1"/>
  <c r="A23" i="66" s="1"/>
  <c r="A24" i="66" s="1"/>
  <c r="A25" i="66" s="1"/>
  <c r="A26" i="66" s="1"/>
  <c r="A27" i="66" s="1"/>
  <c r="A28" i="66" s="1"/>
  <c r="A29" i="66" s="1"/>
  <c r="A30" i="66" s="1"/>
  <c r="A31" i="66" s="1"/>
  <c r="A32" i="66" s="1"/>
  <c r="A33" i="66" s="1"/>
  <c r="A34" i="66" s="1"/>
  <c r="A35" i="66" s="1"/>
  <c r="A36" i="66" s="1"/>
  <c r="A37" i="66" s="1"/>
  <c r="A38" i="66" s="1"/>
  <c r="A39" i="66" s="1"/>
  <c r="A40" i="66" s="1"/>
  <c r="A41" i="66" s="1"/>
  <c r="A42" i="66" s="1"/>
  <c r="A43" i="66" s="1"/>
  <c r="A44" i="66" s="1"/>
  <c r="A45" i="66" s="1"/>
  <c r="A46" i="66" s="1"/>
  <c r="A47" i="66" s="1"/>
  <c r="A48" i="66" s="1"/>
  <c r="A49" i="66" s="1"/>
  <c r="A50" i="66" s="1"/>
  <c r="A51" i="66" s="1"/>
  <c r="A52" i="66" s="1"/>
  <c r="A53" i="66" s="1"/>
  <c r="A54" i="66" s="1"/>
  <c r="A55" i="66" s="1"/>
  <c r="A56" i="66" s="1"/>
  <c r="A57" i="66" s="1"/>
  <c r="A58" i="66" s="1"/>
  <c r="A59" i="66" s="1"/>
  <c r="A60" i="66" s="1"/>
  <c r="A61" i="66" s="1"/>
  <c r="A62" i="66" s="1"/>
  <c r="A63" i="66" s="1"/>
  <c r="A64" i="66" s="1"/>
  <c r="A65" i="66" s="1"/>
  <c r="A66" i="66" s="1"/>
  <c r="A67" i="66" s="1"/>
  <c r="A68" i="66" s="1"/>
  <c r="A74" i="66" s="1"/>
  <c r="A75" i="66" s="1"/>
  <c r="A76" i="66" s="1"/>
  <c r="A77" i="66" s="1"/>
  <c r="A78" i="66" s="1"/>
  <c r="A79" i="66" s="1"/>
  <c r="A80" i="66" s="1"/>
  <c r="A81" i="66" s="1"/>
  <c r="A82" i="66" s="1"/>
  <c r="A83" i="66" s="1"/>
  <c r="A84" i="66" s="1"/>
  <c r="A85" i="66" s="1"/>
  <c r="A86" i="66" s="1"/>
  <c r="A87" i="66" s="1"/>
  <c r="A88" i="66" s="1"/>
  <c r="A89" i="66" s="1"/>
  <c r="A90" i="66" s="1"/>
  <c r="A91" i="66" s="1"/>
  <c r="A92" i="66" s="1"/>
  <c r="A93" i="66" s="1"/>
  <c r="A94" i="66" s="1"/>
  <c r="A95" i="66" s="1"/>
  <c r="A96" i="66" s="1"/>
  <c r="A97" i="66" s="1"/>
  <c r="A98" i="66" s="1"/>
  <c r="A99" i="66" s="1"/>
  <c r="A100" i="66" s="1"/>
  <c r="A101" i="66" s="1"/>
  <c r="A102" i="66" s="1"/>
  <c r="A103" i="66" s="1"/>
  <c r="A104" i="66" s="1"/>
  <c r="A105" i="66" s="1"/>
  <c r="A106" i="66" s="1"/>
  <c r="A107" i="66" s="1"/>
  <c r="A108" i="66" s="1"/>
  <c r="A109" i="66" s="1"/>
  <c r="A110" i="66" s="1"/>
  <c r="A111" i="66" s="1"/>
  <c r="A112" i="66" s="1"/>
  <c r="A113" i="66" s="1"/>
  <c r="A114" i="66" s="1"/>
  <c r="A115" i="66" s="1"/>
  <c r="A116" i="66" s="1"/>
  <c r="A117" i="66" s="1"/>
  <c r="A118" i="66" s="1"/>
  <c r="A119" i="66" s="1"/>
  <c r="A120" i="66" s="1"/>
  <c r="A121" i="66" s="1"/>
  <c r="A122" i="66" s="1"/>
  <c r="A123" i="66" s="1"/>
  <c r="A124" i="66" s="1"/>
  <c r="A125" i="66" s="1"/>
  <c r="A126" i="66" s="1"/>
  <c r="A127" i="66" s="1"/>
  <c r="A128" i="66" s="1"/>
  <c r="A129" i="66" s="1"/>
  <c r="A130" i="66" s="1"/>
  <c r="A131" i="66" s="1"/>
  <c r="A132" i="66" s="1"/>
  <c r="A133" i="66" s="1"/>
  <c r="A134" i="66" s="1"/>
  <c r="A135" i="66" s="1"/>
  <c r="A136" i="66" s="1"/>
  <c r="A137" i="66" s="1"/>
  <c r="A138" i="66" s="1"/>
  <c r="A139" i="66" s="1"/>
  <c r="A140" i="66" s="1"/>
  <c r="A141" i="66" s="1"/>
  <c r="A142" i="66" s="1"/>
  <c r="A143" i="66" s="1"/>
  <c r="A144" i="66" s="1"/>
  <c r="A145" i="66" s="1"/>
  <c r="A146" i="66" s="1"/>
  <c r="A147" i="66" s="1"/>
  <c r="A148" i="66" s="1"/>
  <c r="A149" i="66" s="1"/>
  <c r="A150" i="66" s="1"/>
  <c r="A151" i="66" s="1"/>
  <c r="A152" i="66" s="1"/>
  <c r="A153" i="66" s="1"/>
  <c r="A154" i="66" s="1"/>
  <c r="A155" i="66" s="1"/>
  <c r="A156" i="66" s="1"/>
  <c r="A157" i="66" s="1"/>
  <c r="A158" i="66" s="1"/>
  <c r="A159" i="66" s="1"/>
  <c r="A160" i="66" s="1"/>
  <c r="A161" i="66" s="1"/>
  <c r="A162" i="66" s="1"/>
  <c r="A163" i="66" s="1"/>
  <c r="A164" i="66" s="1"/>
  <c r="A165" i="66" s="1"/>
  <c r="A166" i="66" s="1"/>
  <c r="A167" i="66" s="1"/>
  <c r="A168" i="66" s="1"/>
  <c r="A169" i="66" s="1"/>
  <c r="A170" i="66" s="1"/>
  <c r="A171" i="66" s="1"/>
  <c r="A172" i="66" s="1"/>
  <c r="A173" i="66" s="1"/>
  <c r="A174" i="66" s="1"/>
  <c r="A175" i="66" s="1"/>
  <c r="A183" i="66" s="1"/>
  <c r="A184" i="66" s="1"/>
  <c r="A185" i="66" s="1"/>
  <c r="A186" i="66" s="1"/>
  <c r="A187" i="66" s="1"/>
  <c r="A188" i="66" s="1"/>
  <c r="A189" i="66" s="1"/>
  <c r="A190" i="66" s="1"/>
  <c r="A191" i="66" s="1"/>
  <c r="A192" i="66" s="1"/>
  <c r="A193" i="66" s="1"/>
  <c r="A194" i="66" s="1"/>
  <c r="F12" i="66"/>
  <c r="E12" i="66"/>
  <c r="F22" i="66" l="1"/>
  <c r="O69" i="66"/>
  <c r="C51" i="66"/>
  <c r="G51" i="66" s="1"/>
  <c r="M70" i="66"/>
  <c r="N71" i="66"/>
  <c r="N70" i="66"/>
  <c r="O71" i="66"/>
  <c r="O72" i="66" s="1"/>
  <c r="N69" i="66"/>
  <c r="O70" i="66"/>
  <c r="C134" i="66"/>
  <c r="G134" i="66" s="1"/>
  <c r="C83" i="66"/>
  <c r="G83" i="66" s="1"/>
  <c r="E22" i="66"/>
  <c r="G20" i="66"/>
  <c r="C95" i="66"/>
  <c r="G95" i="66" s="1"/>
  <c r="C111" i="66"/>
  <c r="G111" i="66" s="1"/>
  <c r="C121" i="66"/>
  <c r="G121" i="66" s="1"/>
  <c r="G52" i="66"/>
  <c r="C142" i="66"/>
  <c r="G142" i="66" s="1"/>
  <c r="C154" i="66"/>
  <c r="G154" i="66" s="1"/>
  <c r="C156" i="66"/>
  <c r="G156" i="66" s="1"/>
  <c r="G19" i="66"/>
  <c r="C44" i="66"/>
  <c r="G44" i="66" s="1"/>
  <c r="G63" i="66"/>
  <c r="C120" i="66"/>
  <c r="G120" i="66" s="1"/>
  <c r="C30" i="66"/>
  <c r="G30" i="66" s="1"/>
  <c r="J52" i="66"/>
  <c r="C91" i="66"/>
  <c r="G91" i="66" s="1"/>
  <c r="C103" i="66"/>
  <c r="G103" i="66" s="1"/>
  <c r="C122" i="66"/>
  <c r="G122" i="66" s="1"/>
  <c r="C138" i="66"/>
  <c r="G138" i="66" s="1"/>
  <c r="C149" i="66"/>
  <c r="G149" i="66" s="1"/>
  <c r="C158" i="66"/>
  <c r="G158" i="66" s="1"/>
  <c r="R173" i="66"/>
  <c r="G171" i="66"/>
  <c r="I194" i="66"/>
  <c r="G62" i="66"/>
  <c r="G64" i="66"/>
  <c r="C86" i="66"/>
  <c r="G86" i="66" s="1"/>
  <c r="C98" i="66"/>
  <c r="G98" i="66" s="1"/>
  <c r="C102" i="66"/>
  <c r="G102" i="66" s="1"/>
  <c r="C114" i="66"/>
  <c r="G114" i="66" s="1"/>
  <c r="C117" i="66"/>
  <c r="G117" i="66" s="1"/>
  <c r="C151" i="66"/>
  <c r="G151" i="66" s="1"/>
  <c r="G164" i="66"/>
  <c r="D170" i="66"/>
  <c r="D173" i="66"/>
  <c r="F167" i="66"/>
  <c r="F173" i="66" s="1"/>
  <c r="D66" i="66"/>
  <c r="C36" i="66"/>
  <c r="G36" i="66" s="1"/>
  <c r="C94" i="66"/>
  <c r="G94" i="66" s="1"/>
  <c r="C106" i="66"/>
  <c r="G106" i="66" s="1"/>
  <c r="C110" i="66"/>
  <c r="G110" i="66" s="1"/>
  <c r="C150" i="66"/>
  <c r="G150" i="66" s="1"/>
  <c r="I30" i="66"/>
  <c r="C31" i="66"/>
  <c r="G31" i="66" s="1"/>
  <c r="C35" i="66"/>
  <c r="G35" i="66" s="1"/>
  <c r="C43" i="66"/>
  <c r="G43" i="66" s="1"/>
  <c r="C49" i="66"/>
  <c r="G49" i="66" s="1"/>
  <c r="C57" i="66"/>
  <c r="G57" i="66" s="1"/>
  <c r="C60" i="66"/>
  <c r="G60" i="66" s="1"/>
  <c r="F66" i="66"/>
  <c r="C76" i="66"/>
  <c r="C79" i="66"/>
  <c r="G79" i="66" s="1"/>
  <c r="C82" i="66"/>
  <c r="G82" i="66" s="1"/>
  <c r="C87" i="66"/>
  <c r="G87" i="66" s="1"/>
  <c r="C90" i="66"/>
  <c r="G90" i="66" s="1"/>
  <c r="C99" i="66"/>
  <c r="G99" i="66" s="1"/>
  <c r="C107" i="66"/>
  <c r="G107" i="66" s="1"/>
  <c r="C115" i="66"/>
  <c r="G115" i="66" s="1"/>
  <c r="C118" i="66"/>
  <c r="G118" i="66" s="1"/>
  <c r="J120" i="66"/>
  <c r="J167" i="66" s="1"/>
  <c r="J173" i="66" s="1"/>
  <c r="C136" i="66"/>
  <c r="G136" i="66" s="1"/>
  <c r="C140" i="66"/>
  <c r="G140" i="66" s="1"/>
  <c r="C144" i="66"/>
  <c r="G144" i="66" s="1"/>
  <c r="C145" i="66"/>
  <c r="G145" i="66" s="1"/>
  <c r="C152" i="66"/>
  <c r="G152" i="66" s="1"/>
  <c r="C153" i="66"/>
  <c r="G153" i="66" s="1"/>
  <c r="C155" i="66"/>
  <c r="G155" i="66" s="1"/>
  <c r="C157" i="66"/>
  <c r="G157" i="66" s="1"/>
  <c r="C29" i="66"/>
  <c r="G29" i="66" s="1"/>
  <c r="C96" i="66"/>
  <c r="G96" i="66" s="1"/>
  <c r="C97" i="66"/>
  <c r="G97" i="66" s="1"/>
  <c r="C104" i="66"/>
  <c r="G104" i="66" s="1"/>
  <c r="C105" i="66"/>
  <c r="G105" i="66" s="1"/>
  <c r="C112" i="66"/>
  <c r="G112" i="66" s="1"/>
  <c r="C113" i="66"/>
  <c r="G113" i="66" s="1"/>
  <c r="C116" i="66"/>
  <c r="G116" i="66" s="1"/>
  <c r="C124" i="66"/>
  <c r="G124" i="66" s="1"/>
  <c r="C126" i="66"/>
  <c r="G126" i="66" s="1"/>
  <c r="C129" i="66"/>
  <c r="G129" i="66" s="1"/>
  <c r="C28" i="66"/>
  <c r="G28" i="66" s="1"/>
  <c r="C32" i="66"/>
  <c r="G32" i="66" s="1"/>
  <c r="K36" i="66"/>
  <c r="C39" i="66"/>
  <c r="G39" i="66" s="1"/>
  <c r="C56" i="66"/>
  <c r="G56" i="66" s="1"/>
  <c r="C61" i="66"/>
  <c r="G61" i="66" s="1"/>
  <c r="C78" i="66"/>
  <c r="G78" i="66" s="1"/>
  <c r="C148" i="66"/>
  <c r="G148" i="66" s="1"/>
  <c r="N66" i="66"/>
  <c r="C33" i="66"/>
  <c r="G33" i="66" s="1"/>
  <c r="C41" i="66"/>
  <c r="G41" i="66" s="1"/>
  <c r="C47" i="66"/>
  <c r="G47" i="66" s="1"/>
  <c r="C100" i="66"/>
  <c r="G100" i="66" s="1"/>
  <c r="C101" i="66"/>
  <c r="G101" i="66" s="1"/>
  <c r="C108" i="66"/>
  <c r="G108" i="66" s="1"/>
  <c r="C109" i="66"/>
  <c r="G109" i="66" s="1"/>
  <c r="C125" i="66"/>
  <c r="G125" i="66" s="1"/>
  <c r="C130" i="66"/>
  <c r="G130" i="66" s="1"/>
  <c r="C133" i="66"/>
  <c r="G133" i="66" s="1"/>
  <c r="C137" i="66"/>
  <c r="G137" i="66" s="1"/>
  <c r="C141" i="66"/>
  <c r="G141" i="66" s="1"/>
  <c r="C146" i="66"/>
  <c r="G146" i="66" s="1"/>
  <c r="C147" i="66"/>
  <c r="G147" i="66" s="1"/>
  <c r="G76" i="66"/>
  <c r="C27" i="66"/>
  <c r="J66" i="66"/>
  <c r="G16" i="66"/>
  <c r="G18" i="66"/>
  <c r="I33" i="66"/>
  <c r="C40" i="66"/>
  <c r="G40" i="66" s="1"/>
  <c r="I41" i="66"/>
  <c r="C48" i="66"/>
  <c r="G48" i="66" s="1"/>
  <c r="I49" i="66"/>
  <c r="C55" i="66"/>
  <c r="G55" i="66" s="1"/>
  <c r="C59" i="66"/>
  <c r="G59" i="66" s="1"/>
  <c r="C77" i="66"/>
  <c r="G77" i="66" s="1"/>
  <c r="C81" i="66"/>
  <c r="G81" i="66" s="1"/>
  <c r="C85" i="66"/>
  <c r="G85" i="66" s="1"/>
  <c r="C89" i="66"/>
  <c r="G89" i="66" s="1"/>
  <c r="C34" i="66"/>
  <c r="G34" i="66" s="1"/>
  <c r="C42" i="66"/>
  <c r="G42" i="66" s="1"/>
  <c r="C50" i="66"/>
  <c r="G50" i="66" s="1"/>
  <c r="C58" i="66"/>
  <c r="G58" i="66" s="1"/>
  <c r="E66" i="66"/>
  <c r="M167" i="66"/>
  <c r="M173" i="66" s="1"/>
  <c r="I76" i="66"/>
  <c r="C80" i="66"/>
  <c r="G80" i="66" s="1"/>
  <c r="C84" i="66"/>
  <c r="G84" i="66" s="1"/>
  <c r="C88" i="66"/>
  <c r="G88" i="66" s="1"/>
  <c r="C92" i="66"/>
  <c r="G92" i="66" s="1"/>
  <c r="K27" i="66"/>
  <c r="I28" i="66"/>
  <c r="M66" i="66"/>
  <c r="M72" i="66" s="1"/>
  <c r="C37" i="66"/>
  <c r="G37" i="66" s="1"/>
  <c r="C38" i="66"/>
  <c r="G38" i="66" s="1"/>
  <c r="C45" i="66"/>
  <c r="G45" i="66" s="1"/>
  <c r="C46" i="66"/>
  <c r="G46" i="66" s="1"/>
  <c r="C53" i="66"/>
  <c r="G53" i="66" s="1"/>
  <c r="C54" i="66"/>
  <c r="G54" i="66" s="1"/>
  <c r="O167" i="66"/>
  <c r="O173" i="66" s="1"/>
  <c r="K76" i="66"/>
  <c r="K167" i="66" s="1"/>
  <c r="K173" i="66" s="1"/>
  <c r="C93" i="66"/>
  <c r="G93" i="66" s="1"/>
  <c r="I93" i="66"/>
  <c r="N167" i="66"/>
  <c r="N173" i="66" s="1"/>
  <c r="I116" i="66"/>
  <c r="I118" i="66"/>
  <c r="C123" i="66"/>
  <c r="G123" i="66" s="1"/>
  <c r="C127" i="66"/>
  <c r="G127" i="66" s="1"/>
  <c r="C131" i="66"/>
  <c r="G131" i="66" s="1"/>
  <c r="C135" i="66"/>
  <c r="G135" i="66" s="1"/>
  <c r="C139" i="66"/>
  <c r="G139" i="66" s="1"/>
  <c r="C143" i="66"/>
  <c r="G143" i="66" s="1"/>
  <c r="I95" i="66"/>
  <c r="I97" i="66"/>
  <c r="I99" i="66"/>
  <c r="I101" i="66"/>
  <c r="I103" i="66"/>
  <c r="I105" i="66"/>
  <c r="I107" i="66"/>
  <c r="I109" i="66"/>
  <c r="I111" i="66"/>
  <c r="I113" i="66"/>
  <c r="I115" i="66"/>
  <c r="I117" i="66"/>
  <c r="G170" i="66"/>
  <c r="C119" i="66"/>
  <c r="G119" i="66" s="1"/>
  <c r="C128" i="66"/>
  <c r="G128" i="66" s="1"/>
  <c r="C132" i="66"/>
  <c r="G132" i="66" s="1"/>
  <c r="I154" i="66"/>
  <c r="E167" i="66"/>
  <c r="E173" i="66" s="1"/>
  <c r="G163" i="66"/>
  <c r="G191" i="66"/>
  <c r="G194" i="66" s="1"/>
  <c r="I145" i="66"/>
  <c r="I147" i="66"/>
  <c r="I149" i="66"/>
  <c r="I151" i="66"/>
  <c r="I153" i="66"/>
  <c r="I159" i="66"/>
  <c r="M73" i="66" l="1"/>
  <c r="N72" i="66"/>
  <c r="K66" i="66"/>
  <c r="I66" i="66"/>
  <c r="G22" i="66"/>
  <c r="C167" i="66"/>
  <c r="C173" i="66" s="1"/>
  <c r="C66" i="66"/>
  <c r="G27" i="66"/>
  <c r="G66" i="66" s="1"/>
  <c r="G167" i="66"/>
  <c r="G173" i="66" s="1"/>
  <c r="I167" i="66"/>
  <c r="I173" i="66" s="1"/>
  <c r="E24" i="22" l="1"/>
  <c r="C14" i="49"/>
  <c r="G12" i="43"/>
  <c r="C17" i="54" l="1"/>
  <c r="J34" i="35"/>
  <c r="I34" i="35"/>
  <c r="H34" i="35"/>
  <c r="E53" i="3" l="1"/>
  <c r="E52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21" i="3"/>
  <c r="E20" i="3"/>
  <c r="E19" i="3"/>
  <c r="E18" i="3"/>
  <c r="E17" i="3"/>
  <c r="E16" i="3"/>
  <c r="E15" i="3"/>
  <c r="E14" i="3"/>
  <c r="E13" i="3"/>
  <c r="E10" i="3"/>
  <c r="E9" i="3"/>
  <c r="E19" i="57"/>
  <c r="E17" i="57"/>
  <c r="E15" i="57"/>
  <c r="E14" i="57"/>
  <c r="E13" i="57"/>
  <c r="E12" i="57"/>
  <c r="E11" i="57"/>
  <c r="E10" i="57"/>
  <c r="E9" i="57"/>
  <c r="E8" i="57"/>
  <c r="F36" i="48"/>
  <c r="D170" i="25"/>
  <c r="D10" i="6"/>
  <c r="D11" i="6"/>
  <c r="C11" i="6" l="1"/>
  <c r="C10" i="6"/>
  <c r="C12" i="49"/>
  <c r="C11" i="49"/>
  <c r="C9" i="49"/>
  <c r="E74" i="49"/>
  <c r="E61" i="49"/>
  <c r="B15" i="38"/>
  <c r="E11" i="44"/>
  <c r="B24" i="43"/>
  <c r="A24" i="43" l="1"/>
  <c r="A17" i="43"/>
  <c r="F35" i="5" l="1"/>
  <c r="C15" i="49"/>
  <c r="E37" i="22" l="1"/>
  <c r="D24" i="43"/>
  <c r="K12" i="43"/>
  <c r="C18" i="54" l="1"/>
  <c r="D19" i="57" l="1"/>
  <c r="C19" i="57"/>
  <c r="F44" i="21" s="1"/>
  <c r="D14" i="54" l="1"/>
  <c r="J11" i="59"/>
  <c r="F31" i="48"/>
  <c r="D129" i="25"/>
  <c r="D11" i="28" l="1"/>
  <c r="F24" i="43"/>
  <c r="E55" i="21"/>
  <c r="C21" i="14"/>
  <c r="K12" i="14"/>
  <c r="K11" i="14"/>
  <c r="J13" i="14"/>
  <c r="I13" i="14"/>
  <c r="H13" i="14"/>
  <c r="G13" i="14"/>
  <c r="F13" i="14"/>
  <c r="E13" i="14"/>
  <c r="D13" i="14"/>
  <c r="C13" i="14"/>
  <c r="D204" i="25"/>
  <c r="D171" i="25" s="1"/>
  <c r="G11" i="44"/>
  <c r="G12" i="44" s="1"/>
  <c r="G35" i="44"/>
  <c r="G36" i="44" s="1"/>
  <c r="G17" i="44"/>
  <c r="G18" i="44" s="1"/>
  <c r="G23" i="44"/>
  <c r="G24" i="44" s="1"/>
  <c r="G29" i="44"/>
  <c r="G30" i="44" s="1"/>
  <c r="C17" i="64"/>
  <c r="G16" i="3"/>
  <c r="G19" i="3"/>
  <c r="F61" i="3"/>
  <c r="G10" i="3"/>
  <c r="G9" i="3"/>
  <c r="G14" i="3"/>
  <c r="G39" i="3"/>
  <c r="F57" i="3"/>
  <c r="E57" i="3"/>
  <c r="E61" i="3"/>
  <c r="F60" i="3"/>
  <c r="F62" i="3"/>
  <c r="E60" i="3"/>
  <c r="E10" i="28"/>
  <c r="E11" i="28" s="1"/>
  <c r="G53" i="3"/>
  <c r="G52" i="3"/>
  <c r="G51" i="3"/>
  <c r="G50" i="3"/>
  <c r="G49" i="3"/>
  <c r="G48" i="3"/>
  <c r="G47" i="3"/>
  <c r="G46" i="3"/>
  <c r="G45" i="3"/>
  <c r="G44" i="3"/>
  <c r="G43" i="3"/>
  <c r="G41" i="3"/>
  <c r="G40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8" i="3"/>
  <c r="G17" i="3"/>
  <c r="G15" i="3"/>
  <c r="G13" i="3"/>
  <c r="G12" i="3"/>
  <c r="G11" i="3"/>
  <c r="D6" i="57"/>
  <c r="F43" i="5"/>
  <c r="F42" i="5"/>
  <c r="E125" i="49"/>
  <c r="A26" i="49"/>
  <c r="A32" i="49" s="1"/>
  <c r="A33" i="49" s="1"/>
  <c r="A42" i="49" s="1"/>
  <c r="A52" i="49" s="1"/>
  <c r="A55" i="49" s="1"/>
  <c r="A59" i="49" s="1"/>
  <c r="A60" i="49" s="1"/>
  <c r="A74" i="49" s="1"/>
  <c r="A76" i="49" s="1"/>
  <c r="A81" i="49" s="1"/>
  <c r="A82" i="49" s="1"/>
  <c r="A84" i="49" s="1"/>
  <c r="A85" i="49" s="1"/>
  <c r="A89" i="49" s="1"/>
  <c r="A92" i="49" s="1"/>
  <c r="A103" i="49" s="1"/>
  <c r="A108" i="49" s="1"/>
  <c r="A112" i="49" s="1"/>
  <c r="A119" i="49" s="1"/>
  <c r="A122" i="49" s="1"/>
  <c r="A125" i="49" s="1"/>
  <c r="D31" i="8"/>
  <c r="D35" i="8"/>
  <c r="D39" i="8"/>
  <c r="D43" i="8"/>
  <c r="D47" i="8"/>
  <c r="B17" i="38"/>
  <c r="B21" i="38" s="1"/>
  <c r="G13" i="19"/>
  <c r="F13" i="19"/>
  <c r="D12" i="19"/>
  <c r="D13" i="19"/>
  <c r="J11" i="40"/>
  <c r="J13" i="40" s="1"/>
  <c r="K16" i="40" s="1"/>
  <c r="K13" i="40"/>
  <c r="D198" i="25"/>
  <c r="F33" i="5"/>
  <c r="C42" i="12"/>
  <c r="C15" i="12"/>
  <c r="F40" i="21"/>
  <c r="F25" i="21"/>
  <c r="B15" i="21"/>
  <c r="F56" i="48"/>
  <c r="K11" i="48" s="1"/>
  <c r="D32" i="25"/>
  <c r="D52" i="25"/>
  <c r="D57" i="25"/>
  <c r="F38" i="5"/>
  <c r="F36" i="5"/>
  <c r="F29" i="5"/>
  <c r="F28" i="5"/>
  <c r="F27" i="5"/>
  <c r="F26" i="5"/>
  <c r="F25" i="5"/>
  <c r="F24" i="5"/>
  <c r="F23" i="5"/>
  <c r="F22" i="5"/>
  <c r="F21" i="5"/>
  <c r="F20" i="5"/>
  <c r="D15" i="50"/>
  <c r="D18" i="50" s="1"/>
  <c r="F40" i="48"/>
  <c r="F59" i="48" s="1"/>
  <c r="C11" i="48" s="1"/>
  <c r="E10" i="36"/>
  <c r="D84" i="25"/>
  <c r="D95" i="25"/>
  <c r="D113" i="25"/>
  <c r="D131" i="25" s="1"/>
  <c r="D140" i="25"/>
  <c r="D147" i="25"/>
  <c r="D154" i="25"/>
  <c r="D184" i="25"/>
  <c r="F49" i="5"/>
  <c r="F48" i="5"/>
  <c r="F46" i="5"/>
  <c r="F45" i="5"/>
  <c r="F44" i="5"/>
  <c r="F41" i="5"/>
  <c r="F40" i="5"/>
  <c r="F39" i="5"/>
  <c r="F37" i="5"/>
  <c r="F34" i="5"/>
  <c r="F32" i="5"/>
  <c r="F31" i="5"/>
  <c r="F30" i="5"/>
  <c r="A12" i="44"/>
  <c r="A17" i="44" s="1"/>
  <c r="A18" i="44" s="1"/>
  <c r="A23" i="44" s="1"/>
  <c r="A24" i="44" s="1"/>
  <c r="A29" i="44" s="1"/>
  <c r="A30" i="44" s="1"/>
  <c r="A35" i="44" s="1"/>
  <c r="A36" i="44" s="1"/>
  <c r="A38" i="44" s="1"/>
  <c r="I11" i="15"/>
  <c r="M13" i="15" s="1"/>
  <c r="C12" i="21"/>
  <c r="I12" i="21"/>
  <c r="K12" i="21"/>
  <c r="M12" i="21"/>
  <c r="H13" i="40"/>
  <c r="O10" i="21"/>
  <c r="O12" i="21" s="1"/>
  <c r="E19" i="54"/>
  <c r="D19" i="54"/>
  <c r="C19" i="54"/>
  <c r="E11" i="48"/>
  <c r="F46" i="48"/>
  <c r="I11" i="48" s="1"/>
  <c r="D13" i="40"/>
  <c r="B13" i="40"/>
  <c r="G12" i="21"/>
  <c r="E12" i="21"/>
  <c r="F13" i="40"/>
  <c r="B17" i="21"/>
  <c r="B11" i="28"/>
  <c r="K10" i="14"/>
  <c r="C11" i="28"/>
  <c r="F10" i="5"/>
  <c r="F11" i="5"/>
  <c r="F12" i="5"/>
  <c r="F13" i="5"/>
  <c r="F14" i="5"/>
  <c r="F15" i="5"/>
  <c r="F16" i="5"/>
  <c r="F17" i="5"/>
  <c r="F18" i="5"/>
  <c r="F19" i="5"/>
  <c r="E10" i="6"/>
  <c r="E11" i="6"/>
  <c r="E16" i="6"/>
  <c r="E15" i="6"/>
  <c r="E21" i="6"/>
  <c r="E20" i="6"/>
  <c r="E24" i="6"/>
  <c r="E26" i="6"/>
  <c r="E28" i="6"/>
  <c r="E34" i="6"/>
  <c r="E33" i="6"/>
  <c r="D12" i="6"/>
  <c r="D17" i="6"/>
  <c r="D22" i="6"/>
  <c r="D35" i="6"/>
  <c r="C12" i="6"/>
  <c r="C17" i="6"/>
  <c r="C22" i="6"/>
  <c r="C35" i="6"/>
  <c r="D172" i="25" l="1"/>
  <c r="D180" i="25" s="1"/>
  <c r="D186" i="25" s="1"/>
  <c r="C44" i="12"/>
  <c r="C46" i="12" s="1"/>
  <c r="D97" i="25"/>
  <c r="D59" i="25"/>
  <c r="K13" i="14"/>
  <c r="C24" i="14" s="1"/>
  <c r="D49" i="8"/>
  <c r="C21" i="8" s="1"/>
  <c r="D10" i="8" s="1"/>
  <c r="D16" i="8" s="1"/>
  <c r="E35" i="6"/>
  <c r="D30" i="6"/>
  <c r="D37" i="6" s="1"/>
  <c r="E12" i="6"/>
  <c r="G61" i="3"/>
  <c r="E62" i="3"/>
  <c r="G57" i="3"/>
  <c r="G60" i="3"/>
  <c r="F36" i="21"/>
  <c r="F39" i="21"/>
  <c r="F41" i="21" s="1"/>
  <c r="E39" i="22"/>
  <c r="F50" i="5"/>
  <c r="E22" i="6"/>
  <c r="C30" i="6"/>
  <c r="C37" i="6" s="1"/>
  <c r="E17" i="6"/>
  <c r="C17" i="49"/>
  <c r="M11" i="48"/>
  <c r="G38" i="44"/>
  <c r="F61" i="48"/>
  <c r="D188" i="25" l="1"/>
  <c r="D193" i="25" s="1"/>
  <c r="C26" i="14"/>
  <c r="C25" i="14"/>
  <c r="F52" i="5"/>
  <c r="D12" i="8"/>
  <c r="E30" i="6"/>
  <c r="E37" i="6" s="1"/>
  <c r="G62" i="3"/>
  <c r="G65" i="3" s="1"/>
  <c r="C27" i="14" l="1"/>
  <c r="G64" i="3"/>
  <c r="G66" i="3" l="1"/>
  <c r="D47" i="5"/>
  <c r="D50" i="5" s="1"/>
  <c r="D52" i="5" s="1"/>
  <c r="E47" i="5" l="1"/>
  <c r="E50" i="5" s="1"/>
  <c r="E52" i="5" s="1"/>
</calcChain>
</file>

<file path=xl/comments1.xml><?xml version="1.0" encoding="utf-8"?>
<comments xmlns="http://schemas.openxmlformats.org/spreadsheetml/2006/main">
  <authors>
    <author>Tom Syner</author>
  </authors>
  <commentList>
    <comment ref="M170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"2831%02%"</t>
        </r>
      </text>
    </comment>
    <comment ref="C171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"2833002%"</t>
        </r>
      </text>
    </comment>
  </commentList>
</comments>
</file>

<file path=xl/comments2.xml><?xml version="1.0" encoding="utf-8"?>
<comments xmlns="http://schemas.openxmlformats.org/spreadsheetml/2006/main">
  <authors>
    <author>Mike Kelly</author>
  </authors>
  <commentList>
    <comment ref="Q24" authorId="0">
      <text>
        <r>
          <rPr>
            <b/>
            <sz val="8"/>
            <color indexed="81"/>
            <rFont val="Tahoma"/>
            <family val="2"/>
          </rPr>
          <t>Mike Kelly:</t>
        </r>
        <r>
          <rPr>
            <sz val="8"/>
            <color indexed="81"/>
            <rFont val="Tahoma"/>
            <family val="2"/>
          </rPr>
          <t xml:space="preserve">
Reclassification of NOL from 236 account to 190.1 account was done on elimination company.</t>
        </r>
      </text>
    </comment>
  </commentList>
</comments>
</file>

<file path=xl/sharedStrings.xml><?xml version="1.0" encoding="utf-8"?>
<sst xmlns="http://schemas.openxmlformats.org/spreadsheetml/2006/main" count="2203" uniqueCount="1238">
  <si>
    <t>SPECIFIED DEFERRED CREDITS</t>
  </si>
  <si>
    <t>BOOK VS. TAX DEPRECIATION</t>
  </si>
  <si>
    <t>FERC ORDER 144 CATCH UP</t>
  </si>
  <si>
    <t>MNTR CARBON CAPTURE - SFAS 143 - ARO</t>
  </si>
  <si>
    <t>DFIT GENERATION PLANT</t>
  </si>
  <si>
    <t>ABFUDC - TRANSMISSION</t>
  </si>
  <si>
    <t>ABFUDC - GENERAL</t>
  </si>
  <si>
    <t>ABFUDC - DISTRIBUTION</t>
  </si>
  <si>
    <t>EXTRAORDINARY LOSS ON DISP OF PROP</t>
  </si>
  <si>
    <t>DEFD TAX GAIN - FIBER OPTIC LINE</t>
  </si>
  <si>
    <t>AMORT PERPETUAL TERM ELECT PLT</t>
  </si>
  <si>
    <t>REMOVAL COSTS</t>
  </si>
  <si>
    <t>REMOVAL COSTS - ARO-MTNR CARBON CAPTURE</t>
  </si>
  <si>
    <t>REMOVAL COSTS REV - SFAS 143 - ARO</t>
  </si>
  <si>
    <t>TAX WRITE OFF MINE DEVEL COSTS</t>
  </si>
  <si>
    <t>BK DEPLETION -- NUEAST</t>
  </si>
  <si>
    <t>2007 IRS AUDIT ADJUSTMENTS - A/C 282</t>
  </si>
  <si>
    <t>SW - UNDER RECOVERY FUEL COST</t>
  </si>
  <si>
    <t>SV - UNDER RECOVERY FUEL COST</t>
  </si>
  <si>
    <t>WV -ENEC UNDER RECOVERY BANK</t>
  </si>
  <si>
    <t>DEFD EQUITY CARRY CHGS - WV-ENEC</t>
  </si>
  <si>
    <t>WV UNRECOV FUEL POOL CAPACITY IMPACT</t>
  </si>
  <si>
    <t>PROPERTY TAX - NEW METHOD - BOOK</t>
  </si>
  <si>
    <t>ACCRUED BK PENSION COSTS - SFAS 158</t>
  </si>
  <si>
    <t>DEFD SYS RELIABILITY COSTS &amp; CARRYING CHARGES</t>
  </si>
  <si>
    <t>DEFD EQUITY CARRY CHRGS-RELIABILITY CAPITAL</t>
  </si>
  <si>
    <t>DEFD STORM DAMAGE</t>
  </si>
  <si>
    <t>BK DEFL - MACSS COSTS</t>
  </si>
  <si>
    <t>TRANSITION REGULATORY ASSETS</t>
  </si>
  <si>
    <t>TAX DEFL - NON-DEPRECIABLES</t>
  </si>
  <si>
    <t>REG ASSET-TRANS AGREEMENT PHASE-IN-WV</t>
  </si>
  <si>
    <t>REG ASSET-DEFD VA WIND REPLACEMENT CSTS</t>
  </si>
  <si>
    <t>REG ASSET-DEFERRED VA RPS INCREM COSTS-CURRENT</t>
  </si>
  <si>
    <t>REG ASSET-DEFERRED VA WIND NON-INCREM COSTS</t>
  </si>
  <si>
    <t>REG ASSET-DEFD VA SOFTWARE LICENSING EXPENSE</t>
  </si>
  <si>
    <t>STATE NOL CURRENT BENEFIT</t>
  </si>
  <si>
    <t>ADIT FED - HEDGE-INTEREST RATE 2830015</t>
  </si>
  <si>
    <t>ADIT FED - HEDGE-FOREIGN EXC 2830016</t>
  </si>
  <si>
    <t>SEC ALLOC - ITC - 46F1 - 10%</t>
  </si>
  <si>
    <t xml:space="preserve">HYDRO CREDIT - ITC - 46F1 </t>
  </si>
  <si>
    <t>DEFD BOOK GAIN - EPA AUCTION</t>
  </si>
  <si>
    <t>Tennessee Income Tax</t>
  </si>
  <si>
    <t>Virginia Net Income Tax</t>
  </si>
  <si>
    <t>West Virginia Net Income</t>
  </si>
  <si>
    <r>
      <t xml:space="preserve"> </t>
    </r>
    <r>
      <rPr>
        <i/>
        <sz val="10"/>
        <rFont val="Arial"/>
        <family val="2"/>
      </rPr>
      <t>References to data from FERC Form 1 page(s) 206,207, Ln. 50</t>
    </r>
  </si>
  <si>
    <t>Workpaper 8b - Effective Income Tax Rate</t>
  </si>
  <si>
    <t>Workpaper 8c - Taxes Other Than Income Taxes</t>
  </si>
  <si>
    <t>Workpaper 9a - Wages and Salaries</t>
  </si>
  <si>
    <t>Workpaper 9b - Production Payroll Demand/Energy Allocation</t>
  </si>
  <si>
    <t>Workpaper 10a - O &amp; M Expense Summary by Account</t>
  </si>
  <si>
    <t>Workpaper 11 - Regulatory Commission Expense</t>
  </si>
  <si>
    <t>Workpaper 12a - Common Stock</t>
  </si>
  <si>
    <t>Workpaper 13a - Recoverable Hedge Gains/Losses</t>
  </si>
  <si>
    <t>Workpaper 12b -  Preferred Stock</t>
  </si>
  <si>
    <t>Workpaper 13 - Outstanding Long-Term Debt</t>
  </si>
  <si>
    <t xml:space="preserve">Workpaper 14 - Non-Fuel Power Production O&amp;M Expenses </t>
  </si>
  <si>
    <t>Capactiy Cost of Service Formula Rate</t>
  </si>
  <si>
    <t>Workpaper 15c - Purchased Power</t>
  </si>
  <si>
    <t>Workpaper 15d - Off-System Sales</t>
  </si>
  <si>
    <t>Workpaper 16 - GSU Plant and Accumulated Depreciation Balance</t>
  </si>
  <si>
    <t>Workpaper 18 - Fuel Expense</t>
  </si>
  <si>
    <r>
      <t>Related</t>
    </r>
    <r>
      <rPr>
        <vertAlign val="superscript"/>
        <sz val="10"/>
        <rFont val="Arial"/>
        <family val="2"/>
      </rPr>
      <t>2</t>
    </r>
  </si>
  <si>
    <r>
      <t xml:space="preserve">2 </t>
    </r>
    <r>
      <rPr>
        <sz val="10"/>
        <rFont val="Arial"/>
        <family val="2"/>
      </rPr>
      <t>Data comparable to that reported in the FERC Form 1 is from the Company's Books and Records.</t>
    </r>
  </si>
  <si>
    <r>
      <t>2</t>
    </r>
    <r>
      <rPr>
        <sz val="10"/>
        <rFont val="Arial"/>
        <family val="2"/>
      </rPr>
      <t xml:space="preserve"> CBR indicates that data comparable to that reported in the FERC Form 1 is from the Company's Books and Records.</t>
    </r>
  </si>
  <si>
    <t>Intangible Plant (FF1, 205.2-5 g)</t>
  </si>
  <si>
    <t>General Plant (FF1 207.86-97 g)</t>
  </si>
  <si>
    <t xml:space="preserve">Workpaper 7 </t>
  </si>
  <si>
    <t xml:space="preserve">Workpaper 15b </t>
  </si>
  <si>
    <r>
      <t xml:space="preserve">2 </t>
    </r>
    <r>
      <rPr>
        <sz val="10"/>
        <rFont val="Arial"/>
        <family val="2"/>
      </rPr>
      <t>CBR indicates that data comparable to that reported in the FERC Form 1 is from the Company's Books and Records.</t>
    </r>
  </si>
  <si>
    <t>Organization</t>
  </si>
  <si>
    <t>Franchises and Consents</t>
  </si>
  <si>
    <t>Miscellaneous Intangible Plant</t>
  </si>
  <si>
    <t>TOTAL INTANGIBLE PLANT</t>
  </si>
  <si>
    <t>Gain Rsle/Cancl Req Cap Stock</t>
  </si>
  <si>
    <t>Appropriations of Retained Earnings</t>
  </si>
  <si>
    <t>Dividends Declared</t>
  </si>
  <si>
    <t>Transferred from Income</t>
  </si>
  <si>
    <t>OCI-for Commodity Hedges</t>
  </si>
  <si>
    <t>MTM BK GAIN - A/L - TAX DEFL</t>
  </si>
  <si>
    <t>DEFD TAX GAIN - EPA AUCTION</t>
  </si>
  <si>
    <t>REG ASSET - ACCRUED SFAS 112</t>
  </si>
  <si>
    <t>SFAS 109 FLOW-THRU 283.3</t>
  </si>
  <si>
    <t>SFAS 109 EXCESS DFIT 283.4</t>
  </si>
  <si>
    <t>SFAS 109 - DEFD STATE INCOME TAXES</t>
  </si>
  <si>
    <t>TOTAL ACCOUNT 283</t>
  </si>
  <si>
    <t>JURISDICTIONAL AMOUNTS FUNCTIONALIZED</t>
  </si>
  <si>
    <t>TOTAL COMPANY AMOUNTS FUNCTIONALIZED</t>
  </si>
  <si>
    <t>REFUNCTIONALIZED BASED ON JURISDICTIONAL PLANT</t>
  </si>
  <si>
    <t>NOTE:  POST 1970 ACCUMULATED DEFERRED</t>
  </si>
  <si>
    <t xml:space="preserve">             INV TAX CRED. (JDITC) IN A/C 255</t>
  </si>
  <si>
    <t>TOTAL ACCOUNT 255</t>
  </si>
  <si>
    <t>Apportionment Factor - Note 2</t>
  </si>
  <si>
    <t>Illinois Corporation Income Tax</t>
  </si>
  <si>
    <t>Michigan Business Income Tax</t>
  </si>
  <si>
    <t>P.263 ln 14 (i)</t>
  </si>
  <si>
    <t>P.263 ln 6 (i)</t>
  </si>
  <si>
    <t>Revenue Taxes</t>
  </si>
  <si>
    <t>Real Estate and Personal Property Taxes</t>
  </si>
  <si>
    <t xml:space="preserve">Payroll Taxes </t>
  </si>
  <si>
    <t>Production Taxes</t>
  </si>
  <si>
    <t xml:space="preserve">Miscellaneous Taxes </t>
  </si>
  <si>
    <t>Average Production System Peak Demand</t>
  </si>
  <si>
    <t xml:space="preserve">Total </t>
  </si>
  <si>
    <t>Total</t>
  </si>
  <si>
    <t>Retail</t>
  </si>
  <si>
    <t>Production</t>
  </si>
  <si>
    <t>Demand</t>
  </si>
  <si>
    <t>Energy</t>
  </si>
  <si>
    <t>Month</t>
  </si>
  <si>
    <t>Other</t>
  </si>
  <si>
    <t>Transmission</t>
  </si>
  <si>
    <t>Distribution</t>
  </si>
  <si>
    <t>Fuel</t>
  </si>
  <si>
    <t xml:space="preserve"> </t>
  </si>
  <si>
    <t>Description</t>
  </si>
  <si>
    <t xml:space="preserve">    Total</t>
  </si>
  <si>
    <t>Prepayments</t>
  </si>
  <si>
    <t>Account</t>
  </si>
  <si>
    <t>Intangible</t>
  </si>
  <si>
    <t>Land</t>
  </si>
  <si>
    <t>Structures</t>
  </si>
  <si>
    <t>Office Equipment</t>
  </si>
  <si>
    <t>Transportation</t>
  </si>
  <si>
    <t>Stores Equipment</t>
  </si>
  <si>
    <t>Tools, Shop, Garage, Etc.</t>
  </si>
  <si>
    <t>Laboratory Equipment</t>
  </si>
  <si>
    <t>Power Operated Equipment</t>
  </si>
  <si>
    <t>Communications Equipment</t>
  </si>
  <si>
    <t>Miscellaneous Equipment</t>
  </si>
  <si>
    <t>Line</t>
  </si>
  <si>
    <t>December</t>
  </si>
  <si>
    <t>General</t>
  </si>
  <si>
    <t>fpa</t>
  </si>
  <si>
    <t>beginning_balance</t>
  </si>
  <si>
    <t>ending_balance</t>
  </si>
  <si>
    <t>start_month</t>
  </si>
  <si>
    <t>Effective Income Tax Rate</t>
  </si>
  <si>
    <t>Customer Accounts</t>
  </si>
  <si>
    <t>Sales</t>
  </si>
  <si>
    <t>Administrative and General</t>
  </si>
  <si>
    <t>Allocation Factors</t>
  </si>
  <si>
    <t>Total Production</t>
  </si>
  <si>
    <t>Difference</t>
  </si>
  <si>
    <t>Operation Supv &amp; Engineering</t>
  </si>
  <si>
    <t>Steam Expenses</t>
  </si>
  <si>
    <t>Electric Expenses</t>
  </si>
  <si>
    <t>Misc. Steam Power Expense</t>
  </si>
  <si>
    <t>Rents</t>
  </si>
  <si>
    <t>Allowances</t>
  </si>
  <si>
    <t>Generation Expenses</t>
  </si>
  <si>
    <t>Misc. Power Generation Expense</t>
  </si>
  <si>
    <t>Total Operation</t>
  </si>
  <si>
    <t>Maintenance Supv &amp; Engineering</t>
  </si>
  <si>
    <t>Maintenance of Structures</t>
  </si>
  <si>
    <t>Maintenance of Boiler Plant</t>
  </si>
  <si>
    <t>Maintenance of Electric Plant</t>
  </si>
  <si>
    <t>Maintenance of Misc Plant</t>
  </si>
  <si>
    <t>Total Maintenance</t>
  </si>
  <si>
    <t>System Control</t>
  </si>
  <si>
    <t>Total Other</t>
  </si>
  <si>
    <t>Load Dispatching</t>
  </si>
  <si>
    <t>Station Expense</t>
  </si>
  <si>
    <t>Overhead Line Expense</t>
  </si>
  <si>
    <t>Underground Line Expense</t>
  </si>
  <si>
    <t>Trans of Electricity by Others</t>
  </si>
  <si>
    <t>Misc Transmission Expense</t>
  </si>
  <si>
    <t>Maintenance of Station Equip</t>
  </si>
  <si>
    <t>Maintenance of OH Lines</t>
  </si>
  <si>
    <t xml:space="preserve">Maintenance of Misc Trans </t>
  </si>
  <si>
    <t>Total Transmission</t>
  </si>
  <si>
    <t>Street Lighting</t>
  </si>
  <si>
    <t>Meter Expenses</t>
  </si>
  <si>
    <t>Customer Installations</t>
  </si>
  <si>
    <t>Misc Distribution Expense</t>
  </si>
  <si>
    <t>Maintenance of UG Lines</t>
  </si>
  <si>
    <t>Maintenance of Line Trsfrs</t>
  </si>
  <si>
    <t>Maintenance of Street Lights</t>
  </si>
  <si>
    <t>Maintenance of Meters</t>
  </si>
  <si>
    <t>Maintenance of Misc Dist Plant</t>
  </si>
  <si>
    <t>Total Distribution</t>
  </si>
  <si>
    <t>Supervision</t>
  </si>
  <si>
    <t>Meter Reading Expenses</t>
  </si>
  <si>
    <t>Customer Records/Collection</t>
  </si>
  <si>
    <t>Uncollectible Accounts</t>
  </si>
  <si>
    <t>Misc Customer Accts Exp</t>
  </si>
  <si>
    <t>Total Customer Accounts</t>
  </si>
  <si>
    <t>Customer Assistance</t>
  </si>
  <si>
    <t>Info &amp; Instructional Adv</t>
  </si>
  <si>
    <t>Selling Expenses</t>
  </si>
  <si>
    <t>Advertising Expenses</t>
  </si>
  <si>
    <t>A &amp; G Salaries</t>
  </si>
  <si>
    <t>Office Supplies &amp; Exp</t>
  </si>
  <si>
    <t>Outside Services</t>
  </si>
  <si>
    <t>Property Insurance</t>
  </si>
  <si>
    <t>Injuries and Damages</t>
  </si>
  <si>
    <t>Regulatory Commission Exp</t>
  </si>
  <si>
    <t>General Advertising Expense</t>
  </si>
  <si>
    <t>Maintenance of Gen Plant</t>
  </si>
  <si>
    <t>Sales Expense</t>
  </si>
  <si>
    <t>Interest &amp; Amortization on Long-Term Debt</t>
  </si>
  <si>
    <t>Common</t>
  </si>
  <si>
    <t>Preferred</t>
  </si>
  <si>
    <t>Dividends</t>
  </si>
  <si>
    <t xml:space="preserve">Account </t>
  </si>
  <si>
    <t>504 - Cr.</t>
  </si>
  <si>
    <t>522 - Cr.</t>
  </si>
  <si>
    <t xml:space="preserve">Energy </t>
  </si>
  <si>
    <t>Sub-Total</t>
  </si>
  <si>
    <t>Purchased Power</t>
  </si>
  <si>
    <t>%</t>
  </si>
  <si>
    <t>TOTAL GENERAL PLANT</t>
  </si>
  <si>
    <t>Production:</t>
  </si>
  <si>
    <t xml:space="preserve">  Operation </t>
  </si>
  <si>
    <t xml:space="preserve">  Maintenance</t>
  </si>
  <si>
    <t>Transmission:</t>
  </si>
  <si>
    <t xml:space="preserve">  Operation</t>
  </si>
  <si>
    <t>Distribution:</t>
  </si>
  <si>
    <t>Customer Service and Informational</t>
  </si>
  <si>
    <t>Total Wages and Salaries Excluding A &amp; G</t>
  </si>
  <si>
    <t xml:space="preserve">Total O &amp; M Payroll </t>
  </si>
  <si>
    <t>548</t>
  </si>
  <si>
    <t>549</t>
  </si>
  <si>
    <t>Maintenance of Generating &amp; Electric Plant</t>
  </si>
  <si>
    <t>Maintenance of Misc. Other Power Gen. Plant</t>
  </si>
  <si>
    <t>Other Expense</t>
  </si>
  <si>
    <t>564</t>
  </si>
  <si>
    <t>572</t>
  </si>
  <si>
    <t>Misc Cust Service &amp; Info Expense</t>
  </si>
  <si>
    <t>Total Customer Service</t>
  </si>
  <si>
    <t>Misc Sales Expense</t>
  </si>
  <si>
    <t>Total Sales Expense</t>
  </si>
  <si>
    <r>
      <t xml:space="preserve">Adm Exp Trsfr - </t>
    </r>
    <r>
      <rPr>
        <sz val="10"/>
        <color indexed="61"/>
        <rFont val="Arial"/>
        <family val="2"/>
      </rPr>
      <t>Credit</t>
    </r>
  </si>
  <si>
    <t>Franchise Requirements</t>
  </si>
  <si>
    <r>
      <t xml:space="preserve">Duplicate Charges - </t>
    </r>
    <r>
      <rPr>
        <sz val="10"/>
        <color indexed="61"/>
        <rFont val="Arial"/>
        <family val="2"/>
      </rPr>
      <t>Credit</t>
    </r>
  </si>
  <si>
    <t>Misc General Expense</t>
  </si>
  <si>
    <t>Company Dues and Memberships</t>
  </si>
  <si>
    <t>Total Administrative &amp; General</t>
  </si>
  <si>
    <t>Total O &amp; M Expenses</t>
  </si>
  <si>
    <t>Balance</t>
  </si>
  <si>
    <t>Advances from Associated Co</t>
  </si>
  <si>
    <t>Acct</t>
  </si>
  <si>
    <t>Installment Purchase Contracts</t>
  </si>
  <si>
    <t>Senior Unsecured Notes</t>
  </si>
  <si>
    <t>Debntr Trust Pref Secrty Insts</t>
  </si>
  <si>
    <t>Total Debt Outstanding</t>
  </si>
  <si>
    <t>2230000</t>
  </si>
  <si>
    <t>2240002</t>
  </si>
  <si>
    <t>2240006</t>
  </si>
  <si>
    <t>2240046</t>
  </si>
  <si>
    <t>Interest</t>
  </si>
  <si>
    <t>IPC</t>
  </si>
  <si>
    <t>4270002</t>
  </si>
  <si>
    <t>Unsecured</t>
  </si>
  <si>
    <t>4270006</t>
  </si>
  <si>
    <t>Amort Debt Disc/ Exp</t>
  </si>
  <si>
    <t>Amort Loss Reacq</t>
  </si>
  <si>
    <t>Assoc LT</t>
  </si>
  <si>
    <t>Amort Debt Premium</t>
  </si>
  <si>
    <t>Amort Gain Reacq</t>
  </si>
  <si>
    <t>Cost of Long Term Debt</t>
  </si>
  <si>
    <t>Amortized Investment Tax Credit (enter negative)</t>
  </si>
  <si>
    <t>FIT</t>
  </si>
  <si>
    <t>SIT</t>
  </si>
  <si>
    <t>Effective State Income Tax Rate</t>
  </si>
  <si>
    <t>Total Effective State Income Tax Rate</t>
  </si>
  <si>
    <t>Acct 428 (FF1, P.117, L.63)</t>
  </si>
  <si>
    <t>Acct 428.1 (FF1, P.117, L.64)</t>
  </si>
  <si>
    <t>(FF1, P.117,L.62)</t>
  </si>
  <si>
    <t>4300001 (FF1, P.117, L.67)</t>
  </si>
  <si>
    <t>Acct 429 (FF1, P.117, L.65)</t>
  </si>
  <si>
    <t>Acct 429.1 (FF1, P.117, L.66)</t>
  </si>
  <si>
    <t>Fuel Stock</t>
  </si>
  <si>
    <t>Period</t>
  </si>
  <si>
    <t>Coal</t>
  </si>
  <si>
    <t>Oil</t>
  </si>
  <si>
    <t>Gas</t>
  </si>
  <si>
    <t>Coal Trans</t>
  </si>
  <si>
    <r>
      <t>Source</t>
    </r>
    <r>
      <rPr>
        <u/>
        <vertAlign val="superscript"/>
        <sz val="10"/>
        <rFont val="Arial"/>
        <family val="2"/>
      </rPr>
      <t xml:space="preserve"> 1</t>
    </r>
  </si>
  <si>
    <t>CBR</t>
  </si>
  <si>
    <t>Notes:</t>
  </si>
  <si>
    <r>
      <t xml:space="preserve">1 </t>
    </r>
    <r>
      <rPr>
        <sz val="10"/>
        <rFont val="Arial"/>
        <family val="2"/>
      </rPr>
      <t>CBR indicates that data comparable to that reported in the FERC Form 1 is from the Company's Books and Records.</t>
    </r>
  </si>
  <si>
    <t>1540001</t>
  </si>
  <si>
    <t>1540004</t>
  </si>
  <si>
    <t>1540024</t>
  </si>
  <si>
    <t>M&amp;S</t>
  </si>
  <si>
    <t>Regular</t>
  </si>
  <si>
    <t>Exempt Material</t>
  </si>
  <si>
    <t>Proj Spares</t>
  </si>
  <si>
    <t>110.48.c</t>
  </si>
  <si>
    <t>1650001</t>
  </si>
  <si>
    <t>1650006</t>
  </si>
  <si>
    <t>1650009</t>
  </si>
  <si>
    <t>Insurance</t>
  </si>
  <si>
    <t>Carrying Cost</t>
  </si>
  <si>
    <t>111.57.c</t>
  </si>
  <si>
    <t>ARO</t>
  </si>
  <si>
    <t>Amount</t>
  </si>
  <si>
    <t>Source 1</t>
  </si>
  <si>
    <t>Excluding ARO</t>
  </si>
  <si>
    <r>
      <t>Source</t>
    </r>
    <r>
      <rPr>
        <vertAlign val="superscript"/>
        <sz val="10"/>
        <rFont val="Arial"/>
        <family val="2"/>
      </rPr>
      <t xml:space="preserve"> 1</t>
    </r>
  </si>
  <si>
    <t>112.3.c</t>
  </si>
  <si>
    <t>Acct 204</t>
  </si>
  <si>
    <t>Preferred Stock</t>
  </si>
  <si>
    <t>Premium on Preferred</t>
  </si>
  <si>
    <t>Acct 207</t>
  </si>
  <si>
    <t>112.6.c</t>
  </si>
  <si>
    <t>Payroll</t>
  </si>
  <si>
    <t xml:space="preserve">    EIT=(T/(1-T)) * (1-(WCLTD/WACC)) =</t>
  </si>
  <si>
    <t xml:space="preserve">      GRCF=1 / (1 - T)</t>
  </si>
  <si>
    <t>FF1 P.114, Ln.19, Col.c</t>
  </si>
  <si>
    <t>WCLTD</t>
  </si>
  <si>
    <t>WACC</t>
  </si>
  <si>
    <t>Unapprop</t>
  </si>
  <si>
    <t>Acc Oth</t>
  </si>
  <si>
    <t>Equity</t>
  </si>
  <si>
    <t>Capital</t>
  </si>
  <si>
    <t>Sub Earnings</t>
  </si>
  <si>
    <t>Comp Income</t>
  </si>
  <si>
    <t>2010001</t>
  </si>
  <si>
    <t>Common Stock Issued</t>
  </si>
  <si>
    <r>
      <t>Source</t>
    </r>
    <r>
      <rPr>
        <i/>
        <vertAlign val="superscript"/>
        <sz val="9"/>
        <rFont val="Arial"/>
        <family val="2"/>
      </rPr>
      <t xml:space="preserve"> 1</t>
    </r>
  </si>
  <si>
    <t>112.2.c</t>
  </si>
  <si>
    <t>2040002</t>
  </si>
  <si>
    <t>PS Not Subj to Mandatory Redem</t>
  </si>
  <si>
    <t>2080000</t>
  </si>
  <si>
    <t>Donations Recvd from Stckhldrs</t>
  </si>
  <si>
    <t>Miscellaneous Paid-In Capital</t>
  </si>
  <si>
    <t>112.7.c</t>
  </si>
  <si>
    <t>2160001</t>
  </si>
  <si>
    <t>Unapprp Retnd Erngs-Unrstrictd</t>
  </si>
  <si>
    <t>4370000</t>
  </si>
  <si>
    <t>Div Decl-PS Not Sub to Man Red</t>
  </si>
  <si>
    <t>4390000</t>
  </si>
  <si>
    <t>Adj to Retained Earnings</t>
  </si>
  <si>
    <t>Retained Earnings</t>
  </si>
  <si>
    <t>112.11.c</t>
  </si>
  <si>
    <t>2161001</t>
  </si>
  <si>
    <t>Unap Undist Consol Sub Erng</t>
  </si>
  <si>
    <t>2161002</t>
  </si>
  <si>
    <t>Unap Undist Nonconsol Sub Erng</t>
  </si>
  <si>
    <t>Equity in Earnings</t>
  </si>
  <si>
    <t>Unapprop Sub Earnings</t>
  </si>
  <si>
    <t>112.12.c</t>
  </si>
  <si>
    <t>2190004</t>
  </si>
  <si>
    <t>OCI-Min Pen Liab FAS 158-SERP</t>
  </si>
  <si>
    <t>2190006</t>
  </si>
  <si>
    <t>OCI-Min Pen Liab FAS 158-Qual</t>
  </si>
  <si>
    <t>2190007</t>
  </si>
  <si>
    <t>OCI-Min Pen Liab FAS 158-OPEB</t>
  </si>
  <si>
    <t>2190015</t>
  </si>
  <si>
    <t>Accum OCI-Hdg-CF-Int Rate</t>
  </si>
  <si>
    <t>2190016</t>
  </si>
  <si>
    <t>Accum OCI-Hdg-CF-For Exchg</t>
  </si>
  <si>
    <t>Acc Oth Comp Inc</t>
  </si>
  <si>
    <t>112.15.c</t>
  </si>
  <si>
    <t>Total Capital</t>
  </si>
  <si>
    <t>Common Equity Balance</t>
  </si>
  <si>
    <t>4181001 &amp; 002</t>
  </si>
  <si>
    <r>
      <t xml:space="preserve">   </t>
    </r>
    <r>
      <rPr>
        <sz val="10"/>
        <rFont val="Arial"/>
        <family val="2"/>
      </rPr>
      <t>ending total balances.</t>
    </r>
  </si>
  <si>
    <t>Source</t>
  </si>
  <si>
    <t>Steam Production</t>
  </si>
  <si>
    <t>FF1, 336, 7, b</t>
  </si>
  <si>
    <t>FF1, 336, 8, b</t>
  </si>
  <si>
    <t>Intangible Plant</t>
  </si>
  <si>
    <t>ARO Dep Exp</t>
  </si>
  <si>
    <t>FF1, 336, 12, c</t>
  </si>
  <si>
    <t>FF1, 336, 12, f</t>
  </si>
  <si>
    <t>Payroll Related Other Taxes</t>
  </si>
  <si>
    <t>Property Related Other Taxes</t>
  </si>
  <si>
    <t>Property</t>
  </si>
  <si>
    <t>Not Allocated ((Gross Receipts, Commission Assessments)</t>
  </si>
  <si>
    <t>NA</t>
  </si>
  <si>
    <t>Basis</t>
  </si>
  <si>
    <t>Amortization of Hedge Gain / Loss included in Acct 4270006</t>
  </si>
  <si>
    <t>Reconcilation to FF1, 257, 33, i</t>
  </si>
  <si>
    <t>Interest on LT Debt</t>
  </si>
  <si>
    <t>Interest on Assoc LT Debt</t>
  </si>
  <si>
    <t>Total (FF1, 257, 33, i)</t>
  </si>
  <si>
    <t>Reference</t>
  </si>
  <si>
    <t>Line 4</t>
  </si>
  <si>
    <t>Line 7</t>
  </si>
  <si>
    <t xml:space="preserve"> FF1, 112,20,c &amp; 112,21,c </t>
  </si>
  <si>
    <t>TRANSMISSION</t>
  </si>
  <si>
    <t>DISTRIBUTION</t>
  </si>
  <si>
    <t>Day</t>
  </si>
  <si>
    <t>Average Peak</t>
  </si>
  <si>
    <t>f</t>
  </si>
  <si>
    <t>Source(s)</t>
  </si>
  <si>
    <t>112.16.c</t>
  </si>
  <si>
    <t>a</t>
  </si>
  <si>
    <t>b</t>
  </si>
  <si>
    <t>c</t>
  </si>
  <si>
    <t>d</t>
  </si>
  <si>
    <t>e</t>
  </si>
  <si>
    <t>112.12.c.</t>
  </si>
  <si>
    <t>Source(s)*</t>
  </si>
  <si>
    <t>112.3.c,6.c.,7.c.</t>
  </si>
  <si>
    <t>G(L) on Reacq'd</t>
  </si>
  <si>
    <t>Premium</t>
  </si>
  <si>
    <t>(Discount)</t>
  </si>
  <si>
    <t>Issued</t>
  </si>
  <si>
    <t>g=a-b-c-d-e-f</t>
  </si>
  <si>
    <t>Acc 213</t>
  </si>
  <si>
    <t>112.9.c</t>
  </si>
  <si>
    <t>(Discount) on Preferred</t>
  </si>
  <si>
    <t>Other Paid in Capital - Pfd</t>
  </si>
  <si>
    <t>Acc 208-211</t>
  </si>
  <si>
    <t>Total Outstanding</t>
  </si>
  <si>
    <t>a+b-c+d</t>
  </si>
  <si>
    <t>(2)</t>
  </si>
  <si>
    <t>(1)</t>
  </si>
  <si>
    <t>NOTES:</t>
  </si>
  <si>
    <t>Accounts 207-213 are capital stock accounts containing both common and preferred capital.  Preferred portions of these accounts are from the CBR.</t>
  </si>
  <si>
    <t>All data is from the monthly Balance Sheet of the Company's Books and Records (CBR).</t>
  </si>
  <si>
    <t>NOTE:  * Includes preferred portions of capital stock (common and preferred) accounts according to Company Books and Records below.</t>
  </si>
  <si>
    <t>Bonds</t>
  </si>
  <si>
    <t>FF1 Reference</t>
  </si>
  <si>
    <t xml:space="preserve"> (Reacquired Bonds)</t>
  </si>
  <si>
    <t>112.19.c.</t>
  </si>
  <si>
    <t>112.18.c.</t>
  </si>
  <si>
    <t>g=a+b+c+d+e+f</t>
  </si>
  <si>
    <t xml:space="preserve">Cost of Preferred Stock = Pfd Dividends/Average Pfd Outstanding Balance = </t>
  </si>
  <si>
    <t xml:space="preserve"> 112.20.c. </t>
  </si>
  <si>
    <t xml:space="preserve"> 257, col. (h) </t>
  </si>
  <si>
    <t>Labor</t>
  </si>
  <si>
    <t>(subject to limit on B-13)</t>
  </si>
  <si>
    <t>Note A:</t>
  </si>
  <si>
    <t>End of Year</t>
  </si>
  <si>
    <t>State Income Tax Rate (Composite).</t>
  </si>
  <si>
    <r>
      <t>AEPSC</t>
    </r>
    <r>
      <rPr>
        <vertAlign val="superscript"/>
        <sz val="10"/>
        <rFont val="Arial"/>
        <family val="2"/>
      </rPr>
      <t xml:space="preserve"> 2</t>
    </r>
  </si>
  <si>
    <r>
      <t xml:space="preserve">2 </t>
    </r>
    <r>
      <rPr>
        <sz val="10"/>
        <rFont val="Arial"/>
        <family val="2"/>
      </rPr>
      <t>From Company Books and Records.</t>
    </r>
  </si>
  <si>
    <t>FF1, 214, d</t>
  </si>
  <si>
    <t>Acct 926 (0057) PBOP Medicare Part Subsidy</t>
  </si>
  <si>
    <t>PBOP Amounts in Annual Informational Filing</t>
  </si>
  <si>
    <t>fr_desc</t>
  </si>
  <si>
    <t>fc_sortid</t>
  </si>
  <si>
    <t>description</t>
  </si>
  <si>
    <t>additions</t>
  </si>
  <si>
    <t>retirements</t>
  </si>
  <si>
    <t>adjustments</t>
  </si>
  <si>
    <t>end_month</t>
  </si>
  <si>
    <t>none</t>
  </si>
  <si>
    <t>Transmission Plant - Electric</t>
  </si>
  <si>
    <t>353 - Station Equipment</t>
  </si>
  <si>
    <t>205.46.g</t>
  </si>
  <si>
    <t>207.58.g</t>
  </si>
  <si>
    <t>207.57.g</t>
  </si>
  <si>
    <t>207.75.g</t>
  </si>
  <si>
    <t>207.74.g</t>
  </si>
  <si>
    <t>207.99.g</t>
  </si>
  <si>
    <t>207.98.g</t>
  </si>
  <si>
    <t>205.5.g</t>
  </si>
  <si>
    <t>DEFD STATE INCOME TAXES</t>
  </si>
  <si>
    <t>GAIN/LOSS ON ACRS/MACRS PROPERTY</t>
  </si>
  <si>
    <t>ABFUDC</t>
  </si>
  <si>
    <t>PERCENT REPAIR ALLOWANCE</t>
  </si>
  <si>
    <t>CAPITALIZED RELOCATION COSTS</t>
  </si>
  <si>
    <t>BOOK LEASES CAPITALIZED FOR TAX</t>
  </si>
  <si>
    <t>LOSS ON REACQUIRED DEBT</t>
  </si>
  <si>
    <r>
      <t xml:space="preserve">1 </t>
    </r>
    <r>
      <rPr>
        <sz val="10"/>
        <rFont val="Arial"/>
        <family val="2"/>
      </rPr>
      <t>References to data from FERC Form 1 are indicated as page#, line#, col.# for the ending total balances.</t>
    </r>
  </si>
  <si>
    <t>Urea</t>
  </si>
  <si>
    <t>Lime &amp; Limestone Intrasit</t>
  </si>
  <si>
    <t>Employee Benefits</t>
  </si>
  <si>
    <t>COLUMN A</t>
  </si>
  <si>
    <t>COLUMN B</t>
  </si>
  <si>
    <t>COLUMN C</t>
  </si>
  <si>
    <t>COLUMN D</t>
  </si>
  <si>
    <t>COLUMN E</t>
  </si>
  <si>
    <t>COLUMN F</t>
  </si>
  <si>
    <t>COLUMN J</t>
  </si>
  <si>
    <t>COLUMN K</t>
  </si>
  <si>
    <t>COLUMN L</t>
  </si>
  <si>
    <t>COLUMN M</t>
  </si>
  <si>
    <t>COLUMN N</t>
  </si>
  <si>
    <t>COLUMN O</t>
  </si>
  <si>
    <t>PER BOOKS</t>
  </si>
  <si>
    <t>NON-APPLICABLE/NON-UTILITY</t>
  </si>
  <si>
    <t>AVERAGE</t>
  </si>
  <si>
    <t xml:space="preserve">ELECTRIC </t>
  </si>
  <si>
    <t>BALANCE AS</t>
  </si>
  <si>
    <t>UTILITY</t>
  </si>
  <si>
    <t>ACCUMULATED DEFERRED FIT ITEMS</t>
  </si>
  <si>
    <t>(B+C+D+E)/2</t>
  </si>
  <si>
    <t>GENERATION</t>
  </si>
  <si>
    <t>ACCOUNT 281:</t>
  </si>
  <si>
    <t xml:space="preserve">NON-UTILITY DEFERRED FIT </t>
  </si>
  <si>
    <t>SFAS 109 FLOW-THRU 281.3</t>
  </si>
  <si>
    <t>SFAS 109 EXCESS DFIT 281.4</t>
  </si>
  <si>
    <t>TOTAL ACCOUNT 281</t>
  </si>
  <si>
    <t>ACCOUNT 282:</t>
  </si>
  <si>
    <t>R &amp; D DEDUCTION - SECTION 174</t>
  </si>
  <si>
    <t>SEC 481 PENS/OPEB ADJUSTMENT</t>
  </si>
  <si>
    <t>BOOK/TAX UNIT OF PROPERTY ADJ</t>
  </si>
  <si>
    <t>BK/TAX UNIT OF PROPERTY ADJ-SEC 481 ADJ</t>
  </si>
  <si>
    <t>CAPITALIZED LEASES - A/C 1011 ASSETS</t>
  </si>
  <si>
    <t>SFAS 109 FLOW-THRU 282.3</t>
  </si>
  <si>
    <t>SFAS 109 EXCESS DFIT 282.4</t>
  </si>
  <si>
    <t>TOTAL ACOUNT 282</t>
  </si>
  <si>
    <t>ACCOUNT 283:</t>
  </si>
  <si>
    <t>1650001 -  This account shall include amounts representing prepayments of insurance.</t>
  </si>
  <si>
    <t>1650005 - This account shall include amounts representing prepayments of employee benefits.</t>
  </si>
  <si>
    <t>1650009 - This account is used for factoring the AEP-East electric accounts receivable.</t>
  </si>
  <si>
    <t>Direct Production Related</t>
  </si>
  <si>
    <t>Direct Distribution Related</t>
  </si>
  <si>
    <t>Water for Power</t>
  </si>
  <si>
    <t>Hydraulic Expenses</t>
  </si>
  <si>
    <t>Miscellaneous Hydraulic Power</t>
  </si>
  <si>
    <t>Maintenance of Reservious, Dams and Waterways</t>
  </si>
  <si>
    <t>Maintenance of Miscellaneous Hydraulic Plant</t>
  </si>
  <si>
    <t>Regional Market Expense</t>
  </si>
  <si>
    <t>Market Facilitation, Monitoring and Compliance</t>
  </si>
  <si>
    <t>Total Elec O &amp; M Exp. - FERC Form1 pg. 323, L. 198(b)</t>
  </si>
  <si>
    <t>company</t>
  </si>
  <si>
    <t>utility_account</t>
  </si>
  <si>
    <t>asset_location</t>
  </si>
  <si>
    <t>book_cost</t>
  </si>
  <si>
    <t>allocated_reserve</t>
  </si>
  <si>
    <t>net_book_value</t>
  </si>
  <si>
    <t>Amortization Period</t>
  </si>
  <si>
    <t>HEDGE AMOUNTS BY ISSUANCE (FROM p. 256-257 (i) of the FERC Form 1)</t>
  </si>
  <si>
    <t>Net Includable Hedge Amount</t>
  </si>
  <si>
    <t>Remaining Unamortized Balance</t>
  </si>
  <si>
    <t>Beginning</t>
  </si>
  <si>
    <t>Ending</t>
  </si>
  <si>
    <t>Total Hedge Amortization</t>
  </si>
  <si>
    <t>Non Labor</t>
  </si>
  <si>
    <t>1080001 ARO</t>
  </si>
  <si>
    <r>
      <t xml:space="preserve">1 </t>
    </r>
    <r>
      <rPr>
        <sz val="10"/>
        <rFont val="Arial"/>
        <family val="2"/>
      </rPr>
      <t>CBR indicates that data comparable to that reported in the FERC Form 1</t>
    </r>
  </si>
  <si>
    <t>is from the Company's Books and Records.</t>
  </si>
  <si>
    <r>
      <t xml:space="preserve">Demand ($) </t>
    </r>
    <r>
      <rPr>
        <vertAlign val="superscript"/>
        <sz val="10"/>
        <rFont val="Arial"/>
        <family val="2"/>
      </rPr>
      <t>1</t>
    </r>
  </si>
  <si>
    <r>
      <t xml:space="preserve">Energy ($) </t>
    </r>
    <r>
      <rPr>
        <u/>
        <vertAlign val="superscript"/>
        <sz val="10"/>
        <rFont val="Arial"/>
        <family val="2"/>
      </rPr>
      <t>1</t>
    </r>
  </si>
  <si>
    <r>
      <t xml:space="preserve">Demand ($) </t>
    </r>
    <r>
      <rPr>
        <u/>
        <vertAlign val="superscript"/>
        <sz val="10"/>
        <rFont val="Arial"/>
        <family val="2"/>
      </rPr>
      <t>1</t>
    </r>
  </si>
  <si>
    <t>transfers</t>
  </si>
  <si>
    <t xml:space="preserve">Hour </t>
  </si>
  <si>
    <t xml:space="preserve">Federal Unemployment Tax </t>
  </si>
  <si>
    <t xml:space="preserve">State Unemployment Insurance </t>
  </si>
  <si>
    <t xml:space="preserve">State Public Service Commission Fees </t>
  </si>
  <si>
    <t xml:space="preserve">State Franchise Taxes </t>
  </si>
  <si>
    <t xml:space="preserve">State Lic/Registration Fee  </t>
  </si>
  <si>
    <t xml:space="preserve">Sales &amp; Use </t>
  </si>
  <si>
    <t>Federal Excise Tax</t>
  </si>
  <si>
    <t>Fuel - Account 501</t>
  </si>
  <si>
    <t>320, 5, b</t>
  </si>
  <si>
    <t>Fuel Handling</t>
  </si>
  <si>
    <t>Sale of Fly Ash (Revenue &amp; Expense)</t>
  </si>
  <si>
    <t xml:space="preserve">CBR </t>
  </si>
  <si>
    <t>Total General and Intangible Exc. ARO</t>
  </si>
  <si>
    <t>Company's average five CP demands at time of PJM system peak.</t>
  </si>
  <si>
    <t xml:space="preserve">Total General and Intangible </t>
  </si>
  <si>
    <t>Note:  Total includes Intangible Plant.</t>
  </si>
  <si>
    <t>Demand (MW)</t>
  </si>
  <si>
    <r>
      <t xml:space="preserve">1 </t>
    </r>
    <r>
      <rPr>
        <sz val="10"/>
        <rFont val="Arial"/>
        <family val="2"/>
      </rPr>
      <t xml:space="preserve">References to data from FERC Form 1 are indicated as page#, line#, col.# for the </t>
    </r>
  </si>
  <si>
    <t>References to data from FERC Form 1 are indicated as page#, line#, col.# for the</t>
  </si>
  <si>
    <t>ending total balances.</t>
  </si>
  <si>
    <t>Load Dispatch-Reliability</t>
  </si>
  <si>
    <t>Load Dispatch-Monitor and Operate</t>
  </si>
  <si>
    <t>Load Dispatch-Transmission Service</t>
  </si>
  <si>
    <t>Scheduling, System Control</t>
  </si>
  <si>
    <t>Reliability, Planning and Standards Dev.</t>
  </si>
  <si>
    <t>Transmission Service Studies</t>
  </si>
  <si>
    <t>Generation Interconnection Studies</t>
  </si>
  <si>
    <r>
      <t xml:space="preserve">1 </t>
    </r>
    <r>
      <rPr>
        <sz val="9"/>
        <rFont val="Arial"/>
        <family val="2"/>
      </rPr>
      <t>References to data from FERC Form 1 are indicated as page#, line#, col.# for the ending total balances.</t>
    </r>
  </si>
  <si>
    <t>(EDT)</t>
  </si>
  <si>
    <t>Charge</t>
  </si>
  <si>
    <t>110.45.c</t>
  </si>
  <si>
    <t>In Transit</t>
  </si>
  <si>
    <t>1650021/1650023</t>
  </si>
  <si>
    <t>Ins. &amp; Lease</t>
  </si>
  <si>
    <t>Taxes</t>
  </si>
  <si>
    <t>FF1, 336, 10, b &amp; d</t>
  </si>
  <si>
    <t>TX AMORT POLLUTION CONT EQPT</t>
  </si>
  <si>
    <t>DEFD SFAS 106 BOOK COSTS</t>
  </si>
  <si>
    <t>SFAS 133 ADIT FED - SFAS 133 NONAFFIL 2830006</t>
  </si>
  <si>
    <t>July</t>
  </si>
  <si>
    <t>Mainteneance of Computer Hardware</t>
  </si>
  <si>
    <t>Maintenance of Computer Software</t>
  </si>
  <si>
    <t>Maintenance of Communication Equip</t>
  </si>
  <si>
    <t>Maintenance of Reactor Plant</t>
  </si>
  <si>
    <t>Maintenance of Misc. Nuclear Plant</t>
  </si>
  <si>
    <t>Coolants and Water</t>
  </si>
  <si>
    <t>Misc. Nuclear Power Expense</t>
  </si>
  <si>
    <t>OCI-Min Pen Liab FAS 158-Affil</t>
  </si>
  <si>
    <t>Senior Unsecured Notes - Series H</t>
  </si>
  <si>
    <t>Senior Unsecured Notes - Series I</t>
  </si>
  <si>
    <t>Other Charges</t>
  </si>
  <si>
    <t>state</t>
  </si>
  <si>
    <t>month</t>
  </si>
  <si>
    <t>35200 - Structures and Improvements</t>
  </si>
  <si>
    <t>35300 - Station Equipment</t>
  </si>
  <si>
    <t>1080001/1080011</t>
  </si>
  <si>
    <t xml:space="preserve">Fuel </t>
  </si>
  <si>
    <t>Fuel - Account 518</t>
  </si>
  <si>
    <t>Total Fuel</t>
  </si>
  <si>
    <t>320, 25, b</t>
  </si>
  <si>
    <t>.</t>
  </si>
  <si>
    <t>1650021 - This account shall include amounts representing prepayments of insurance with EIS (Energy Insurance Services).</t>
  </si>
  <si>
    <t xml:space="preserve">1650023 - Track balance of prepaid lease expense for agreements that qualify as a lease under company policy and are not tracked in PowerPlant Lease Accounting system will use this account.  </t>
  </si>
  <si>
    <t>Undistributed</t>
  </si>
  <si>
    <t>110.46.c</t>
  </si>
  <si>
    <t>110.52.c</t>
  </si>
  <si>
    <r>
      <t xml:space="preserve">($) </t>
    </r>
    <r>
      <rPr>
        <u/>
        <vertAlign val="superscript"/>
        <sz val="10"/>
        <rFont val="Arial"/>
        <family val="2"/>
      </rPr>
      <t>1</t>
    </r>
    <r>
      <rPr>
        <u/>
        <sz val="10"/>
        <rFont val="Arial"/>
        <family val="2"/>
      </rPr>
      <t xml:space="preserve"> </t>
    </r>
  </si>
  <si>
    <t>205.5.g, 207.99.g</t>
  </si>
  <si>
    <t>Prem on Capital Stk</t>
  </si>
  <si>
    <t>Interest*</t>
  </si>
  <si>
    <r>
      <t xml:space="preserve">Demand </t>
    </r>
    <r>
      <rPr>
        <vertAlign val="superscript"/>
        <sz val="10"/>
        <rFont val="Arial"/>
        <family val="2"/>
      </rPr>
      <t>1</t>
    </r>
  </si>
  <si>
    <r>
      <t xml:space="preserve">1 </t>
    </r>
    <r>
      <rPr>
        <sz val="10"/>
        <rFont val="Arial"/>
        <family val="2"/>
      </rPr>
      <t xml:space="preserve">CBR indicates that data comparable to that reported in the FERC Form 1 </t>
    </r>
  </si>
  <si>
    <t>Capacity Cost of Service Formula Rate</t>
  </si>
  <si>
    <t xml:space="preserve">  </t>
  </si>
  <si>
    <t>Workpaper 1 - Production System Peak Demand</t>
  </si>
  <si>
    <t>Workpaper 2 - Production Revenue Credits</t>
  </si>
  <si>
    <t xml:space="preserve">             Capacity Cost of Service Formula Rate</t>
  </si>
  <si>
    <t>Workpaper 5a - Materials and Supplies</t>
  </si>
  <si>
    <t xml:space="preserve">   Capacity Cost of Service Formula Rate</t>
  </si>
  <si>
    <t>Workpaper 5b - Fuel Inventory</t>
  </si>
  <si>
    <t>Workpaper 5c -  Prepayments</t>
  </si>
  <si>
    <t xml:space="preserve"> Capacity Cost of Service Formula Rate</t>
  </si>
  <si>
    <t>Workpaper 6a - Plant in Service</t>
  </si>
  <si>
    <t>Workpaper 6b - Accumulated Depreciation</t>
  </si>
  <si>
    <t xml:space="preserve">Workpaper 6c - General Plant and Intangible Plant </t>
  </si>
  <si>
    <t xml:space="preserve">Workpaper 4 </t>
  </si>
  <si>
    <t>Intentionally left blank - not applicable.</t>
  </si>
  <si>
    <t xml:space="preserve">Workpaper 15a </t>
  </si>
  <si>
    <t>Workpaper 17-Balance of Transmission Investment</t>
  </si>
  <si>
    <t>Workpaper 19 - Plant Held for Future Use</t>
  </si>
  <si>
    <t>REG ASSET-NET CCS FEED STUDY COSTS</t>
  </si>
  <si>
    <t>ACCRUED BK PENSION EXPENSE</t>
  </si>
  <si>
    <t>Appalachian Power Company</t>
  </si>
  <si>
    <t xml:space="preserve">Lime and </t>
  </si>
  <si>
    <t>Limestone</t>
  </si>
  <si>
    <t>Inventory</t>
  </si>
  <si>
    <t>Appalachian Power Power Company</t>
  </si>
  <si>
    <t>Prepays</t>
  </si>
  <si>
    <t>1650004 -  This account shall include amounts representing prepayments of interest.</t>
  </si>
  <si>
    <t xml:space="preserve">Appalachian Power Company </t>
  </si>
  <si>
    <t>Other Tangible Property</t>
  </si>
  <si>
    <t>Other Production Plant</t>
  </si>
  <si>
    <t>FF1, 336, 6 b</t>
  </si>
  <si>
    <t>(A)</t>
  </si>
  <si>
    <t>(C)</t>
  </si>
  <si>
    <t>(D)</t>
  </si>
  <si>
    <t>FERC FORM 1</t>
  </si>
  <si>
    <t>No.</t>
  </si>
  <si>
    <t>Tie-Back</t>
  </si>
  <si>
    <t>FERC FORM 1 Reference</t>
  </si>
  <si>
    <t>Gross Receipts Tax</t>
  </si>
  <si>
    <t>Real and Personal Property - West Virginia</t>
  </si>
  <si>
    <t>P.263 ln 34  (i)</t>
  </si>
  <si>
    <t>P.263 ln 39  (i)</t>
  </si>
  <si>
    <t>Real and Personal Property - Virginia</t>
  </si>
  <si>
    <t>P.263.2 ln 20  (i)</t>
  </si>
  <si>
    <t>Real and Personal Property - Tennessee</t>
  </si>
  <si>
    <t>Real and Personal Property - Other Jurisdictions</t>
  </si>
  <si>
    <t xml:space="preserve">Federal Insurance Contribution (FICA) </t>
  </si>
  <si>
    <t>P.263 ln 9 (i)</t>
  </si>
  <si>
    <t>State Severance Taxes</t>
  </si>
  <si>
    <t>State Business &amp; Occupation Tax</t>
  </si>
  <si>
    <t>P.263 ln 21 (i)</t>
  </si>
  <si>
    <t>P.263 ln 26 (i)</t>
  </si>
  <si>
    <t xml:space="preserve">Misc. State and Local Tax </t>
  </si>
  <si>
    <t>Michigan Single Business Tax</t>
  </si>
  <si>
    <t xml:space="preserve"> Total Taxes by Allocable Basis</t>
  </si>
  <si>
    <t>(Total Company Amount Ties to FFI p.114, Ln 14,(c))</t>
  </si>
  <si>
    <t>N/A</t>
  </si>
  <si>
    <r>
      <t>APCo</t>
    </r>
    <r>
      <rPr>
        <vertAlign val="superscript"/>
        <sz val="10"/>
        <rFont val="Arial"/>
        <family val="2"/>
      </rPr>
      <t>1</t>
    </r>
  </si>
  <si>
    <t>Acct 926 (0039) PBOP Gross Cost</t>
  </si>
  <si>
    <t>Senior Unsecured Notes - Series K</t>
  </si>
  <si>
    <t>Senior Unsecured Notes - Series L</t>
  </si>
  <si>
    <t>Senior Unsecured Notes - Series N</t>
  </si>
  <si>
    <t>Senior Unsecured Notes - Series Q</t>
  </si>
  <si>
    <t>Senior Unsecured Notes - Series S</t>
  </si>
  <si>
    <t>Senior Unsecured Notes - Series T</t>
  </si>
  <si>
    <t>Appalachian Power - Gen</t>
  </si>
  <si>
    <t>Clinch River Generating Plant</t>
  </si>
  <si>
    <t>Clinch River Generating Plant : APCo : 0770</t>
  </si>
  <si>
    <t xml:space="preserve">VA                </t>
  </si>
  <si>
    <t xml:space="preserve">WV                </t>
  </si>
  <si>
    <t>Niagara Hydro Plant</t>
  </si>
  <si>
    <t>Niagara Hydro Plant : APCo : 0650</t>
  </si>
  <si>
    <t>Transmission Subs =&lt;69KV-VA, APCo</t>
  </si>
  <si>
    <t>Byllesby 69KV Substation : APCo : 0631</t>
  </si>
  <si>
    <t>Reusens 34.5KV Substation : APCo : 0681</t>
  </si>
  <si>
    <t>Transmission Subs =&lt;69KV-WV, APCo</t>
  </si>
  <si>
    <t>Belle 46KV Substation : APCo : 3205</t>
  </si>
  <si>
    <t>London Hydro 46KV Substation : APCo : 0521</t>
  </si>
  <si>
    <t>Marmet Hydro 46KV Substation : APCo : 0511</t>
  </si>
  <si>
    <t>Winfield Hydro 69KV Substation : APCo : 0531</t>
  </si>
  <si>
    <t>Transmission Subs 138KV-VA, APCo</t>
  </si>
  <si>
    <t>Claytor 138KV Substation : APCo : 0621</t>
  </si>
  <si>
    <t>Clinch River 138KV Substation : APCo : 0771</t>
  </si>
  <si>
    <t>Leesville 138KV Substation : APCo : 0691</t>
  </si>
  <si>
    <t>Transmission Subs 138KV-WV, APCo</t>
  </si>
  <si>
    <t>Cabin Creek 138KV/46KV Substation : APCo : 3005</t>
  </si>
  <si>
    <t>Appalachian Power - Gen Total</t>
  </si>
  <si>
    <t>Fuel - Account 547</t>
  </si>
  <si>
    <t>321, 63, b</t>
  </si>
  <si>
    <t>Labor Related</t>
  </si>
  <si>
    <t>Energy Related</t>
  </si>
  <si>
    <t>Demand Related</t>
  </si>
  <si>
    <t xml:space="preserve">Excluded </t>
  </si>
  <si>
    <t>Excluded</t>
  </si>
  <si>
    <r>
      <t>($) Margins</t>
    </r>
    <r>
      <rPr>
        <u/>
        <vertAlign val="superscript"/>
        <sz val="10"/>
        <rFont val="Arial"/>
        <family val="2"/>
      </rPr>
      <t xml:space="preserve"> 2</t>
    </r>
  </si>
  <si>
    <t>Less Carbon</t>
  </si>
  <si>
    <t>Total Purchased Power</t>
  </si>
  <si>
    <t>Expense</t>
  </si>
  <si>
    <t xml:space="preserve">Workpaper 3 </t>
  </si>
  <si>
    <t xml:space="preserve">Excluding ARO </t>
  </si>
  <si>
    <t>Workpaper 8a</t>
  </si>
  <si>
    <t xml:space="preserve">Annual Tax Expenses by Type </t>
  </si>
  <si>
    <r>
      <t>Charges</t>
    </r>
    <r>
      <rPr>
        <u/>
        <vertAlign val="superscript"/>
        <sz val="10"/>
        <rFont val="Arial"/>
        <family val="2"/>
      </rPr>
      <t xml:space="preserve"> 2</t>
    </r>
  </si>
  <si>
    <t>FF1, 336, 1, d</t>
  </si>
  <si>
    <r>
      <t xml:space="preserve">1 </t>
    </r>
    <r>
      <rPr>
        <sz val="10"/>
        <rFont val="Arial"/>
        <family val="2"/>
      </rPr>
      <t>Wages and Salaries from FERC Form Pg. 354.</t>
    </r>
  </si>
  <si>
    <t>1650006 - This account shall include amounts representing prepayments of other items not listed.</t>
  </si>
  <si>
    <r>
      <t>2</t>
    </r>
    <r>
      <rPr>
        <sz val="10"/>
        <rFont val="Arial"/>
        <family val="2"/>
      </rPr>
      <t xml:space="preserve"> margins provided by Accounting (represents 75% of system sales margins)</t>
    </r>
  </si>
  <si>
    <t>112.15.c.</t>
  </si>
  <si>
    <t>Allowable Expense</t>
  </si>
  <si>
    <t>Actual Expense - Removed from Cost of Service</t>
  </si>
  <si>
    <t>926a</t>
  </si>
  <si>
    <t>926b</t>
  </si>
  <si>
    <t>Allowed Employee Benefits (Note B)</t>
  </si>
  <si>
    <t>Less:  Actual Employee Benefits (Note A)</t>
  </si>
  <si>
    <t xml:space="preserve">Employee Benefits </t>
  </si>
  <si>
    <t>PBOP Amounts Recovery Allowance</t>
  </si>
  <si>
    <r>
      <t>Function</t>
    </r>
    <r>
      <rPr>
        <u/>
        <vertAlign val="superscript"/>
        <sz val="10"/>
        <rFont val="Arial"/>
        <family val="2"/>
      </rPr>
      <t xml:space="preserve"> 2</t>
    </r>
  </si>
  <si>
    <r>
      <t xml:space="preserve">Function </t>
    </r>
    <r>
      <rPr>
        <u/>
        <vertAlign val="superscript"/>
        <sz val="10"/>
        <rFont val="Arial"/>
        <family val="2"/>
      </rPr>
      <t>2</t>
    </r>
  </si>
  <si>
    <t>Misc. Exp.</t>
  </si>
  <si>
    <t>FF1, pg., Ln. Col.</t>
  </si>
  <si>
    <t>Virginia RPS-RAC</t>
  </si>
  <si>
    <t>Leesville Hydro Project - Adm. Federal Power Act</t>
  </si>
  <si>
    <t>Smith Mountain - Adm. Federal Power Act</t>
  </si>
  <si>
    <t>351, Ln. 33, Col(h)</t>
  </si>
  <si>
    <t>351, Ln. 35, Col(h)</t>
  </si>
  <si>
    <t>351, Ln. 37, Col(h)</t>
  </si>
  <si>
    <t>351, Ln. 39, Col(h)</t>
  </si>
  <si>
    <t>351, Ln. 41, Col(h)</t>
  </si>
  <si>
    <t>351, Ln. 43, Col(h)</t>
  </si>
  <si>
    <t>351, Ln. 45, Col(h)</t>
  </si>
  <si>
    <t>351, Ln. 3, Col(h)</t>
  </si>
  <si>
    <t>351, Ln. 7, Col(h)</t>
  </si>
  <si>
    <t>Claytor Hydro Project - Adm. Federal Power Act</t>
  </si>
  <si>
    <t>351, Ln. 11, Col(h)</t>
  </si>
  <si>
    <t>Byllesby Buck Hydro Project - Adm. Federal Power Act</t>
  </si>
  <si>
    <t>351, Ln. 15, Col(h)</t>
  </si>
  <si>
    <t>Marmet and London Hydro - Adm. Federal Power Act</t>
  </si>
  <si>
    <t>351, Ln. 19, Col(h)</t>
  </si>
  <si>
    <t>Winfield Hydro - Adm. Federal Power Act</t>
  </si>
  <si>
    <t>351, Ln. 23, Col(h)</t>
  </si>
  <si>
    <t>Reusens Hydro Project - Adm. Federal Power Act</t>
  </si>
  <si>
    <t>351, Ln. 27, Col(h)</t>
  </si>
  <si>
    <t>Niagara Hydro Project - Adm. Federal Power Act</t>
  </si>
  <si>
    <t>351, Ln. 31, Col(h)</t>
  </si>
  <si>
    <t>Total Wholesale</t>
  </si>
  <si>
    <t>Total Retail</t>
  </si>
  <si>
    <t>Reconciliation Account 430</t>
  </si>
  <si>
    <t>Interest Expense Long Term Debt</t>
  </si>
  <si>
    <t>Interest Expense Short Term Debt</t>
  </si>
  <si>
    <t>FF1, pg. 117, Ln. 67</t>
  </si>
  <si>
    <r>
      <t>2</t>
    </r>
    <r>
      <rPr>
        <sz val="10"/>
        <rFont val="Arial"/>
        <family val="2"/>
      </rPr>
      <t xml:space="preserve">  The deferred portion of APCo's capacity equalization payments related to environmental compliance investments FF 1, pg. 327, column (l)</t>
    </r>
  </si>
  <si>
    <t>Hydraulic  Production-Pumped Storage</t>
  </si>
  <si>
    <t>Hydraulic Production - Conventional</t>
  </si>
  <si>
    <t>FF1, 336, 4 b</t>
  </si>
  <si>
    <t>FF1, 336, 5 b</t>
  </si>
  <si>
    <t>FF1, 336, 12, b &amp; d</t>
  </si>
  <si>
    <t>Depreciation and Amortization Expense</t>
  </si>
  <si>
    <r>
      <t xml:space="preserve">1 </t>
    </r>
    <r>
      <rPr>
        <sz val="10"/>
        <rFont val="Arial"/>
        <family val="2"/>
      </rPr>
      <t>CBR indicates that data comparable to that reported in the FERC Form 1 is from the Company's Books and Records.</t>
    </r>
  </si>
  <si>
    <r>
      <t xml:space="preserve">2  </t>
    </r>
    <r>
      <rPr>
        <sz val="10"/>
        <rFont val="Arial"/>
        <family val="2"/>
      </rPr>
      <t>Note:  Excludes reserve on Asset Retirement Obligations, to reflect their removal from gross plant.</t>
    </r>
  </si>
  <si>
    <r>
      <t xml:space="preserve">3  </t>
    </r>
    <r>
      <rPr>
        <sz val="10"/>
        <rFont val="Arial"/>
        <family val="2"/>
      </rPr>
      <t>References to data from FERC Form 1 are indicated as page#, line#, col.# for the total balances.</t>
    </r>
  </si>
  <si>
    <t>320.6.(b)</t>
  </si>
  <si>
    <t>320.9.(b)</t>
  </si>
  <si>
    <t>320.10.(b)</t>
  </si>
  <si>
    <t>320.11.(b)</t>
  </si>
  <si>
    <t>320.12.(b)</t>
  </si>
  <si>
    <t>320.24.(b)</t>
  </si>
  <si>
    <t>320.26.(b)</t>
  </si>
  <si>
    <t>320.27.(b)</t>
  </si>
  <si>
    <t>320.30.(b)</t>
  </si>
  <si>
    <t>320.31.(b)</t>
  </si>
  <si>
    <t>320.44.(b)</t>
  </si>
  <si>
    <t>320.45.(b)</t>
  </si>
  <si>
    <t>320.46.(b)</t>
  </si>
  <si>
    <t>320.47.(b)</t>
  </si>
  <si>
    <t>320.48.(b)</t>
  </si>
  <si>
    <t>321.62.(b)</t>
  </si>
  <si>
    <t>321.63.(b)</t>
  </si>
  <si>
    <t>321.64.(b)</t>
  </si>
  <si>
    <t>321.65.(b)</t>
  </si>
  <si>
    <t>320.15.(b)</t>
  </si>
  <si>
    <t>320.16.(b)</t>
  </si>
  <si>
    <t>320.17.(b)</t>
  </si>
  <si>
    <t>320.18.(b)</t>
  </si>
  <si>
    <t>320.19.(b)</t>
  </si>
  <si>
    <t>320.35.(b)</t>
  </si>
  <si>
    <t>320.36.(b)</t>
  </si>
  <si>
    <t>320.37.(b)</t>
  </si>
  <si>
    <t>320.38.(b)</t>
  </si>
  <si>
    <t>320.39.(b)</t>
  </si>
  <si>
    <t>320.53.(b)</t>
  </si>
  <si>
    <t>320.54.(b)</t>
  </si>
  <si>
    <t>320.55.(b)</t>
  </si>
  <si>
    <t>320.56.(b)</t>
  </si>
  <si>
    <t>320.57.(b)</t>
  </si>
  <si>
    <t>321.69.(b)</t>
  </si>
  <si>
    <t>321.71.(b)</t>
  </si>
  <si>
    <t>321.76.(b)</t>
  </si>
  <si>
    <t>321.77.(b)</t>
  </si>
  <si>
    <t>321.78.(b)</t>
  </si>
  <si>
    <t>321.79.(b)</t>
  </si>
  <si>
    <t>321.80.(b)</t>
  </si>
  <si>
    <t>321.83.(b)</t>
  </si>
  <si>
    <t>321.85.(b)</t>
  </si>
  <si>
    <t>321.86.(b)</t>
  </si>
  <si>
    <t>321.87.(b)</t>
  </si>
  <si>
    <t>321.88.(b)</t>
  </si>
  <si>
    <t>321.89.(b)</t>
  </si>
  <si>
    <t>321.90.(b)</t>
  </si>
  <si>
    <t>321.91.(b)</t>
  </si>
  <si>
    <t>321.92.(b)</t>
  </si>
  <si>
    <t>321.93.(b)</t>
  </si>
  <si>
    <t>321.94.(b)</t>
  </si>
  <si>
    <t>321.95.(b)</t>
  </si>
  <si>
    <t>321.96.(b)</t>
  </si>
  <si>
    <t>321.97.(b)</t>
  </si>
  <si>
    <t>321.98.(b)</t>
  </si>
  <si>
    <t>321.99.(b)</t>
  </si>
  <si>
    <t>321.101.(b)</t>
  </si>
  <si>
    <t>321.102.(b)</t>
  </si>
  <si>
    <t>321.103.(b)</t>
  </si>
  <si>
    <t>321.104.(b)</t>
  </si>
  <si>
    <t>321.105.(b)</t>
  </si>
  <si>
    <t>321.107.(b)</t>
  </si>
  <si>
    <t>321.108.(b)</t>
  </si>
  <si>
    <t>321.109.(b)</t>
  </si>
  <si>
    <t>321.110.(b)</t>
  </si>
  <si>
    <t>321.111.(b)</t>
  </si>
  <si>
    <t>321.112.(b)</t>
  </si>
  <si>
    <t>322.121.(b)</t>
  </si>
  <si>
    <t>322.134.(b)</t>
  </si>
  <si>
    <t>322.135.(b)</t>
  </si>
  <si>
    <t>322.136.(b)</t>
  </si>
  <si>
    <t>322.137.(b)</t>
  </si>
  <si>
    <t>322.138.(b)</t>
  </si>
  <si>
    <t>322.139.(b)</t>
  </si>
  <si>
    <t>322.140.(b)</t>
  </si>
  <si>
    <t>322.141.(b)</t>
  </si>
  <si>
    <t>322.142.(b)</t>
  </si>
  <si>
    <t>322.143.(b)</t>
  </si>
  <si>
    <t>322.144.(b)</t>
  </si>
  <si>
    <t>322.146.(b)</t>
  </si>
  <si>
    <t>322.147.(b)</t>
  </si>
  <si>
    <t>322.148.(b)</t>
  </si>
  <si>
    <t>322.149.(b)</t>
  </si>
  <si>
    <t>322.150.(b)</t>
  </si>
  <si>
    <t>322.151.(b)</t>
  </si>
  <si>
    <t>322.152.(b)</t>
  </si>
  <si>
    <t>322.153.(b)</t>
  </si>
  <si>
    <t>322.154.(b)</t>
  </si>
  <si>
    <t>322.155.(b)</t>
  </si>
  <si>
    <t>322.156.(b)</t>
  </si>
  <si>
    <t>322.159.(b)</t>
  </si>
  <si>
    <t>322.160.(b)</t>
  </si>
  <si>
    <t>322.161.(b)</t>
  </si>
  <si>
    <t>322.162.(b)</t>
  </si>
  <si>
    <t>322.163.(b)</t>
  </si>
  <si>
    <t>322.164.(b)</t>
  </si>
  <si>
    <t>323.167.(b)</t>
  </si>
  <si>
    <t>323.168.(b)</t>
  </si>
  <si>
    <t>323.169.(b)</t>
  </si>
  <si>
    <t>323.170.(b)</t>
  </si>
  <si>
    <t>323.174.(b)</t>
  </si>
  <si>
    <t>323.175.(b)</t>
  </si>
  <si>
    <t>323.176.(b)</t>
  </si>
  <si>
    <t>323.177.(b)</t>
  </si>
  <si>
    <t>323.178.(b)</t>
  </si>
  <si>
    <t>323.181.(b)</t>
  </si>
  <si>
    <t>323.182.(b)</t>
  </si>
  <si>
    <t>323.183.(b)</t>
  </si>
  <si>
    <t>323.184.(b)</t>
  </si>
  <si>
    <t>323.185.(b)</t>
  </si>
  <si>
    <t>323.186.(b)</t>
  </si>
  <si>
    <t>323.187.(b)</t>
  </si>
  <si>
    <t>323.188.(b)</t>
  </si>
  <si>
    <t>323.189.(b)</t>
  </si>
  <si>
    <t>323.190.(b)</t>
  </si>
  <si>
    <t>323.191.(b)</t>
  </si>
  <si>
    <t>323.192.(b)</t>
  </si>
  <si>
    <t>323.193.(b)</t>
  </si>
  <si>
    <t>320.194.(b)</t>
  </si>
  <si>
    <t>323.196.(b)</t>
  </si>
  <si>
    <t>323.197.(b)</t>
  </si>
  <si>
    <t>323.198.(b)</t>
  </si>
  <si>
    <t>Total FF1, pg. 351, Ln. 46, Col(h)</t>
  </si>
  <si>
    <r>
      <t>Wholesale - FERC</t>
    </r>
    <r>
      <rPr>
        <i/>
        <vertAlign val="superscript"/>
        <sz val="12"/>
        <rFont val="Arial"/>
        <family val="2"/>
      </rPr>
      <t>1</t>
    </r>
    <r>
      <rPr>
        <i/>
        <sz val="12"/>
        <rFont val="Arial"/>
        <family val="2"/>
      </rPr>
      <t xml:space="preserve"> 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</si>
  <si>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Assessment for cost of administration of Federal Water Power Act.</t>
    </r>
  </si>
  <si>
    <t>Total Depreciation Expense</t>
  </si>
  <si>
    <t>Total Allocated Labor Expense</t>
  </si>
  <si>
    <r>
      <t xml:space="preserve">Demand </t>
    </r>
    <r>
      <rPr>
        <u/>
        <vertAlign val="superscript"/>
        <sz val="6"/>
        <rFont val="Arial"/>
        <family val="2"/>
      </rPr>
      <t>1</t>
    </r>
  </si>
  <si>
    <r>
      <t xml:space="preserve">Energy </t>
    </r>
    <r>
      <rPr>
        <u/>
        <vertAlign val="superscript"/>
        <sz val="6"/>
        <rFont val="Arial"/>
        <family val="2"/>
      </rPr>
      <t>1</t>
    </r>
  </si>
  <si>
    <t>Operation Supervision and Engineering</t>
  </si>
  <si>
    <t>Steam Expense</t>
  </si>
  <si>
    <t>Electric Expense</t>
  </si>
  <si>
    <t>Misc Nuclear Power Expense</t>
  </si>
  <si>
    <t>Maintenance of Misc Nuclear Plant</t>
  </si>
  <si>
    <t>Maint of Reservoirs, Dams and Waterways</t>
  </si>
  <si>
    <t>Maintenance of Misc Hydraulic Plant</t>
  </si>
  <si>
    <t>Misc Power Generation Exp</t>
  </si>
  <si>
    <t>Maintenance of Misc Other Power Gen Plant</t>
  </si>
  <si>
    <t>Workpaper 6d - Depreciation Expense</t>
  </si>
  <si>
    <t>320.4.(b)</t>
  </si>
  <si>
    <t>320.5.(b)</t>
  </si>
  <si>
    <t>320.25.(b)</t>
  </si>
  <si>
    <t>320.49.(b)</t>
  </si>
  <si>
    <t>321.72.(b)</t>
  </si>
  <si>
    <t>323.171.(b)</t>
  </si>
  <si>
    <t>Note A:  Changing PBOP included in the formula rate will require, as applicable, a FPA Section 205 or Section 206 filing.</t>
  </si>
  <si>
    <t>327, j</t>
  </si>
  <si>
    <t xml:space="preserve">327,  k </t>
  </si>
  <si>
    <t>327,l</t>
  </si>
  <si>
    <t>327,m</t>
  </si>
  <si>
    <t xml:space="preserve">  FF1, 311, h, i, j (Non-RQ)</t>
  </si>
  <si>
    <t>205.15,24,34,44.g</t>
  </si>
  <si>
    <t>(B)</t>
  </si>
  <si>
    <r>
      <t xml:space="preserve">2 </t>
    </r>
    <r>
      <rPr>
        <sz val="9"/>
        <rFont val="Arial"/>
        <family val="2"/>
      </rPr>
      <t>CBR indicates that data comparable to that reported in the FERC Form 1 is from the Company's Books and Records.</t>
    </r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</si>
  <si>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CBR indicates that data comparable to that reported in the FERC Form 1 is from the Company's Books and Records.</t>
    </r>
  </si>
  <si>
    <r>
      <t>Source</t>
    </r>
    <r>
      <rPr>
        <u/>
        <vertAlign val="superscript"/>
        <sz val="10"/>
        <rFont val="Arial"/>
        <family val="2"/>
      </rPr>
      <t xml:space="preserve"> 1 2</t>
    </r>
  </si>
  <si>
    <r>
      <t>Source</t>
    </r>
    <r>
      <rPr>
        <vertAlign val="superscript"/>
        <sz val="10"/>
        <rFont val="Arial"/>
        <family val="2"/>
      </rPr>
      <t xml:space="preserve"> 1 </t>
    </r>
  </si>
  <si>
    <t xml:space="preserve">       where WCLTD and WACC from Appendix 2, pg. 11, Col.(4)</t>
  </si>
  <si>
    <t xml:space="preserve">     T=1 - {[(1 - SIT) * (1 - FIT)] / (1 - SIT * FIT * P)} =</t>
  </si>
  <si>
    <t>P</t>
  </si>
  <si>
    <t>320.7.(b)</t>
  </si>
  <si>
    <t>320.8.(b)</t>
  </si>
  <si>
    <t>320.28.(b)</t>
  </si>
  <si>
    <t>320.29.(b)</t>
  </si>
  <si>
    <t>321.66.(b)</t>
  </si>
  <si>
    <t>321.70.(b)</t>
  </si>
  <si>
    <t>Page 1 of 4</t>
  </si>
  <si>
    <t>Page 2 of 4</t>
  </si>
  <si>
    <t>Page 3 of 4</t>
  </si>
  <si>
    <t>Page 4 of 4</t>
  </si>
  <si>
    <t xml:space="preserve">       and FIT, SIT &amp; P are as shown below.</t>
  </si>
  <si>
    <t>Page 1 of 2</t>
  </si>
  <si>
    <t>Page 2 of 2</t>
  </si>
  <si>
    <t>320.32.(b)</t>
  </si>
  <si>
    <r>
      <t>Capture Expense</t>
    </r>
    <r>
      <rPr>
        <u/>
        <vertAlign val="superscript"/>
        <sz val="10"/>
        <rFont val="Arial"/>
        <family val="2"/>
      </rPr>
      <t xml:space="preserve"> 2</t>
    </r>
  </si>
  <si>
    <r>
      <t>Source</t>
    </r>
    <r>
      <rPr>
        <vertAlign val="superscript"/>
        <sz val="6"/>
        <rFont val="Arial"/>
        <family val="2"/>
      </rPr>
      <t xml:space="preserve"> 1</t>
    </r>
  </si>
  <si>
    <r>
      <t>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From Company's Books and Records.</t>
    </r>
  </si>
  <si>
    <r>
      <t xml:space="preserve">1  </t>
    </r>
    <r>
      <rPr>
        <sz val="10"/>
        <rFont val="Arial"/>
        <family val="2"/>
      </rPr>
      <t>References to data from FERC Form 1 are indicated as page#, line#, col.# for the ending total balances pgs. 320-323,,b</t>
    </r>
  </si>
  <si>
    <t>Percent of FIT deductible for state purposes (Note 3).</t>
  </si>
  <si>
    <t>Note 1:  Apportionment Factors are determined as part of the Company's annual tax return for that jurisdiction.</t>
  </si>
  <si>
    <t>Note 3:  Percent deductible for state purposes provided from Company's books and records.</t>
  </si>
  <si>
    <t>Note 2:  From Company Books and Records.</t>
  </si>
  <si>
    <t>Development of Composite State Income Tax Rates for 2011 (Note 1)</t>
  </si>
  <si>
    <r>
      <t>Rate Base</t>
    </r>
    <r>
      <rPr>
        <vertAlign val="superscript"/>
        <sz val="10"/>
        <rFont val="Arial"/>
        <family val="2"/>
      </rPr>
      <t>2</t>
    </r>
  </si>
  <si>
    <t>General Plant (FF1, 207.86-97,g)</t>
  </si>
  <si>
    <t>FF1, 336, 2, b &amp; d</t>
  </si>
  <si>
    <r>
      <t>CBR</t>
    </r>
    <r>
      <rPr>
        <vertAlign val="superscript"/>
        <sz val="10"/>
        <rFont val="Arial"/>
        <family val="2"/>
      </rPr>
      <t>2</t>
    </r>
  </si>
  <si>
    <t>For the Year Ended December 31, 2013</t>
  </si>
  <si>
    <t>For the Year Ending December 31, 2013</t>
  </si>
  <si>
    <t>West Virginia ENEC</t>
  </si>
  <si>
    <t>Virginia IRP</t>
  </si>
  <si>
    <t>351.1, Ln. 1, Col(h)</t>
  </si>
  <si>
    <t>351.1, Ln. 3, Col(h)</t>
  </si>
  <si>
    <t>351.1, Ln. 5, Col(h)</t>
  </si>
  <si>
    <t>Total Hedge Gain or Loss for 2013</t>
  </si>
  <si>
    <t>Dresden Generating Plant</t>
  </si>
  <si>
    <t>Dresden Generating Plant : APCo : DRESGP</t>
  </si>
  <si>
    <t xml:space="preserve">OH                </t>
  </si>
  <si>
    <t>Dresden Plant - Virginia AFUDC : APCo : DRESAFUDCVA</t>
  </si>
  <si>
    <t>John E. Amos Generating Plant Unit 3 : APCo : 0743</t>
  </si>
  <si>
    <t>John E. Amos Generating Plant Units 1 &amp; 2 : APCo : 0740</t>
  </si>
  <si>
    <t>APPALACHIAN POWER COMPANY</t>
  </si>
  <si>
    <t>DISALLOWED COSTS-RESERVE DEFICIENCY-APCO VA</t>
  </si>
  <si>
    <t>GAIN ON REACQUIRED DEBT</t>
  </si>
  <si>
    <t>NOL - STATE C/F - DEF STATE TAX ASSET - L/T</t>
  </si>
  <si>
    <t>WV CENTURY ENEC UNDER RECOVERY</t>
  </si>
  <si>
    <t>WV UNREC FUEL DISPUTED COAL INV</t>
  </si>
  <si>
    <t>PROP TX-STATE 2 OLD METHOD-TX</t>
  </si>
  <si>
    <t>DEFD TAX GAIN - APCO WV SEC REG ASSET</t>
  </si>
  <si>
    <t>DEFD BK LOSS-NON AFF SALE-EMA</t>
  </si>
  <si>
    <t>REG ASSET-DEFD SEVERANCE COSTS</t>
  </si>
  <si>
    <t>REG ASSET-DEFD VA DEMAND RESPONSE PROGRAM</t>
  </si>
  <si>
    <t>REG ASSET DRESDEN UNRECOG EQUITY CC WV</t>
  </si>
  <si>
    <t>REG ASSET DRESDEN OPERATION COST VA</t>
  </si>
  <si>
    <t>REG ASSET DRESDEN CARRYING COSTS VA</t>
  </si>
  <si>
    <t>REG ASSET DRESDEN UNRECOG EQUITY CC VA</t>
  </si>
  <si>
    <t>REG ASSET DRESDEN CARRYING COST WV</t>
  </si>
  <si>
    <t>REG ASSET DRESDEN OPERATING COSTS WV</t>
  </si>
  <si>
    <t>REG ASSET-WW CC-CONSTR SURCHARG UNRECOG EQ</t>
  </si>
  <si>
    <t>REG ASSET-WW CONSTR SURCHRG OPER COSTS</t>
  </si>
  <si>
    <t>REG ASSET-WW CC CONSTR SURCHRG</t>
  </si>
  <si>
    <t>September</t>
  </si>
  <si>
    <t>For the Year Ended December 31, 2014</t>
  </si>
  <si>
    <r>
      <t>Source</t>
    </r>
    <r>
      <rPr>
        <u/>
        <vertAlign val="superscript"/>
        <sz val="12"/>
        <rFont val="Arial"/>
        <family val="2"/>
      </rPr>
      <t xml:space="preserve"> 1</t>
    </r>
  </si>
  <si>
    <t>1650031/1650033</t>
  </si>
  <si>
    <t>Work Comp</t>
  </si>
  <si>
    <t>P.263.1 ln 28 (i)</t>
  </si>
  <si>
    <t>P.263 ln 20 (i)</t>
  </si>
  <si>
    <t>P.263 ln 25 (i)</t>
  </si>
  <si>
    <t>P.263.1 ln 21 (i)</t>
  </si>
  <si>
    <t>P.263.2 ln 10 (i)</t>
  </si>
  <si>
    <t>APCo 101/6 353 GSU</t>
  </si>
  <si>
    <t>APCo 101/6 352 GSU</t>
  </si>
  <si>
    <t>APCo 101/6 353 Dresden Plant</t>
  </si>
  <si>
    <t>APCo 101/6 353 Dresden VA AFUDC</t>
  </si>
  <si>
    <t>John E Amos Generating Plant</t>
  </si>
  <si>
    <t>John E. Amos Generating Plant Common Facilities for Units 1, 2 &amp; 3 : APCo : 7801</t>
  </si>
  <si>
    <t>Smith Mt Pumped Storage Hydro Plant</t>
  </si>
  <si>
    <t>Smith Mountain Pumped Storage Hydro Plant : APCo : 0550</t>
  </si>
  <si>
    <t>major_location</t>
  </si>
  <si>
    <t>depr_group</t>
  </si>
  <si>
    <t>Use Tax</t>
  </si>
  <si>
    <t>Prepiad OCIP WC</t>
  </si>
  <si>
    <t>PPD OCIP WC</t>
  </si>
  <si>
    <t>1650034 - Prepaid OCIP Work Comp LT</t>
  </si>
  <si>
    <t>Virginia EE/DR Plan Filing</t>
  </si>
  <si>
    <t>PJM FERC Filing</t>
  </si>
  <si>
    <t>Debentures</t>
  </si>
  <si>
    <t>Other LTD</t>
  </si>
  <si>
    <t>PCRB</t>
  </si>
  <si>
    <t>COLUMN G</t>
  </si>
  <si>
    <t>COLUMN H</t>
  </si>
  <si>
    <t>COLUMN I</t>
  </si>
  <si>
    <t>FUNCTIONALIZATION AVERAGE</t>
  </si>
  <si>
    <t>FUNCTIONALIZATION 12/31/14</t>
  </si>
  <si>
    <t>OF 12-31-14</t>
  </si>
  <si>
    <t>CAPD INTEREST - SECTION 481(a) - CHANGE IN METHD</t>
  </si>
  <si>
    <t>RELOCATION COST - SECTION 481(a) - CHANGE IN METH</t>
  </si>
  <si>
    <t>PJM INTEGRATION - SEC 481(a) - INTANG - DFD LABOR</t>
  </si>
  <si>
    <t>BK PLANT IN SERVICE-SFAS 143-ARO</t>
  </si>
  <si>
    <t>GAIN/LOSS ON ACRS/MACRS-BK/TX UNIT PROP</t>
  </si>
  <si>
    <t>TAXES CAPITALIZED</t>
  </si>
  <si>
    <t>PENSIONS CAPITALIZED</t>
  </si>
  <si>
    <t>SAVINGS PLAN CAPITALIZED</t>
  </si>
  <si>
    <t>MARK &amp; SPREAD - DEFL - 283 A/L</t>
  </si>
  <si>
    <t>REG ASSET - DEFERRED RTO COSTS</t>
  </si>
  <si>
    <t>DEFD ENVIRON COMP COSTS &amp; CARRYING CHARGES</t>
  </si>
  <si>
    <t>DEFD EXPS (A/C 186)</t>
  </si>
  <si>
    <t>RATE CASE DEFERRED CHARGES</t>
  </si>
  <si>
    <t>BK DEFL-DEMAND SIDE MNGMT EXP</t>
  </si>
  <si>
    <t>BOOK &gt; TAX - EMA - A/C 283</t>
  </si>
  <si>
    <t>DEFD TX GAIN - INTERCO SALE - EMA</t>
  </si>
  <si>
    <t>REG ASSET-SFAS 143 - ARO</t>
  </si>
  <si>
    <t>REG ASSET-SFAS 158 - PENSIONS</t>
  </si>
  <si>
    <t>REG ASSET-SFAS 158 - SERP</t>
  </si>
  <si>
    <t>REG ASSET-SFAS 158 - OPEB</t>
  </si>
  <si>
    <t>REG ASSET-UNDERRECOVERY-VIRGINIA T-RAC</t>
  </si>
  <si>
    <t>REG ASSET-MOUNTAINEER CARBON CAPTURE</t>
  </si>
  <si>
    <t>REG ASSET-DEFERRED RPS COSTS</t>
  </si>
  <si>
    <t>REG ASSET-CARRYING CHARGES-WV ENEC</t>
  </si>
  <si>
    <t>REG ASSET-WV VMP (VEGETATION MGMT) COSTS</t>
  </si>
  <si>
    <t>REG ASSET-CARRYING CHARGES-WV VMP</t>
  </si>
  <si>
    <t>REG ASSET-UNREC EQUITY CC WV-AMOS 3</t>
  </si>
  <si>
    <t>REG ASSET-CARRYING CHARGES WV-AMOS 3</t>
  </si>
  <si>
    <t>REG ASSET-IGCC PRE-CONSTRUCTION COSTS</t>
  </si>
  <si>
    <t>CAPITALIZED SOFTWARE COST - BOOK</t>
  </si>
  <si>
    <t>SFAS 106-MEDICARE SUBSIDY-(PPACA)-REG ASSET</t>
  </si>
  <si>
    <t>ACCUMULATED DEFERRED INCOME TAX IN ACCOUNT 190</t>
  </si>
  <si>
    <t>ACCOUNT 190:</t>
  </si>
  <si>
    <t>NOL &amp; TAX CREDIT C/F - DEF TAX ASSET</t>
  </si>
  <si>
    <t>INT EXP CAPITALIZED FOR TAX</t>
  </si>
  <si>
    <t xml:space="preserve">CIAC-BOOK RECEIPTS </t>
  </si>
  <si>
    <t>CIAC - MUSSER ACQUISITION</t>
  </si>
  <si>
    <t>SW - OVER RECOVERY FUEL COSTS</t>
  </si>
  <si>
    <t>SV - OVER RECOVERY FUEL COSTS</t>
  </si>
  <si>
    <t>PROVS POSS REV REFDS</t>
  </si>
  <si>
    <t>MTM BK LOSS - A/L - TAX DEFL</t>
  </si>
  <si>
    <t>MARK &amp; SPREAD-DEFL-190-A/L</t>
  </si>
  <si>
    <t>ACCRD BK SUP. SAVINGS PLAN EXP</t>
  </si>
  <si>
    <t>EMPLOYER SAVINGS PLAN MATCH</t>
  </si>
  <si>
    <t>ACCRUED PSI PLAN EXP</t>
  </si>
  <si>
    <t>BK PROV UNCOLL ACCTS</t>
  </si>
  <si>
    <t>ACCRD COMPANY INCENT PLAN-ENGAGE TO GAIN</t>
  </si>
  <si>
    <t>ACCRD COMPANYWIDE INCENTV PLAN</t>
  </si>
  <si>
    <t>ACCRUED BOOK VACATION PAY</t>
  </si>
  <si>
    <t>(ICDP)-INCENTIVE COMP DEFERRAL PLAN</t>
  </si>
  <si>
    <t>ACCRUED BK SEVERANCE BENEFITS</t>
  </si>
  <si>
    <t>ACCRUED INTEREST EXPENSE - STATE</t>
  </si>
  <si>
    <t>ACCRUED INTEREST-LONG-TERM - FIN 48</t>
  </si>
  <si>
    <t>ACCRUED INTEREST-SHORT-TERM - FIN 48</t>
  </si>
  <si>
    <t>BK DFL RAIL TRANS REV/EXP</t>
  </si>
  <si>
    <t>ACCRUED RTO CARRYING CHARGES</t>
  </si>
  <si>
    <t>DEFD EQUITY CARRYING CHRGS-ENVIRON COMP COSTS</t>
  </si>
  <si>
    <t>FEDERAL MITIGATION PROGRAMS</t>
  </si>
  <si>
    <t xml:space="preserve">STATE MITIGATION PROGRAMS </t>
  </si>
  <si>
    <t>DEFD REV-EPRI/MNTR CARBON CAPTURE-CUR</t>
  </si>
  <si>
    <t>DEFD REV-EPRI/MNTR CARBON CAPTURE-L/T</t>
  </si>
  <si>
    <t>DEFD BK CONTRACT REVENUE</t>
  </si>
  <si>
    <t>DEFD STORM DAMAGES</t>
  </si>
  <si>
    <t>DEFD TX LOSS-INTERCO SALE-EMA</t>
  </si>
  <si>
    <t>ADVANCE RENTAL INC (CUR MO)</t>
  </si>
  <si>
    <t>DEFERRED BOOK RENTS</t>
  </si>
  <si>
    <t>ACCRD SFAS 106 PST RETIRE EXP</t>
  </si>
  <si>
    <t>SFAS 106 PST RETIRE EXP - NON-DEDUCT CONT</t>
  </si>
  <si>
    <t>ACCRD OPEB COSTS - SFAS 158</t>
  </si>
  <si>
    <t>ACCRUED BK REMOVAL COST - ACRS</t>
  </si>
  <si>
    <t>FIN 48 - DEFD STATE INCOME TAXES</t>
  </si>
  <si>
    <t>ACCRD SIT/FRANCHISE TAX RESERVE</t>
  </si>
  <si>
    <t>ACCRUED SALES &amp; USE TAX RESERVE</t>
  </si>
  <si>
    <t>SFAS 109 - DEFD SIT LIABILITY</t>
  </si>
  <si>
    <t>1985-1987 IRS AUDIT SETTLEMENT</t>
  </si>
  <si>
    <t>1991-1996 IRS AUDIT SETTLEMENT</t>
  </si>
  <si>
    <t>1997-2003 IRS AUDIT SETTLEMENT</t>
  </si>
  <si>
    <t>2007 IRS AUDIT ADJUSTMENTS - A/C 190</t>
  </si>
  <si>
    <t>IRS CAPITALIZATION ADJUSTMENT</t>
  </si>
  <si>
    <t>SFAS 109 FLOW-THRU 190.3</t>
  </si>
  <si>
    <t>SFAS 109 EXCESS DFIT 190.4</t>
  </si>
  <si>
    <t>SFAS 133 ADIT FED - SFAS NONAFFIL 1900006</t>
  </si>
  <si>
    <t>ADIT FED - PENSION OCI NAF 1900009</t>
  </si>
  <si>
    <t>ADIT FED - PENSION OCI  1900010</t>
  </si>
  <si>
    <t>ADIT FED - NON-UMWA PRW OCI 1900011</t>
  </si>
  <si>
    <t>ADIT FED - UMWA PRW OCI 1900012</t>
  </si>
  <si>
    <t>ADIT FED - HEDGE-INTEREST RATE 1900015</t>
  </si>
  <si>
    <t>ADIT FED - HEDGE-FOREIGN EXC 1900016</t>
  </si>
  <si>
    <t>NON-UTILITY DEFERRED SIT  1902002</t>
  </si>
  <si>
    <t>DEFERRED SIT  1901002</t>
  </si>
  <si>
    <t>TOTAL ACCOUNT 190</t>
  </si>
  <si>
    <t>Workpaper 8ai</t>
  </si>
  <si>
    <t>Balances as of December 31, 2015</t>
  </si>
  <si>
    <t>M&amp;S December 2015</t>
  </si>
  <si>
    <t>For the Year Ended December 31, 2015</t>
  </si>
  <si>
    <t>Work Com-Aff</t>
  </si>
  <si>
    <t>165000215 - This account shall include amounts representing prepayments of taxes.</t>
  </si>
  <si>
    <t xml:space="preserve">165001215 - Prepaid Use Taxes </t>
  </si>
  <si>
    <t>1650031 - Prepaid Workers Comp</t>
  </si>
  <si>
    <t>12 Months December 31, 2015 Plant In Service (excluding ARO)</t>
  </si>
  <si>
    <t>P.263.1 ln 4 (i)</t>
  </si>
  <si>
    <t>P.263.1 ln 29 (i)</t>
  </si>
  <si>
    <t>P.263 ln 35  (i)</t>
  </si>
  <si>
    <t>P.263 ln 40  (i)</t>
  </si>
  <si>
    <t>P.263.2 ln 19  (i)</t>
  </si>
  <si>
    <t>P.263.2 ln 23  (i)</t>
  </si>
  <si>
    <t>P.263.2 ln 24 (i)</t>
  </si>
  <si>
    <t>P.263.2 ln 25  (i)</t>
  </si>
  <si>
    <t>P.263.2 ln 26  (i)</t>
  </si>
  <si>
    <t>P.263.3 ln 7  (i)</t>
  </si>
  <si>
    <t>P.263.3 ln 8  (i)</t>
  </si>
  <si>
    <t>P.263.1 ln 32  (i)</t>
  </si>
  <si>
    <t>P.263.3 ln 35  (i)</t>
  </si>
  <si>
    <t>P.263.1 ln 17  (i)</t>
  </si>
  <si>
    <t>P.263.1 ln 38  (i)</t>
  </si>
  <si>
    <t>P.263.2 ln 33  (i)</t>
  </si>
  <si>
    <t>P.263.3 ln 19  (i)</t>
  </si>
  <si>
    <t>P.263.4 ln 20  (i)</t>
  </si>
  <si>
    <t>P.263.1 ln 22 (i)</t>
  </si>
  <si>
    <t>P.263.2 ln 9 (i)</t>
  </si>
  <si>
    <t>P.263.3 ln 29 (i)</t>
  </si>
  <si>
    <t>P.263.3 ln 30 (i)</t>
  </si>
  <si>
    <t>P.263.1 ln 10 (i)</t>
  </si>
  <si>
    <t>P.263.2 ln 35 (i)</t>
  </si>
  <si>
    <t>P.263.3 ln 11 (i)</t>
  </si>
  <si>
    <t>P.263.1 ln 8 (i)</t>
  </si>
  <si>
    <t>P.263.3 ln 21 (i)</t>
  </si>
  <si>
    <t>P.263.1 ln 26 (i)</t>
  </si>
  <si>
    <t>P.263 ln 13 (i)</t>
  </si>
  <si>
    <t>For the Year Ending December 31, 2015</t>
  </si>
  <si>
    <t>12/2015</t>
  </si>
  <si>
    <t>Ceredo Generating Plant</t>
  </si>
  <si>
    <t>Ceredo Generating Plant : APCo : CERGP</t>
  </si>
  <si>
    <t>Mountaineer Generating Plant</t>
  </si>
  <si>
    <t>Mountaineer Generating Plant : APCo : 0710</t>
  </si>
  <si>
    <t>Balance as of December 2015</t>
  </si>
  <si>
    <t>1650032 - Record workers compensation for contractors</t>
  </si>
  <si>
    <t>1650033 - Record workers compensation current charges</t>
  </si>
  <si>
    <t>P.263.1 ln 33  (i)</t>
  </si>
  <si>
    <t>P.263.3 ln 4 (i)</t>
  </si>
  <si>
    <t>P.263.3 ln 3 (i)</t>
  </si>
  <si>
    <t>West Virginia Base Rate Case</t>
  </si>
  <si>
    <t>West Virginia Terms &amp; Conditions Filing</t>
  </si>
  <si>
    <t>West Virginia IRP Filing</t>
  </si>
  <si>
    <t>Virginia Fuel Filing</t>
  </si>
  <si>
    <t>Virginia T-Rac filing</t>
  </si>
  <si>
    <t>Virginia Exp Solar Tariff</t>
  </si>
  <si>
    <t>351.1, Ln. 7, Col(h)</t>
  </si>
  <si>
    <t>351.1, Ln. 10, Col(h)</t>
  </si>
  <si>
    <t>351.1, Ln. 12, Col(h)</t>
  </si>
  <si>
    <t>Virginia Demand Response</t>
  </si>
  <si>
    <t>*Per Company Books and Records interest associated with LTD.</t>
  </si>
  <si>
    <t>P.263.2 ln 38 (i)</t>
  </si>
  <si>
    <t>PERIOD ENDED DECEMBER 31, 2015</t>
  </si>
  <si>
    <t>FUNCTIONALIZATION 12/31/15</t>
  </si>
  <si>
    <t>OF 12-31-15</t>
  </si>
  <si>
    <t>REG ASSET-FELMAN PREM/DISC-ENEC-WV</t>
  </si>
  <si>
    <t>REG ASSET-WV AIR QUALITY PERMIT FEES</t>
  </si>
  <si>
    <t>REG ASSET-NBV-ARO-RETIRED PLANTS</t>
  </si>
  <si>
    <t>REG ASSET-EXTRA LOSS-CLINCH RIVER PLANT</t>
  </si>
  <si>
    <t>REG ASSET-EXTRA LOSS-GLEN LYN U5 NET PLANT</t>
  </si>
  <si>
    <t>REG ASSET-EXTRA LOSS-SPORN PLANT</t>
  </si>
  <si>
    <t>REG ASSET-EXTRA LOSS-KANAWHA RIVER PLANT</t>
  </si>
  <si>
    <t>REG ASSET-EXTRA LOSS-GLEN LYN U6 NET PLANT</t>
  </si>
  <si>
    <t>REG ASSET-COAL CO UNCOLL ACCTS</t>
  </si>
  <si>
    <t>REG ASSET-CAR CHGS-WV VMP RESERVE</t>
  </si>
  <si>
    <t>REG ASSET-VA EE-RAC EFFICIENT PRODUCTS</t>
  </si>
  <si>
    <t>REG ASSET-VA EE-RAC HOME ENERGY PROG</t>
  </si>
  <si>
    <t>REG ASSET-VA EE-RAC APPLIANCE RECYCLING</t>
  </si>
  <si>
    <t xml:space="preserve">REG ASSET-VA EE-RAC C&amp;I PRESCRIPTIVE </t>
  </si>
  <si>
    <t xml:space="preserve">REG ASSET-VA EE-RAC MOBILE HOME ES </t>
  </si>
  <si>
    <t>REG ASSET-VA EE-RAC EQUITY MARGIN</t>
  </si>
  <si>
    <t>CIAC - BOOK RECEIPTS-DISTR -SV</t>
  </si>
  <si>
    <t>CIAC - BOOK RECEIPTS-TRANS</t>
  </si>
  <si>
    <t>CIAC - BOOK RECEIPTS-DISTR -SW</t>
  </si>
  <si>
    <t>SALE/LEASEBK-GRUNDY</t>
  </si>
  <si>
    <t>PROV WORKER'S COMP</t>
  </si>
  <si>
    <t>SUPPLEMENTAL EXECUTIVE RETIREMENT PLAN</t>
  </si>
  <si>
    <t>ACCRD SUP EXEC RETIR PLAN COSTS-SFAS 158</t>
  </si>
  <si>
    <t>PROV-TRADING CREDIT RISK - A/L</t>
  </si>
  <si>
    <t>PROV-FAS 157 - A/L</t>
  </si>
  <si>
    <t>ACCRD ENVIRONMENTAL LIAB-CURRENT</t>
  </si>
  <si>
    <t>ACCRUED STATE INCOME TAX EXP</t>
  </si>
  <si>
    <t>PROV LOSS-CAR CHG-PURCHASD EMA</t>
  </si>
  <si>
    <t>FK BK WRITE-OFF BLUE RDGE EASE</t>
  </si>
  <si>
    <t>FR BK WRITE-OFF BLUE RDGE EASE</t>
  </si>
  <si>
    <t>SV BK WRITE-OFF BLUE RDGE EASE</t>
  </si>
  <si>
    <t>CV BK WRITE-OFF BLUE RDGE EASE</t>
  </si>
  <si>
    <t>TAX &gt; BOOK BASIS - EMA-A/C 190</t>
  </si>
  <si>
    <t>DEFD BOOK GAIN-EPA AUCTION</t>
  </si>
  <si>
    <t>REG LIAB-UNREAL MTM GAIN-DEFL</t>
  </si>
  <si>
    <t>SECURITIZATION DEFD EQUITY INCOME - LONG-TERM</t>
  </si>
  <si>
    <t>CAPITALIZED SOFTWARE COSTS-TAX</t>
  </si>
  <si>
    <t>CAPITALIZED ADVERTISING EXP-TX</t>
  </si>
  <si>
    <t>ACCRD SFAS 112 PST EMPLOY BEN</t>
  </si>
  <si>
    <t>ACCRD BOOK ARO EXPENSE - SFAS 143</t>
  </si>
  <si>
    <t>ACCRD BK ARO EXP - MTNR CARBON CAPTURE</t>
  </si>
  <si>
    <t>SFAS 106 - MEDICARE SUBSIDY - NORM - (PPACA)</t>
  </si>
  <si>
    <t>GROSS RECEIPTS- TAX EXPENSE</t>
  </si>
  <si>
    <t>ACCRD SIT TX RESERVE-LNG-TERM-FIN 48</t>
  </si>
  <si>
    <t>ACCRD SIT TX RESERVE-SHRT-TERM-FIN 48</t>
  </si>
  <si>
    <t>AMT CREDIT - DEFERRED</t>
  </si>
  <si>
    <t>REHAB CREDIT - DEFD TAX ASSET RECLASS</t>
  </si>
  <si>
    <t>Page 1 of 3</t>
  </si>
  <si>
    <t>Reserve Account</t>
  </si>
  <si>
    <t>Total Reserve</t>
  </si>
  <si>
    <t>FF1 (22+30)</t>
  </si>
  <si>
    <t xml:space="preserve">TOTAL </t>
  </si>
  <si>
    <t>Ln 6 - Ln2</t>
  </si>
  <si>
    <t>APCo Exc ARO</t>
  </si>
  <si>
    <t xml:space="preserve">Ln6 - Ln4 </t>
  </si>
  <si>
    <t>FF1 pg 219.29</t>
  </si>
  <si>
    <t>Ln4 FF1pg 200.21</t>
  </si>
  <si>
    <t>Ln8 + Ln9 Total check FF1 pg 200.22+30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</si>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</sst>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0.000%"/>
    <numFmt numFmtId="166" formatCode="_(* #,##0_);_(* \(#,##0\);_(* &quot;-&quot;??_);_(@_)"/>
    <numFmt numFmtId="167" formatCode="General_)"/>
    <numFmt numFmtId="168" formatCode="0.00000%"/>
    <numFmt numFmtId="169" formatCode="mmm\-yy_)"/>
    <numFmt numFmtId="170" formatCode="#,##0.0000000000_);\(#,##0.0000000000\)"/>
    <numFmt numFmtId="171" formatCode="0_);\(0\)"/>
    <numFmt numFmtId="172" formatCode="#,##0.0_);\(#,##0.0\)"/>
    <numFmt numFmtId="173" formatCode="0_);[Red]\(0\)"/>
    <numFmt numFmtId="174" formatCode="m/d/yy;@"/>
    <numFmt numFmtId="175" formatCode="0.0"/>
    <numFmt numFmtId="176" formatCode="[$-409]mmm\-yy;@"/>
    <numFmt numFmtId="177" formatCode="&quot;$&quot;#,##0.00"/>
    <numFmt numFmtId="178" formatCode="_(* #,##0.0000_);_(* \(#,##0.0000\);_(* &quot;-&quot;_);_(@_)"/>
    <numFmt numFmtId="179" formatCode="0.0000%"/>
    <numFmt numFmtId="180" formatCode="_(* #,##0.0_);_(* \(#,##0.0\);_(* &quot;-&quot;??_);_(@_)"/>
    <numFmt numFmtId="181" formatCode="0;[Red]0"/>
    <numFmt numFmtId="182" formatCode="#,##0\ ;\(#,##0\)"/>
  </numFmts>
  <fonts count="6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color indexed="12"/>
      <name val="Tahoma"/>
      <family val="2"/>
    </font>
    <font>
      <sz val="10"/>
      <color indexed="6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2"/>
      <name val="Arial MT"/>
    </font>
    <font>
      <u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10"/>
      <name val="Helv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14"/>
      <name val="Helv"/>
    </font>
    <font>
      <sz val="14"/>
      <name val="Helv"/>
    </font>
    <font>
      <sz val="14"/>
      <color indexed="12"/>
      <name val="Helv"/>
    </font>
    <font>
      <strike/>
      <sz val="14"/>
      <color indexed="10"/>
      <name val="Helv"/>
    </font>
    <font>
      <b/>
      <sz val="14"/>
      <name val="Helv"/>
    </font>
    <font>
      <u/>
      <sz val="14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i/>
      <vertAlign val="superscript"/>
      <sz val="12"/>
      <name val="Arial"/>
      <family val="2"/>
    </font>
    <font>
      <u/>
      <vertAlign val="superscript"/>
      <sz val="6"/>
      <name val="Arial"/>
      <family val="2"/>
    </font>
    <font>
      <sz val="14"/>
      <color indexed="12"/>
      <name val="Arial"/>
      <family val="2"/>
    </font>
    <font>
      <vertAlign val="superscript"/>
      <sz val="6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  <font>
      <u/>
      <sz val="12"/>
      <name val="Arial"/>
      <family val="2"/>
    </font>
    <font>
      <u/>
      <vertAlign val="superscript"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0066FF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37" fontId="3" fillId="0" borderId="0"/>
    <xf numFmtId="167" fontId="3" fillId="0" borderId="0"/>
    <xf numFmtId="0" fontId="1" fillId="0" borderId="0"/>
    <xf numFmtId="37" fontId="3" fillId="0" borderId="0"/>
    <xf numFmtId="0" fontId="1" fillId="0" borderId="0"/>
    <xf numFmtId="167" fontId="3" fillId="0" borderId="0"/>
    <xf numFmtId="37" fontId="3" fillId="0" borderId="0"/>
    <xf numFmtId="177" fontId="17" fillId="0" borderId="0" applyProtection="0"/>
    <xf numFmtId="0" fontId="24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3" fontId="1" fillId="0" borderId="0"/>
    <xf numFmtId="43" fontId="1" fillId="0" borderId="0" applyFont="0" applyFill="0" applyBorder="0" applyAlignment="0" applyProtection="0"/>
  </cellStyleXfs>
  <cellXfs count="753">
    <xf numFmtId="0" fontId="0" fillId="0" borderId="0" xfId="0"/>
    <xf numFmtId="0" fontId="0" fillId="0" borderId="0" xfId="0" applyFill="1"/>
    <xf numFmtId="37" fontId="0" fillId="0" borderId="0" xfId="0" applyNumberFormat="1" applyFill="1" applyBorder="1"/>
    <xf numFmtId="37" fontId="6" fillId="0" borderId="0" xfId="0" applyNumberFormat="1" applyFont="1" applyFill="1"/>
    <xf numFmtId="37" fontId="0" fillId="0" borderId="1" xfId="0" applyNumberFormat="1" applyFill="1" applyBorder="1"/>
    <xf numFmtId="37" fontId="6" fillId="0" borderId="1" xfId="0" applyNumberFormat="1" applyFont="1" applyFill="1" applyBorder="1"/>
    <xf numFmtId="37" fontId="0" fillId="0" borderId="0" xfId="0" applyNumberFormat="1" applyFill="1"/>
    <xf numFmtId="0" fontId="4" fillId="0" borderId="0" xfId="0" applyFont="1" applyFill="1"/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>
      <alignment horizontal="center"/>
    </xf>
    <xf numFmtId="37" fontId="4" fillId="0" borderId="0" xfId="0" applyNumberFormat="1" applyFont="1" applyFill="1" applyProtection="1"/>
    <xf numFmtId="37" fontId="5" fillId="0" borderId="0" xfId="0" applyNumberFormat="1" applyFont="1" applyFill="1"/>
    <xf numFmtId="37" fontId="5" fillId="0" borderId="0" xfId="0" applyNumberFormat="1" applyFont="1" applyFill="1" applyProtection="1">
      <protection locked="0"/>
    </xf>
    <xf numFmtId="37" fontId="4" fillId="0" borderId="0" xfId="0" applyNumberFormat="1" applyFont="1" applyFill="1"/>
    <xf numFmtId="37" fontId="4" fillId="0" borderId="0" xfId="0" applyNumberFormat="1" applyFont="1" applyFill="1" applyProtection="1">
      <protection locked="0"/>
    </xf>
    <xf numFmtId="37" fontId="5" fillId="0" borderId="0" xfId="0" applyNumberFormat="1" applyFont="1" applyFill="1" applyBorder="1"/>
    <xf numFmtId="37" fontId="4" fillId="0" borderId="0" xfId="0" applyNumberFormat="1" applyFont="1" applyFill="1" applyBorder="1"/>
    <xf numFmtId="37" fontId="5" fillId="0" borderId="0" xfId="0" applyNumberFormat="1" applyFont="1" applyFill="1" applyBorder="1" applyProtection="1">
      <protection locked="0"/>
    </xf>
    <xf numFmtId="0" fontId="7" fillId="0" borderId="0" xfId="0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left"/>
      <protection locked="0"/>
    </xf>
    <xf numFmtId="37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/>
    <xf numFmtId="37" fontId="4" fillId="0" borderId="1" xfId="0" applyNumberFormat="1" applyFont="1" applyFill="1" applyBorder="1"/>
    <xf numFmtId="37" fontId="4" fillId="0" borderId="0" xfId="5" applyFont="1" applyFill="1" applyBorder="1"/>
    <xf numFmtId="37" fontId="4" fillId="0" borderId="0" xfId="5" applyFont="1" applyFill="1"/>
    <xf numFmtId="37" fontId="5" fillId="0" borderId="0" xfId="5" applyFont="1" applyFill="1" applyBorder="1"/>
    <xf numFmtId="37" fontId="10" fillId="0" borderId="0" xfId="5" applyFont="1" applyFill="1"/>
    <xf numFmtId="37" fontId="4" fillId="0" borderId="0" xfId="0" applyNumberFormat="1" applyFont="1" applyFill="1" applyAlignment="1">
      <alignment horizontal="center"/>
    </xf>
    <xf numFmtId="17" fontId="4" fillId="0" borderId="0" xfId="6" quotePrefix="1" applyNumberFormat="1" applyFont="1" applyFill="1" applyAlignment="1" applyProtection="1">
      <alignment horizontal="left"/>
    </xf>
    <xf numFmtId="41" fontId="1" fillId="0" borderId="0" xfId="14" applyNumberFormat="1" applyFill="1"/>
    <xf numFmtId="0" fontId="1" fillId="0" borderId="0" xfId="14" applyFill="1"/>
    <xf numFmtId="37" fontId="4" fillId="0" borderId="0" xfId="1" applyNumberFormat="1" applyFont="1" applyFill="1"/>
    <xf numFmtId="38" fontId="4" fillId="0" borderId="0" xfId="1" applyNumberFormat="1" applyFont="1" applyFill="1"/>
    <xf numFmtId="38" fontId="1" fillId="0" borderId="0" xfId="0" applyNumberFormat="1" applyFont="1" applyFill="1" applyAlignment="1">
      <alignment horizontal="left"/>
    </xf>
    <xf numFmtId="37" fontId="5" fillId="0" borderId="0" xfId="5" applyFont="1" applyFill="1"/>
    <xf numFmtId="39" fontId="4" fillId="0" borderId="0" xfId="0" applyNumberFormat="1" applyFont="1" applyFill="1"/>
    <xf numFmtId="176" fontId="4" fillId="0" borderId="0" xfId="0" applyNumberFormat="1" applyFont="1" applyFill="1"/>
    <xf numFmtId="166" fontId="4" fillId="0" borderId="0" xfId="1" applyNumberFormat="1" applyFont="1" applyFill="1"/>
    <xf numFmtId="166" fontId="5" fillId="0" borderId="0" xfId="1" applyNumberFormat="1" applyFont="1" applyFill="1"/>
    <xf numFmtId="166" fontId="4" fillId="0" borderId="0" xfId="0" applyNumberFormat="1" applyFont="1" applyFill="1"/>
    <xf numFmtId="0" fontId="4" fillId="0" borderId="0" xfId="0" applyNumberFormat="1" applyFont="1" applyFill="1" applyAlignment="1">
      <alignment horizontal="center"/>
    </xf>
    <xf numFmtId="37" fontId="5" fillId="0" borderId="0" xfId="0" applyNumberFormat="1" applyFont="1" applyFill="1" applyProtection="1"/>
    <xf numFmtId="37" fontId="5" fillId="0" borderId="0" xfId="0" applyNumberFormat="1" applyFont="1" applyFill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167" fontId="4" fillId="0" borderId="0" xfId="6" applyFont="1" applyFill="1"/>
    <xf numFmtId="167" fontId="4" fillId="0" borderId="2" xfId="6" applyFont="1" applyFill="1" applyBorder="1" applyAlignment="1" applyProtection="1">
      <alignment horizontal="center"/>
    </xf>
    <xf numFmtId="37" fontId="5" fillId="0" borderId="3" xfId="6" applyNumberFormat="1" applyFont="1" applyFill="1" applyBorder="1" applyProtection="1">
      <protection locked="0"/>
    </xf>
    <xf numFmtId="37" fontId="4" fillId="0" borderId="0" xfId="6" applyNumberFormat="1" applyFont="1" applyFill="1" applyProtection="1"/>
    <xf numFmtId="37" fontId="4" fillId="0" borderId="4" xfId="6" applyNumberFormat="1" applyFont="1" applyFill="1" applyBorder="1" applyProtection="1"/>
    <xf numFmtId="166" fontId="4" fillId="0" borderId="4" xfId="1" applyNumberFormat="1" applyFont="1" applyFill="1" applyBorder="1"/>
    <xf numFmtId="167" fontId="4" fillId="0" borderId="0" xfId="6" applyFont="1" applyFill="1" applyBorder="1"/>
    <xf numFmtId="166" fontId="4" fillId="0" borderId="5" xfId="1" applyNumberFormat="1" applyFont="1" applyFill="1" applyBorder="1"/>
    <xf numFmtId="167" fontId="4" fillId="0" borderId="6" xfId="6" applyFont="1" applyFill="1" applyBorder="1"/>
    <xf numFmtId="166" fontId="4" fillId="0" borderId="0" xfId="1" applyNumberFormat="1" applyFont="1" applyFill="1" applyBorder="1"/>
    <xf numFmtId="166" fontId="5" fillId="0" borderId="3" xfId="1" applyNumberFormat="1" applyFont="1" applyFill="1" applyBorder="1"/>
    <xf numFmtId="43" fontId="5" fillId="0" borderId="3" xfId="1" applyFont="1" applyFill="1" applyBorder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7" fontId="5" fillId="0" borderId="0" xfId="1" applyNumberFormat="1" applyFont="1" applyFill="1" applyBorder="1"/>
    <xf numFmtId="37" fontId="4" fillId="0" borderId="0" xfId="15" applyNumberFormat="1" applyFont="1" applyFill="1" applyBorder="1" applyProtection="1"/>
    <xf numFmtId="37" fontId="8" fillId="0" borderId="0" xfId="15" applyNumberFormat="1" applyFont="1" applyFill="1" applyBorder="1" applyProtection="1"/>
    <xf numFmtId="40" fontId="1" fillId="0" borderId="0" xfId="0" applyNumberFormat="1" applyFont="1" applyFill="1"/>
    <xf numFmtId="0" fontId="4" fillId="0" borderId="0" xfId="0" quotePrefix="1" applyFont="1" applyFill="1" applyAlignment="1">
      <alignment horizontal="left"/>
    </xf>
    <xf numFmtId="167" fontId="4" fillId="0" borderId="0" xfId="10" applyFont="1" applyFill="1" applyAlignment="1" applyProtection="1">
      <alignment horizontal="center"/>
    </xf>
    <xf numFmtId="167" fontId="4" fillId="0" borderId="0" xfId="10" applyFont="1" applyFill="1"/>
    <xf numFmtId="167" fontId="7" fillId="0" borderId="0" xfId="10" applyFont="1" applyFill="1" applyAlignment="1" applyProtection="1">
      <alignment horizontal="center"/>
    </xf>
    <xf numFmtId="37" fontId="4" fillId="0" borderId="0" xfId="10" applyNumberFormat="1" applyFont="1" applyFill="1" applyAlignment="1" applyProtection="1">
      <alignment horizontal="center"/>
    </xf>
    <xf numFmtId="0" fontId="12" fillId="0" borderId="0" xfId="0" quotePrefix="1" applyNumberFormat="1" applyFont="1" applyFill="1" applyAlignment="1">
      <alignment horizontal="center"/>
    </xf>
    <xf numFmtId="43" fontId="12" fillId="0" borderId="0" xfId="0" quotePrefix="1" applyNumberFormat="1" applyFont="1" applyFill="1" applyAlignment="1">
      <alignment horizontal="center"/>
    </xf>
    <xf numFmtId="37" fontId="5" fillId="0" borderId="0" xfId="10" applyNumberFormat="1" applyFont="1" applyFill="1" applyAlignment="1" applyProtection="1">
      <alignment horizontal="center"/>
    </xf>
    <xf numFmtId="167" fontId="4" fillId="0" borderId="0" xfId="10" applyFont="1" applyFill="1" applyAlignment="1" applyProtection="1">
      <alignment horizontal="left"/>
    </xf>
    <xf numFmtId="37" fontId="4" fillId="0" borderId="0" xfId="0" applyNumberFormat="1" applyFont="1" applyFill="1" applyAlignment="1">
      <alignment horizontal="centerContinuous"/>
    </xf>
    <xf numFmtId="0" fontId="4" fillId="0" borderId="6" xfId="0" applyFont="1" applyFill="1" applyBorder="1"/>
    <xf numFmtId="0" fontId="4" fillId="0" borderId="7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/>
    </xf>
    <xf numFmtId="0" fontId="4" fillId="0" borderId="4" xfId="0" applyFont="1" applyFill="1" applyBorder="1" applyAlignment="1" applyProtection="1">
      <alignment horizontal="center"/>
    </xf>
    <xf numFmtId="37" fontId="5" fillId="0" borderId="0" xfId="15" applyNumberFormat="1" applyFont="1" applyFill="1" applyProtection="1">
      <protection locked="0"/>
    </xf>
    <xf numFmtId="167" fontId="4" fillId="0" borderId="0" xfId="17" applyFont="1" applyFill="1" applyAlignment="1">
      <alignment horizontal="centerContinuous"/>
    </xf>
    <xf numFmtId="167" fontId="10" fillId="0" borderId="0" xfId="17" applyFont="1" applyFill="1" applyAlignment="1">
      <alignment horizontal="centerContinuous"/>
    </xf>
    <xf numFmtId="167" fontId="5" fillId="0" borderId="8" xfId="6" applyFont="1" applyFill="1" applyBorder="1" applyAlignment="1">
      <alignment horizontal="center"/>
    </xf>
    <xf numFmtId="167" fontId="5" fillId="0" borderId="8" xfId="6" applyFont="1" applyFill="1" applyBorder="1"/>
    <xf numFmtId="37" fontId="5" fillId="0" borderId="1" xfId="0" applyNumberFormat="1" applyFont="1" applyFill="1" applyBorder="1" applyProtection="1"/>
    <xf numFmtId="37" fontId="10" fillId="0" borderId="0" xfId="0" applyNumberFormat="1" applyFont="1" applyFill="1" applyProtection="1"/>
    <xf numFmtId="0" fontId="6" fillId="0" borderId="0" xfId="0" applyFont="1" applyFill="1"/>
    <xf numFmtId="0" fontId="1" fillId="0" borderId="0" xfId="14" applyFont="1" applyFill="1"/>
    <xf numFmtId="41" fontId="1" fillId="0" borderId="1" xfId="14" applyNumberFormat="1" applyFill="1" applyBorder="1"/>
    <xf numFmtId="41" fontId="1" fillId="0" borderId="9" xfId="14" applyNumberFormat="1" applyFill="1" applyBorder="1"/>
    <xf numFmtId="41" fontId="1" fillId="0" borderId="0" xfId="14" applyNumberFormat="1" applyFill="1" applyBorder="1"/>
    <xf numFmtId="0" fontId="1" fillId="0" borderId="0" xfId="14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/>
    </xf>
    <xf numFmtId="37" fontId="5" fillId="0" borderId="1" xfId="0" applyNumberFormat="1" applyFont="1" applyFill="1" applyBorder="1" applyAlignment="1">
      <alignment horizontal="right"/>
    </xf>
    <xf numFmtId="37" fontId="4" fillId="0" borderId="0" xfId="11" applyFont="1" applyFill="1"/>
    <xf numFmtId="165" fontId="4" fillId="0" borderId="0" xfId="19" applyNumberFormat="1" applyFont="1" applyFill="1"/>
    <xf numFmtId="6" fontId="0" fillId="0" borderId="0" xfId="0" applyNumberFormat="1" applyFill="1"/>
    <xf numFmtId="170" fontId="0" fillId="0" borderId="0" xfId="0" applyNumberFormat="1" applyFill="1"/>
    <xf numFmtId="0" fontId="4" fillId="0" borderId="0" xfId="15" applyFont="1" applyFill="1" applyBorder="1"/>
    <xf numFmtId="0" fontId="10" fillId="0" borderId="0" xfId="0" applyFont="1" applyFill="1"/>
    <xf numFmtId="37" fontId="5" fillId="0" borderId="1" xfId="16" applyNumberFormat="1" applyFont="1" applyFill="1" applyBorder="1" applyAlignment="1" applyProtection="1">
      <alignment horizontal="center"/>
      <protection locked="0"/>
    </xf>
    <xf numFmtId="37" fontId="4" fillId="0" borderId="1" xfId="16" applyNumberFormat="1" applyFont="1" applyFill="1" applyBorder="1" applyAlignment="1" applyProtection="1">
      <alignment horizontal="center"/>
      <protection locked="0"/>
    </xf>
    <xf numFmtId="37" fontId="4" fillId="0" borderId="0" xfId="16" applyNumberFormat="1" applyFont="1" applyFill="1" applyBorder="1" applyAlignment="1" applyProtection="1">
      <alignment horizontal="center"/>
    </xf>
    <xf numFmtId="167" fontId="4" fillId="0" borderId="0" xfId="6" applyFont="1" applyFill="1" applyAlignment="1" applyProtection="1">
      <alignment horizontal="center"/>
    </xf>
    <xf numFmtId="167" fontId="5" fillId="0" borderId="0" xfId="6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4" fillId="0" borderId="0" xfId="0" applyFont="1" applyFill="1" applyAlignment="1" applyProtection="1">
      <alignment horizontal="center"/>
    </xf>
    <xf numFmtId="167" fontId="4" fillId="0" borderId="0" xfId="16" applyFont="1" applyFill="1" applyAlignment="1">
      <alignment horizontal="center"/>
    </xf>
    <xf numFmtId="0" fontId="7" fillId="0" borderId="0" xfId="0" applyFont="1" applyFill="1"/>
    <xf numFmtId="167" fontId="4" fillId="0" borderId="0" xfId="17" applyFont="1" applyFill="1"/>
    <xf numFmtId="167" fontId="10" fillId="0" borderId="0" xfId="17" quotePrefix="1" applyFont="1" applyFill="1" applyAlignment="1" applyProtection="1">
      <alignment horizontal="centerContinuous"/>
    </xf>
    <xf numFmtId="167" fontId="5" fillId="0" borderId="0" xfId="17" applyFont="1" applyFill="1" applyAlignment="1">
      <alignment horizontal="centerContinuous"/>
    </xf>
    <xf numFmtId="167" fontId="11" fillId="0" borderId="0" xfId="17" quotePrefix="1" applyFont="1" applyFill="1" applyAlignment="1" applyProtection="1">
      <alignment horizontal="centerContinuous"/>
      <protection locked="0"/>
    </xf>
    <xf numFmtId="167" fontId="7" fillId="0" borderId="0" xfId="17" applyFont="1" applyFill="1" applyAlignment="1" applyProtection="1">
      <alignment horizontal="left"/>
    </xf>
    <xf numFmtId="167" fontId="7" fillId="0" borderId="0" xfId="16" applyFont="1" applyFill="1" applyAlignment="1" applyProtection="1">
      <alignment horizontal="center"/>
    </xf>
    <xf numFmtId="167" fontId="7" fillId="0" borderId="0" xfId="17" applyFont="1" applyFill="1" applyAlignment="1" applyProtection="1">
      <alignment horizontal="center"/>
    </xf>
    <xf numFmtId="37" fontId="4" fillId="0" borderId="0" xfId="17" applyNumberFormat="1" applyFont="1" applyFill="1" applyAlignment="1" applyProtection="1">
      <alignment horizontal="center"/>
    </xf>
    <xf numFmtId="37" fontId="4" fillId="0" borderId="0" xfId="17" applyNumberFormat="1" applyFont="1" applyFill="1" applyProtection="1"/>
    <xf numFmtId="167" fontId="4" fillId="0" borderId="0" xfId="17" applyFont="1" applyFill="1" applyAlignment="1" applyProtection="1">
      <alignment horizontal="left"/>
    </xf>
    <xf numFmtId="37" fontId="4" fillId="0" borderId="0" xfId="17" applyNumberFormat="1" applyFont="1" applyFill="1" applyBorder="1" applyAlignment="1" applyProtection="1">
      <alignment horizontal="center"/>
    </xf>
    <xf numFmtId="167" fontId="4" fillId="0" borderId="0" xfId="17" applyFont="1" applyFill="1" applyAlignment="1">
      <alignment horizontal="center"/>
    </xf>
    <xf numFmtId="167" fontId="4" fillId="0" borderId="0" xfId="17" applyFont="1" applyFill="1" applyAlignment="1" applyProtection="1">
      <alignment horizontal="center"/>
    </xf>
    <xf numFmtId="167" fontId="4" fillId="0" borderId="0" xfId="16" applyFont="1" applyFill="1"/>
    <xf numFmtId="167" fontId="7" fillId="0" borderId="0" xfId="16" applyFont="1" applyFill="1" applyAlignment="1" applyProtection="1">
      <alignment horizontal="left"/>
    </xf>
    <xf numFmtId="37" fontId="5" fillId="0" borderId="0" xfId="16" applyNumberFormat="1" applyFont="1" applyFill="1" applyProtection="1">
      <protection locked="0"/>
    </xf>
    <xf numFmtId="37" fontId="4" fillId="0" borderId="0" xfId="16" applyNumberFormat="1" applyFont="1" applyFill="1" applyProtection="1">
      <protection locked="0"/>
    </xf>
    <xf numFmtId="37" fontId="4" fillId="0" borderId="0" xfId="16" applyNumberFormat="1" applyFont="1" applyFill="1" applyProtection="1"/>
    <xf numFmtId="167" fontId="4" fillId="0" borderId="0" xfId="16" applyFont="1" applyFill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37" fontId="4" fillId="0" borderId="10" xfId="0" applyNumberFormat="1" applyFont="1" applyFill="1" applyBorder="1" applyProtection="1">
      <protection locked="0"/>
    </xf>
    <xf numFmtId="164" fontId="4" fillId="0" borderId="0" xfId="0" applyNumberFormat="1" applyFont="1" applyFill="1"/>
    <xf numFmtId="4" fontId="4" fillId="0" borderId="0" xfId="0" applyNumberFormat="1" applyFont="1" applyFill="1"/>
    <xf numFmtId="165" fontId="4" fillId="0" borderId="0" xfId="0" applyNumberFormat="1" applyFont="1" applyFill="1"/>
    <xf numFmtId="0" fontId="4" fillId="0" borderId="0" xfId="0" applyFont="1" applyFill="1" applyAlignment="1">
      <alignment horizontal="left"/>
    </xf>
    <xf numFmtId="165" fontId="4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38" fontId="1" fillId="0" borderId="0" xfId="0" applyNumberFormat="1" applyFont="1" applyFill="1" applyBorder="1"/>
    <xf numFmtId="166" fontId="6" fillId="0" borderId="0" xfId="1" applyNumberFormat="1" applyFont="1" applyFill="1"/>
    <xf numFmtId="38" fontId="1" fillId="0" borderId="0" xfId="0" quotePrefix="1" applyNumberFormat="1" applyFont="1" applyFill="1" applyBorder="1" applyAlignment="1">
      <alignment horizontal="left"/>
    </xf>
    <xf numFmtId="166" fontId="1" fillId="0" borderId="0" xfId="1" applyNumberFormat="1" applyFont="1" applyFill="1"/>
    <xf numFmtId="0" fontId="4" fillId="0" borderId="0" xfId="0" applyFont="1" applyFill="1" applyAlignment="1" applyProtection="1"/>
    <xf numFmtId="166" fontId="5" fillId="0" borderId="0" xfId="1" applyNumberFormat="1" applyFont="1" applyFill="1" applyProtection="1">
      <protection locked="0"/>
    </xf>
    <xf numFmtId="166" fontId="4" fillId="0" borderId="9" xfId="1" applyNumberFormat="1" applyFont="1" applyFill="1" applyBorder="1" applyProtection="1">
      <protection locked="0"/>
    </xf>
    <xf numFmtId="0" fontId="7" fillId="0" borderId="0" xfId="0" applyFont="1" applyFill="1" applyBorder="1"/>
    <xf numFmtId="166" fontId="4" fillId="0" borderId="11" xfId="0" applyNumberFormat="1" applyFont="1" applyFill="1" applyBorder="1"/>
    <xf numFmtId="0" fontId="4" fillId="0" borderId="0" xfId="15" applyFont="1" applyFill="1"/>
    <xf numFmtId="37" fontId="4" fillId="0" borderId="6" xfId="15" applyNumberFormat="1" applyFont="1" applyFill="1" applyBorder="1" applyAlignment="1" applyProtection="1">
      <alignment horizontal="center"/>
    </xf>
    <xf numFmtId="37" fontId="7" fillId="0" borderId="0" xfId="15" applyNumberFormat="1" applyFont="1" applyFill="1" applyAlignment="1" applyProtection="1">
      <alignment horizontal="left"/>
    </xf>
    <xf numFmtId="37" fontId="4" fillId="0" borderId="5" xfId="15" applyNumberFormat="1" applyFont="1" applyFill="1" applyBorder="1" applyAlignment="1" applyProtection="1">
      <alignment horizontal="center"/>
    </xf>
    <xf numFmtId="37" fontId="4" fillId="0" borderId="4" xfId="15" quotePrefix="1" applyNumberFormat="1" applyFont="1" applyFill="1" applyBorder="1" applyAlignment="1" applyProtection="1">
      <alignment horizontal="center"/>
    </xf>
    <xf numFmtId="37" fontId="4" fillId="0" borderId="4" xfId="15" applyNumberFormat="1" applyFont="1" applyFill="1" applyBorder="1" applyAlignment="1" applyProtection="1">
      <alignment horizontal="center"/>
    </xf>
    <xf numFmtId="37" fontId="4" fillId="0" borderId="0" xfId="15" applyNumberFormat="1" applyFont="1" applyFill="1" applyAlignment="1" applyProtection="1">
      <alignment horizontal="center"/>
      <protection locked="0"/>
    </xf>
    <xf numFmtId="17" fontId="4" fillId="0" borderId="0" xfId="15" applyNumberFormat="1" applyFont="1" applyFill="1" applyBorder="1" applyAlignment="1" applyProtection="1">
      <alignment horizontal="left"/>
    </xf>
    <xf numFmtId="37" fontId="4" fillId="0" borderId="0" xfId="15" applyNumberFormat="1" applyFont="1" applyFill="1"/>
    <xf numFmtId="37" fontId="4" fillId="0" borderId="0" xfId="15" applyNumberFormat="1" applyFont="1" applyFill="1" applyBorder="1" applyAlignment="1" applyProtection="1">
      <alignment horizontal="left"/>
    </xf>
    <xf numFmtId="169" fontId="4" fillId="0" borderId="0" xfId="0" applyNumberFormat="1" applyFont="1" applyFill="1" applyAlignment="1" applyProtection="1">
      <alignment horizontal="left"/>
    </xf>
    <xf numFmtId="3" fontId="7" fillId="0" borderId="0" xfId="0" applyNumberFormat="1" applyFont="1" applyFill="1" applyBorder="1"/>
    <xf numFmtId="40" fontId="21" fillId="0" borderId="0" xfId="0" applyNumberFormat="1" applyFont="1" applyFill="1"/>
    <xf numFmtId="176" fontId="7" fillId="0" borderId="0" xfId="0" applyNumberFormat="1" applyFont="1" applyFill="1" applyAlignment="1">
      <alignment horizontal="center"/>
    </xf>
    <xf numFmtId="38" fontId="1" fillId="0" borderId="0" xfId="0" applyNumberFormat="1" applyFont="1" applyFill="1"/>
    <xf numFmtId="167" fontId="22" fillId="0" borderId="0" xfId="6" applyFont="1" applyFill="1" applyBorder="1" applyAlignment="1">
      <alignment horizontal="right"/>
    </xf>
    <xf numFmtId="166" fontId="22" fillId="0" borderId="0" xfId="1" applyNumberFormat="1" applyFont="1" applyFill="1" applyAlignment="1">
      <alignment horizontal="center"/>
    </xf>
    <xf numFmtId="0" fontId="1" fillId="0" borderId="0" xfId="0" applyFont="1" applyFill="1" applyBorder="1"/>
    <xf numFmtId="3" fontId="1" fillId="0" borderId="0" xfId="0" applyNumberFormat="1" applyFont="1" applyFill="1" applyBorder="1"/>
    <xf numFmtId="166" fontId="22" fillId="0" borderId="0" xfId="1" applyNumberFormat="1" applyFont="1" applyFill="1" applyAlignment="1">
      <alignment horizontal="right"/>
    </xf>
    <xf numFmtId="38" fontId="4" fillId="0" borderId="0" xfId="0" applyNumberFormat="1" applyFont="1" applyFill="1"/>
    <xf numFmtId="0" fontId="16" fillId="0" borderId="0" xfId="18" applyFont="1" applyFill="1"/>
    <xf numFmtId="17" fontId="20" fillId="0" borderId="0" xfId="6" applyNumberFormat="1" applyFont="1" applyFill="1" applyAlignment="1" applyProtection="1">
      <alignment horizontal="left"/>
    </xf>
    <xf numFmtId="40" fontId="4" fillId="0" borderId="0" xfId="0" applyNumberFormat="1" applyFont="1" applyFill="1"/>
    <xf numFmtId="0" fontId="20" fillId="0" borderId="0" xfId="18" applyFont="1" applyFill="1"/>
    <xf numFmtId="37" fontId="5" fillId="0" borderId="0" xfId="0" applyNumberFormat="1" applyFont="1" applyFill="1" applyAlignment="1">
      <alignment horizontal="centerContinuous"/>
    </xf>
    <xf numFmtId="37" fontId="10" fillId="0" borderId="0" xfId="0" applyNumberFormat="1" applyFont="1" applyFill="1"/>
    <xf numFmtId="9" fontId="4" fillId="0" borderId="0" xfId="19" applyFont="1" applyFill="1"/>
    <xf numFmtId="37" fontId="4" fillId="0" borderId="0" xfId="0" applyNumberFormat="1" applyFont="1" applyFill="1" applyAlignment="1">
      <alignment horizontal="left"/>
    </xf>
    <xf numFmtId="6" fontId="7" fillId="0" borderId="0" xfId="0" quotePrefix="1" applyNumberFormat="1" applyFont="1" applyFill="1" applyBorder="1" applyAlignment="1">
      <alignment horizontal="center"/>
    </xf>
    <xf numFmtId="3" fontId="0" fillId="0" borderId="0" xfId="0" applyNumberFormat="1" applyFill="1"/>
    <xf numFmtId="0" fontId="0" fillId="0" borderId="0" xfId="0" applyFill="1" applyAlignment="1"/>
    <xf numFmtId="6" fontId="4" fillId="0" borderId="0" xfId="0" applyNumberFormat="1" applyFont="1" applyFill="1"/>
    <xf numFmtId="6" fontId="4" fillId="0" borderId="0" xfId="0" applyNumberFormat="1" applyFont="1" applyFill="1" applyProtection="1"/>
    <xf numFmtId="37" fontId="4" fillId="0" borderId="1" xfId="0" applyNumberFormat="1" applyFont="1" applyFill="1" applyBorder="1" applyProtection="1"/>
    <xf numFmtId="0" fontId="10" fillId="0" borderId="0" xfId="0" applyFont="1" applyFill="1" applyAlignment="1" applyProtection="1">
      <alignment horizontal="left"/>
    </xf>
    <xf numFmtId="39" fontId="4" fillId="0" borderId="0" xfId="0" applyNumberFormat="1" applyFont="1" applyFill="1" applyProtection="1"/>
    <xf numFmtId="167" fontId="5" fillId="0" borderId="0" xfId="10" quotePrefix="1" applyFont="1" applyFill="1" applyAlignment="1" applyProtection="1">
      <alignment horizontal="center"/>
    </xf>
    <xf numFmtId="167" fontId="4" fillId="0" borderId="0" xfId="6" applyFont="1" applyFill="1" applyAlignment="1">
      <alignment horizontal="center"/>
    </xf>
    <xf numFmtId="167" fontId="4" fillId="0" borderId="0" xfId="6" applyFont="1" applyFill="1" applyAlignment="1" applyProtection="1">
      <alignment horizontal="left"/>
    </xf>
    <xf numFmtId="167" fontId="7" fillId="0" borderId="0" xfId="6" applyFont="1" applyFill="1" applyAlignment="1" applyProtection="1">
      <alignment horizontal="left"/>
    </xf>
    <xf numFmtId="167" fontId="7" fillId="0" borderId="0" xfId="6" applyFont="1" applyFill="1" applyAlignment="1" applyProtection="1">
      <alignment horizontal="center"/>
    </xf>
    <xf numFmtId="0" fontId="14" fillId="0" borderId="0" xfId="18" applyFont="1" applyFill="1"/>
    <xf numFmtId="17" fontId="19" fillId="0" borderId="0" xfId="6" applyNumberFormat="1" applyFont="1" applyFill="1" applyAlignment="1" applyProtection="1">
      <alignment horizontal="left"/>
    </xf>
    <xf numFmtId="0" fontId="19" fillId="0" borderId="0" xfId="18" applyFont="1" applyFill="1"/>
    <xf numFmtId="167" fontId="4" fillId="0" borderId="6" xfId="6" applyFont="1" applyFill="1" applyBorder="1" applyAlignment="1" applyProtection="1">
      <alignment horizontal="center"/>
    </xf>
    <xf numFmtId="0" fontId="4" fillId="0" borderId="12" xfId="18" applyFont="1" applyFill="1" applyBorder="1" applyAlignment="1">
      <alignment horizontal="center"/>
    </xf>
    <xf numFmtId="167" fontId="4" fillId="0" borderId="4" xfId="6" applyFont="1" applyFill="1" applyBorder="1" applyAlignment="1" applyProtection="1">
      <alignment horizontal="center"/>
    </xf>
    <xf numFmtId="37" fontId="5" fillId="0" borderId="0" xfId="6" applyNumberFormat="1" applyFont="1" applyFill="1" applyProtection="1">
      <protection locked="0"/>
    </xf>
    <xf numFmtId="37" fontId="5" fillId="0" borderId="8" xfId="6" applyNumberFormat="1" applyFont="1" applyFill="1" applyBorder="1" applyAlignment="1" applyProtection="1">
      <alignment horizontal="center"/>
      <protection locked="0"/>
    </xf>
    <xf numFmtId="167" fontId="4" fillId="0" borderId="0" xfId="6" quotePrefix="1" applyFont="1" applyFill="1" applyAlignment="1" applyProtection="1">
      <alignment horizontal="left"/>
    </xf>
    <xf numFmtId="0" fontId="4" fillId="0" borderId="13" xfId="18" applyFont="1" applyFill="1" applyBorder="1" applyAlignment="1">
      <alignment horizontal="center"/>
    </xf>
    <xf numFmtId="0" fontId="14" fillId="0" borderId="0" xfId="18" applyFont="1" applyFill="1" applyAlignment="1">
      <alignment horizontal="left"/>
    </xf>
    <xf numFmtId="17" fontId="19" fillId="0" borderId="0" xfId="6" quotePrefix="1" applyNumberFormat="1" applyFont="1" applyFill="1" applyAlignment="1" applyProtection="1">
      <alignment horizontal="left"/>
    </xf>
    <xf numFmtId="0" fontId="14" fillId="0" borderId="0" xfId="18" applyFont="1" applyFill="1" applyAlignment="1">
      <alignment horizontal="center"/>
    </xf>
    <xf numFmtId="0" fontId="4" fillId="0" borderId="0" xfId="0" applyFont="1" applyFill="1" applyAlignment="1">
      <alignment horizontal="right"/>
    </xf>
    <xf numFmtId="169" fontId="4" fillId="0" borderId="0" xfId="0" applyNumberFormat="1" applyFont="1" applyFill="1" applyAlignment="1" applyProtection="1">
      <alignment horizontal="center"/>
    </xf>
    <xf numFmtId="43" fontId="4" fillId="0" borderId="0" xfId="0" applyNumberFormat="1" applyFont="1" applyFill="1"/>
    <xf numFmtId="176" fontId="4" fillId="0" borderId="0" xfId="0" applyNumberFormat="1" applyFont="1" applyFill="1" applyAlignment="1">
      <alignment horizontal="left"/>
    </xf>
    <xf numFmtId="0" fontId="1" fillId="0" borderId="0" xfId="18" applyFont="1" applyFill="1"/>
    <xf numFmtId="0" fontId="1" fillId="0" borderId="0" xfId="18" applyFill="1"/>
    <xf numFmtId="0" fontId="4" fillId="0" borderId="14" xfId="0" applyFont="1" applyFill="1" applyBorder="1"/>
    <xf numFmtId="0" fontId="4" fillId="0" borderId="6" xfId="0" applyFont="1" applyFill="1" applyBorder="1" applyAlignment="1"/>
    <xf numFmtId="0" fontId="4" fillId="0" borderId="15" xfId="0" applyFont="1" applyFill="1" applyBorder="1" applyAlignment="1">
      <alignment horizontal="center"/>
    </xf>
    <xf numFmtId="0" fontId="4" fillId="0" borderId="6" xfId="0" quotePrefix="1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4" fillId="0" borderId="5" xfId="0" applyFont="1" applyFill="1" applyBorder="1" applyAlignment="1">
      <alignment horizontal="center"/>
    </xf>
    <xf numFmtId="37" fontId="4" fillId="0" borderId="0" xfId="0" applyNumberFormat="1" applyFont="1" applyFill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</xf>
    <xf numFmtId="37" fontId="4" fillId="0" borderId="7" xfId="15" applyNumberFormat="1" applyFont="1" applyFill="1" applyBorder="1" applyAlignment="1" applyProtection="1">
      <alignment horizontal="center"/>
    </xf>
    <xf numFmtId="10" fontId="4" fillId="0" borderId="0" xfId="15" applyNumberFormat="1" applyFont="1" applyFill="1"/>
    <xf numFmtId="37" fontId="4" fillId="0" borderId="15" xfId="15" quotePrefix="1" applyNumberFormat="1" applyFont="1" applyFill="1" applyBorder="1" applyAlignment="1" applyProtection="1">
      <alignment horizontal="center"/>
    </xf>
    <xf numFmtId="37" fontId="4" fillId="0" borderId="16" xfId="15" applyNumberFormat="1" applyFont="1" applyFill="1" applyBorder="1" applyAlignment="1" applyProtection="1">
      <alignment horizontal="center"/>
    </xf>
    <xf numFmtId="37" fontId="4" fillId="0" borderId="0" xfId="15" applyNumberFormat="1" applyFont="1" applyFill="1" applyBorder="1" applyAlignment="1" applyProtection="1">
      <alignment horizontal="center"/>
    </xf>
    <xf numFmtId="0" fontId="4" fillId="0" borderId="0" xfId="15" quotePrefix="1" applyFont="1" applyFill="1" applyAlignment="1">
      <alignment horizontal="right"/>
    </xf>
    <xf numFmtId="0" fontId="4" fillId="0" borderId="0" xfId="15" quotePrefix="1" applyFont="1" applyFill="1" applyAlignment="1">
      <alignment horizontal="center"/>
    </xf>
    <xf numFmtId="37" fontId="0" fillId="0" borderId="0" xfId="0" applyNumberFormat="1"/>
    <xf numFmtId="167" fontId="4" fillId="0" borderId="0" xfId="16" quotePrefix="1" applyFont="1" applyFill="1" applyAlignment="1">
      <alignment horizontal="center"/>
    </xf>
    <xf numFmtId="0" fontId="4" fillId="2" borderId="0" xfId="0" applyFont="1" applyFill="1"/>
    <xf numFmtId="6" fontId="4" fillId="2" borderId="1" xfId="0" quotePrefix="1" applyNumberFormat="1" applyFont="1" applyFill="1" applyBorder="1" applyAlignment="1" applyProtection="1">
      <alignment horizontal="center"/>
    </xf>
    <xf numFmtId="37" fontId="4" fillId="2" borderId="1" xfId="0" quotePrefix="1" applyNumberFormat="1" applyFont="1" applyFill="1" applyBorder="1" applyAlignment="1" applyProtection="1">
      <alignment horizontal="center"/>
    </xf>
    <xf numFmtId="17" fontId="20" fillId="2" borderId="0" xfId="6" quotePrefix="1" applyNumberFormat="1" applyFont="1" applyFill="1" applyAlignment="1" applyProtection="1">
      <alignment horizontal="left"/>
    </xf>
    <xf numFmtId="0" fontId="4" fillId="3" borderId="0" xfId="0" applyFont="1" applyFill="1"/>
    <xf numFmtId="166" fontId="4" fillId="3" borderId="0" xfId="0" applyNumberFormat="1" applyFont="1" applyFill="1"/>
    <xf numFmtId="0" fontId="4" fillId="3" borderId="0" xfId="0" applyFont="1" applyFill="1" applyAlignment="1">
      <alignment horizontal="right"/>
    </xf>
    <xf numFmtId="41" fontId="4" fillId="0" borderId="0" xfId="1" applyNumberFormat="1" applyFont="1" applyFill="1"/>
    <xf numFmtId="15" fontId="7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quotePrefix="1" applyFont="1" applyFill="1" applyAlignment="1">
      <alignment horizontal="center"/>
    </xf>
    <xf numFmtId="166" fontId="0" fillId="0" borderId="0" xfId="0" applyNumberFormat="1"/>
    <xf numFmtId="0" fontId="0" fillId="0" borderId="1" xfId="0" applyBorder="1" applyAlignment="1">
      <alignment horizontal="center"/>
    </xf>
    <xf numFmtId="37" fontId="4" fillId="2" borderId="0" xfId="0" applyNumberFormat="1" applyFont="1" applyFill="1" applyProtection="1"/>
    <xf numFmtId="6" fontId="4" fillId="2" borderId="0" xfId="0" applyNumberFormat="1" applyFont="1" applyFill="1" applyProtection="1"/>
    <xf numFmtId="6" fontId="4" fillId="2" borderId="0" xfId="0" applyNumberFormat="1" applyFont="1" applyFill="1"/>
    <xf numFmtId="166" fontId="0" fillId="0" borderId="0" xfId="1" applyNumberFormat="1" applyFont="1" applyFill="1"/>
    <xf numFmtId="166" fontId="0" fillId="0" borderId="0" xfId="0" applyNumberFormat="1" applyFill="1"/>
    <xf numFmtId="1" fontId="1" fillId="0" borderId="0" xfId="1" applyNumberFormat="1" applyFont="1" applyFill="1" applyBorder="1" applyAlignment="1">
      <alignment horizontal="left"/>
    </xf>
    <xf numFmtId="173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0" xfId="12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/>
    <xf numFmtId="0" fontId="25" fillId="0" borderId="0" xfId="7" applyFont="1" applyFill="1"/>
    <xf numFmtId="41" fontId="10" fillId="0" borderId="0" xfId="7" applyNumberFormat="1" applyFont="1" applyFill="1" applyBorder="1" applyAlignment="1">
      <alignment horizontal="center" wrapText="1"/>
    </xf>
    <xf numFmtId="0" fontId="4" fillId="0" borderId="0" xfId="12" applyNumberFormat="1" applyFont="1" applyFill="1" applyBorder="1" applyAlignment="1" applyProtection="1">
      <protection locked="0"/>
    </xf>
    <xf numFmtId="0" fontId="10" fillId="0" borderId="0" xfId="7" applyFont="1" applyFill="1" applyAlignment="1">
      <alignment horizontal="center" wrapText="1"/>
    </xf>
    <xf numFmtId="0" fontId="5" fillId="5" borderId="0" xfId="7" applyFont="1" applyFill="1"/>
    <xf numFmtId="166" fontId="5" fillId="5" borderId="0" xfId="1" applyNumberFormat="1" applyFont="1" applyFill="1" applyBorder="1"/>
    <xf numFmtId="166" fontId="5" fillId="5" borderId="0" xfId="1" applyNumberFormat="1" applyFont="1" applyFill="1"/>
    <xf numFmtId="176" fontId="5" fillId="5" borderId="0" xfId="7" applyNumberFormat="1" applyFont="1" applyFill="1"/>
    <xf numFmtId="0" fontId="1" fillId="0" borderId="0" xfId="0" applyFont="1"/>
    <xf numFmtId="0" fontId="25" fillId="0" borderId="0" xfId="7" applyFont="1"/>
    <xf numFmtId="0" fontId="4" fillId="0" borderId="0" xfId="7" applyFont="1" applyFill="1" applyAlignment="1">
      <alignment horizontal="left"/>
    </xf>
    <xf numFmtId="166" fontId="4" fillId="0" borderId="0" xfId="19" applyNumberFormat="1" applyFont="1" applyFill="1" applyBorder="1"/>
    <xf numFmtId="0" fontId="0" fillId="4" borderId="0" xfId="0" applyFill="1"/>
    <xf numFmtId="0" fontId="0" fillId="0" borderId="0" xfId="0" applyBorder="1"/>
    <xf numFmtId="17" fontId="20" fillId="3" borderId="0" xfId="6" applyNumberFormat="1" applyFont="1" applyFill="1" applyAlignment="1" applyProtection="1">
      <alignment horizontal="left"/>
    </xf>
    <xf numFmtId="167" fontId="4" fillId="0" borderId="1" xfId="16" applyFont="1" applyFill="1" applyBorder="1" applyAlignment="1" applyProtection="1">
      <alignment horizontal="center"/>
    </xf>
    <xf numFmtId="167" fontId="4" fillId="0" borderId="0" xfId="16" applyFont="1" applyFill="1" applyBorder="1" applyAlignment="1" applyProtection="1">
      <alignment horizontal="center"/>
    </xf>
    <xf numFmtId="167" fontId="4" fillId="3" borderId="0" xfId="17" applyFont="1" applyFill="1" applyAlignment="1">
      <alignment horizontal="center"/>
    </xf>
    <xf numFmtId="167" fontId="7" fillId="3" borderId="0" xfId="16" applyFont="1" applyFill="1" applyAlignment="1" applyProtection="1">
      <alignment horizontal="center"/>
    </xf>
    <xf numFmtId="0" fontId="0" fillId="3" borderId="0" xfId="0" applyFill="1"/>
    <xf numFmtId="0" fontId="4" fillId="0" borderId="0" xfId="13" applyFont="1"/>
    <xf numFmtId="37" fontId="7" fillId="0" borderId="0" xfId="5" applyFont="1" applyFill="1" applyBorder="1"/>
    <xf numFmtId="37" fontId="7" fillId="0" borderId="0" xfId="5" applyFont="1" applyFill="1"/>
    <xf numFmtId="167" fontId="4" fillId="3" borderId="0" xfId="10" applyFont="1" applyFill="1"/>
    <xf numFmtId="167" fontId="7" fillId="3" borderId="0" xfId="10" applyFont="1" applyFill="1" applyAlignment="1" applyProtection="1">
      <alignment horizontal="center"/>
    </xf>
    <xf numFmtId="167" fontId="7" fillId="3" borderId="0" xfId="10" applyFont="1" applyFill="1" applyAlignment="1">
      <alignment horizontal="center"/>
    </xf>
    <xf numFmtId="37" fontId="5" fillId="3" borderId="0" xfId="10" applyNumberFormat="1" applyFont="1" applyFill="1" applyAlignment="1" applyProtection="1">
      <alignment horizontal="right"/>
    </xf>
    <xf numFmtId="167" fontId="4" fillId="3" borderId="0" xfId="10" applyFont="1" applyFill="1" applyAlignment="1" applyProtection="1">
      <alignment horizontal="left"/>
    </xf>
    <xf numFmtId="37" fontId="4" fillId="3" borderId="0" xfId="10" applyNumberFormat="1" applyFont="1" applyFill="1" applyAlignment="1" applyProtection="1">
      <alignment horizontal="left"/>
    </xf>
    <xf numFmtId="37" fontId="5" fillId="3" borderId="0" xfId="10" applyNumberFormat="1" applyFont="1" applyFill="1" applyAlignment="1">
      <alignment horizontal="right"/>
    </xf>
    <xf numFmtId="167" fontId="4" fillId="3" borderId="0" xfId="10" applyFont="1" applyFill="1" applyAlignment="1">
      <alignment horizontal="left"/>
    </xf>
    <xf numFmtId="167" fontId="4" fillId="3" borderId="0" xfId="10" quotePrefix="1" applyFont="1" applyFill="1" applyAlignment="1">
      <alignment horizontal="left" wrapText="1"/>
    </xf>
    <xf numFmtId="167" fontId="4" fillId="3" borderId="1" xfId="10" applyFont="1" applyFill="1" applyBorder="1"/>
    <xf numFmtId="37" fontId="5" fillId="3" borderId="1" xfId="10" applyNumberFormat="1" applyFont="1" applyFill="1" applyBorder="1" applyAlignment="1">
      <alignment horizontal="right"/>
    </xf>
    <xf numFmtId="167" fontId="4" fillId="3" borderId="1" xfId="10" applyFont="1" applyFill="1" applyBorder="1" applyAlignment="1">
      <alignment horizontal="left"/>
    </xf>
    <xf numFmtId="37" fontId="4" fillId="3" borderId="0" xfId="10" applyNumberFormat="1" applyFont="1" applyFill="1" applyAlignment="1">
      <alignment horizontal="right"/>
    </xf>
    <xf numFmtId="37" fontId="4" fillId="3" borderId="0" xfId="5" applyFont="1" applyFill="1" applyBorder="1"/>
    <xf numFmtId="37" fontId="4" fillId="3" borderId="0" xfId="5" applyFont="1" applyFill="1"/>
    <xf numFmtId="37" fontId="5" fillId="3" borderId="0" xfId="5" applyFont="1" applyFill="1" applyBorder="1"/>
    <xf numFmtId="0" fontId="0" fillId="3" borderId="0" xfId="0" applyFill="1" applyAlignment="1">
      <alignment horizontal="left"/>
    </xf>
    <xf numFmtId="166" fontId="0" fillId="4" borderId="0" xfId="0" applyNumberFormat="1" applyFill="1"/>
    <xf numFmtId="17" fontId="4" fillId="0" borderId="0" xfId="6" applyNumberFormat="1" applyFont="1" applyFill="1" applyAlignment="1" applyProtection="1">
      <alignment horizontal="left"/>
    </xf>
    <xf numFmtId="0" fontId="0" fillId="0" borderId="0" xfId="0" applyFill="1" applyAlignment="1">
      <alignment horizontal="right"/>
    </xf>
    <xf numFmtId="0" fontId="27" fillId="0" borderId="0" xfId="0" applyFont="1" applyFill="1"/>
    <xf numFmtId="0" fontId="1" fillId="0" borderId="0" xfId="1" applyNumberFormat="1" applyFont="1" applyFill="1" applyBorder="1" applyAlignment="1">
      <alignment horizontal="left"/>
    </xf>
    <xf numFmtId="37" fontId="5" fillId="3" borderId="0" xfId="15" applyNumberFormat="1" applyFont="1" applyFill="1" applyProtection="1"/>
    <xf numFmtId="0" fontId="4" fillId="0" borderId="0" xfId="0" applyNumberFormat="1" applyFont="1" applyFill="1"/>
    <xf numFmtId="37" fontId="4" fillId="3" borderId="0" xfId="15" applyNumberFormat="1" applyFont="1" applyFill="1" applyAlignment="1" applyProtection="1">
      <alignment horizontal="center"/>
      <protection locked="0"/>
    </xf>
    <xf numFmtId="0" fontId="26" fillId="0" borderId="0" xfId="0" applyFont="1"/>
    <xf numFmtId="0" fontId="19" fillId="0" borderId="0" xfId="0" applyFont="1"/>
    <xf numFmtId="167" fontId="4" fillId="0" borderId="0" xfId="6" applyFont="1" applyFill="1" applyAlignment="1">
      <alignment horizontal="left"/>
    </xf>
    <xf numFmtId="166" fontId="29" fillId="0" borderId="0" xfId="1" applyNumberFormat="1" applyFont="1" applyFill="1"/>
    <xf numFmtId="37" fontId="4" fillId="0" borderId="0" xfId="5" applyFont="1" applyFill="1" applyAlignment="1">
      <alignment horizontal="center"/>
    </xf>
    <xf numFmtId="0" fontId="0" fillId="0" borderId="0" xfId="0" applyAlignment="1">
      <alignment vertical="center"/>
    </xf>
    <xf numFmtId="167" fontId="4" fillId="0" borderId="0" xfId="1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4" applyFont="1" applyFill="1" applyAlignment="1">
      <alignment horizontal="right"/>
    </xf>
    <xf numFmtId="0" fontId="4" fillId="0" borderId="0" xfId="15" applyFont="1" applyFill="1" applyAlignment="1">
      <alignment horizontal="right"/>
    </xf>
    <xf numFmtId="37" fontId="4" fillId="0" borderId="0" xfId="5" applyFont="1" applyFill="1" applyAlignment="1">
      <alignment horizontal="right"/>
    </xf>
    <xf numFmtId="167" fontId="4" fillId="0" borderId="0" xfId="16" applyFont="1" applyFill="1" applyAlignment="1">
      <alignment horizontal="right"/>
    </xf>
    <xf numFmtId="167" fontId="4" fillId="0" borderId="0" xfId="17" applyFont="1" applyFill="1" applyAlignment="1">
      <alignment horizontal="right"/>
    </xf>
    <xf numFmtId="0" fontId="0" fillId="3" borderId="0" xfId="0" applyFill="1" applyAlignment="1">
      <alignment horizontal="right"/>
    </xf>
    <xf numFmtId="167" fontId="4" fillId="0" borderId="4" xfId="6" applyFont="1" applyFill="1" applyBorder="1" applyAlignment="1" applyProtection="1">
      <alignment horizontal="center" wrapText="1"/>
    </xf>
    <xf numFmtId="0" fontId="0" fillId="0" borderId="1" xfId="0" applyFill="1" applyBorder="1"/>
    <xf numFmtId="0" fontId="1" fillId="0" borderId="0" xfId="0" applyFont="1" applyFill="1"/>
    <xf numFmtId="0" fontId="1" fillId="3" borderId="0" xfId="0" applyFont="1" applyFill="1"/>
    <xf numFmtId="37" fontId="4" fillId="0" borderId="4" xfId="6" applyNumberFormat="1" applyFont="1" applyFill="1" applyBorder="1" applyProtection="1">
      <protection locked="0"/>
    </xf>
    <xf numFmtId="166" fontId="5" fillId="0" borderId="5" xfId="1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66" fontId="4" fillId="0" borderId="13" xfId="2" applyNumberFormat="1" applyFont="1" applyFill="1" applyBorder="1" applyAlignment="1">
      <alignment horizontal="center"/>
    </xf>
    <xf numFmtId="17" fontId="31" fillId="0" borderId="0" xfId="6" applyNumberFormat="1" applyFont="1" applyFill="1" applyAlignment="1" applyProtection="1">
      <alignment horizontal="left"/>
    </xf>
    <xf numFmtId="0" fontId="6" fillId="0" borderId="0" xfId="0" applyFont="1"/>
    <xf numFmtId="167" fontId="28" fillId="3" borderId="0" xfId="10" applyFont="1" applyFill="1"/>
    <xf numFmtId="0" fontId="32" fillId="0" borderId="0" xfId="13" applyNumberFormat="1" applyFont="1" applyAlignment="1">
      <alignment horizontal="center"/>
    </xf>
    <xf numFmtId="0" fontId="32" fillId="0" borderId="0" xfId="13" applyNumberFormat="1" applyFont="1"/>
    <xf numFmtId="0" fontId="33" fillId="0" borderId="0" xfId="7" applyFont="1" applyFill="1" applyAlignment="1">
      <alignment horizontal="center"/>
    </xf>
    <xf numFmtId="0" fontId="4" fillId="0" borderId="0" xfId="13" applyNumberFormat="1" applyFont="1"/>
    <xf numFmtId="0" fontId="33" fillId="0" borderId="0" xfId="7" applyFont="1" applyFill="1" applyBorder="1" applyAlignment="1">
      <alignment horizontal="center"/>
    </xf>
    <xf numFmtId="0" fontId="34" fillId="0" borderId="0" xfId="13" applyNumberFormat="1" applyFont="1" applyAlignment="1">
      <alignment horizontal="center"/>
    </xf>
    <xf numFmtId="0" fontId="34" fillId="0" borderId="0" xfId="13" applyNumberFormat="1" applyFont="1"/>
    <xf numFmtId="0" fontId="35" fillId="0" borderId="0" xfId="0" applyFont="1" applyBorder="1" applyAlignment="1">
      <alignment horizontal="center"/>
    </xf>
    <xf numFmtId="0" fontId="34" fillId="0" borderId="0" xfId="13" applyNumberFormat="1" applyFont="1" applyBorder="1" applyAlignment="1">
      <alignment horizontal="center"/>
    </xf>
    <xf numFmtId="0" fontId="4" fillId="0" borderId="0" xfId="13" applyFont="1" applyBorder="1"/>
    <xf numFmtId="0" fontId="34" fillId="0" borderId="1" xfId="13" applyNumberFormat="1" applyFont="1" applyBorder="1" applyAlignment="1">
      <alignment horizontal="center"/>
    </xf>
    <xf numFmtId="0" fontId="34" fillId="0" borderId="1" xfId="13" applyNumberFormat="1" applyFont="1" applyBorder="1"/>
    <xf numFmtId="182" fontId="34" fillId="0" borderId="1" xfId="13" applyNumberFormat="1" applyFont="1" applyBorder="1" applyAlignment="1">
      <alignment horizontal="center"/>
    </xf>
    <xf numFmtId="0" fontId="32" fillId="0" borderId="0" xfId="13" applyNumberFormat="1" applyFont="1" applyBorder="1" applyAlignment="1">
      <alignment horizontal="center"/>
    </xf>
    <xf numFmtId="182" fontId="32" fillId="0" borderId="0" xfId="13" applyNumberFormat="1" applyFont="1" applyAlignment="1">
      <alignment horizontal="center"/>
    </xf>
    <xf numFmtId="182" fontId="34" fillId="0" borderId="0" xfId="13" applyNumberFormat="1" applyFont="1" applyBorder="1" applyAlignment="1">
      <alignment horizontal="center"/>
    </xf>
    <xf numFmtId="0" fontId="36" fillId="0" borderId="0" xfId="13" applyFont="1"/>
    <xf numFmtId="0" fontId="37" fillId="0" borderId="0" xfId="13" applyFont="1"/>
    <xf numFmtId="0" fontId="32" fillId="0" borderId="0" xfId="13" applyFont="1"/>
    <xf numFmtId="0" fontId="37" fillId="0" borderId="0" xfId="13" applyFont="1" applyFill="1"/>
    <xf numFmtId="0" fontId="4" fillId="0" borderId="0" xfId="13" applyFont="1" applyFill="1"/>
    <xf numFmtId="166" fontId="38" fillId="0" borderId="0" xfId="13" applyNumberFormat="1" applyFont="1" applyFill="1" applyBorder="1"/>
    <xf numFmtId="166" fontId="38" fillId="5" borderId="0" xfId="13" applyNumberFormat="1" applyFont="1" applyFill="1" applyBorder="1"/>
    <xf numFmtId="0" fontId="37" fillId="5" borderId="0" xfId="13" applyFont="1" applyFill="1" applyAlignment="1">
      <alignment horizontal="center"/>
    </xf>
    <xf numFmtId="166" fontId="37" fillId="0" borderId="0" xfId="13" applyNumberFormat="1" applyFont="1" applyFill="1"/>
    <xf numFmtId="166" fontId="39" fillId="0" borderId="0" xfId="13" applyNumberFormat="1" applyFont="1" applyFill="1" applyBorder="1"/>
    <xf numFmtId="0" fontId="32" fillId="0" borderId="0" xfId="13" applyFont="1" applyFill="1"/>
    <xf numFmtId="0" fontId="40" fillId="0" borderId="0" xfId="13" applyFont="1"/>
    <xf numFmtId="3" fontId="38" fillId="0" borderId="0" xfId="13" applyNumberFormat="1" applyFont="1" applyFill="1" applyBorder="1"/>
    <xf numFmtId="0" fontId="32" fillId="0" borderId="0" xfId="9" applyFont="1" applyFill="1" applyAlignment="1">
      <alignment horizontal="center"/>
    </xf>
    <xf numFmtId="0" fontId="32" fillId="0" borderId="0" xfId="9" applyFont="1" applyFill="1" applyAlignment="1">
      <alignment horizontal="left" indent="2"/>
    </xf>
    <xf numFmtId="39" fontId="32" fillId="0" borderId="0" xfId="9" applyNumberFormat="1" applyFont="1" applyFill="1"/>
    <xf numFmtId="166" fontId="38" fillId="5" borderId="0" xfId="13" applyNumberFormat="1" applyFont="1" applyFill="1"/>
    <xf numFmtId="166" fontId="38" fillId="0" borderId="0" xfId="13" applyNumberFormat="1" applyFont="1" applyFill="1"/>
    <xf numFmtId="0" fontId="37" fillId="0" borderId="0" xfId="0" applyFont="1" applyFill="1"/>
    <xf numFmtId="0" fontId="37" fillId="0" borderId="0" xfId="0" applyFont="1"/>
    <xf numFmtId="0" fontId="4" fillId="0" borderId="0" xfId="0" applyFont="1"/>
    <xf numFmtId="166" fontId="37" fillId="0" borderId="11" xfId="1" applyNumberFormat="1" applyFont="1" applyBorder="1"/>
    <xf numFmtId="0" fontId="1" fillId="0" borderId="0" xfId="14" applyFont="1" applyFill="1" applyAlignment="1">
      <alignment horizontal="center"/>
    </xf>
    <xf numFmtId="0" fontId="41" fillId="0" borderId="0" xfId="14" applyFont="1" applyFill="1" applyAlignment="1">
      <alignment horizontal="center"/>
    </xf>
    <xf numFmtId="166" fontId="25" fillId="0" borderId="0" xfId="7" applyNumberFormat="1" applyFont="1" applyFill="1"/>
    <xf numFmtId="37" fontId="5" fillId="5" borderId="0" xfId="7" applyNumberFormat="1" applyFont="1" applyFill="1"/>
    <xf numFmtId="166" fontId="5" fillId="5" borderId="0" xfId="7" applyNumberFormat="1" applyFont="1" applyFill="1"/>
    <xf numFmtId="0" fontId="1" fillId="0" borderId="1" xfId="0" applyFont="1" applyBorder="1"/>
    <xf numFmtId="0" fontId="25" fillId="0" borderId="1" xfId="7" applyFont="1" applyFill="1" applyBorder="1"/>
    <xf numFmtId="167" fontId="7" fillId="0" borderId="0" xfId="16" applyFont="1" applyFill="1" applyBorder="1" applyAlignment="1" applyProtection="1">
      <alignment horizontal="center"/>
    </xf>
    <xf numFmtId="0" fontId="4" fillId="0" borderId="19" xfId="0" applyFont="1" applyFill="1" applyBorder="1"/>
    <xf numFmtId="0" fontId="4" fillId="0" borderId="20" xfId="0" applyFont="1" applyFill="1" applyBorder="1"/>
    <xf numFmtId="0" fontId="4" fillId="0" borderId="21" xfId="0" applyFont="1" applyFill="1" applyBorder="1"/>
    <xf numFmtId="0" fontId="4" fillId="0" borderId="22" xfId="0" applyFont="1" applyFill="1" applyBorder="1"/>
    <xf numFmtId="0" fontId="4" fillId="0" borderId="23" xfId="0" applyFont="1" applyFill="1" applyBorder="1"/>
    <xf numFmtId="0" fontId="4" fillId="0" borderId="24" xfId="0" applyFont="1" applyFill="1" applyBorder="1"/>
    <xf numFmtId="0" fontId="4" fillId="0" borderId="25" xfId="0" applyFont="1" applyFill="1" applyBorder="1"/>
    <xf numFmtId="37" fontId="5" fillId="0" borderId="0" xfId="0" applyNumberFormat="1" applyFont="1" applyFill="1" applyAlignment="1"/>
    <xf numFmtId="37" fontId="4" fillId="0" borderId="0" xfId="0" applyNumberFormat="1" applyFont="1" applyFill="1" applyAlignment="1"/>
    <xf numFmtId="37" fontId="5" fillId="0" borderId="1" xfId="0" applyNumberFormat="1" applyFont="1" applyFill="1" applyBorder="1" applyAlignment="1"/>
    <xf numFmtId="37" fontId="4" fillId="0" borderId="1" xfId="0" applyNumberFormat="1" applyFont="1" applyFill="1" applyBorder="1" applyAlignment="1">
      <alignment horizontal="right"/>
    </xf>
    <xf numFmtId="0" fontId="10" fillId="0" borderId="26" xfId="0" applyFont="1" applyFill="1" applyBorder="1"/>
    <xf numFmtId="0" fontId="0" fillId="0" borderId="0" xfId="0" applyAlignment="1"/>
    <xf numFmtId="167" fontId="4" fillId="3" borderId="0" xfId="10" applyFont="1" applyFill="1" applyBorder="1" applyAlignment="1">
      <alignment horizontal="left"/>
    </xf>
    <xf numFmtId="167" fontId="30" fillId="3" borderId="0" xfId="10" applyFont="1" applyFill="1"/>
    <xf numFmtId="167" fontId="30" fillId="3" borderId="1" xfId="10" applyFont="1" applyFill="1" applyBorder="1"/>
    <xf numFmtId="37" fontId="6" fillId="6" borderId="0" xfId="0" applyNumberFormat="1" applyFont="1" applyFill="1"/>
    <xf numFmtId="37" fontId="10" fillId="0" borderId="1" xfId="0" applyNumberFormat="1" applyFont="1" applyFill="1" applyBorder="1" applyAlignment="1">
      <alignment horizontal="center"/>
    </xf>
    <xf numFmtId="167" fontId="19" fillId="0" borderId="0" xfId="10" applyFont="1" applyFill="1"/>
    <xf numFmtId="0" fontId="34" fillId="0" borderId="0" xfId="13" applyNumberFormat="1" applyFont="1" applyBorder="1"/>
    <xf numFmtId="38" fontId="1" fillId="0" borderId="0" xfId="0" applyNumberFormat="1" applyFont="1" applyFill="1" applyAlignment="1">
      <alignment horizontal="center"/>
    </xf>
    <xf numFmtId="38" fontId="0" fillId="0" borderId="0" xfId="0" applyNumberFormat="1" applyFont="1" applyFill="1" applyAlignment="1">
      <alignment horizontal="center"/>
    </xf>
    <xf numFmtId="0" fontId="4" fillId="0" borderId="0" xfId="18" applyFont="1" applyFill="1"/>
    <xf numFmtId="0" fontId="7" fillId="0" borderId="0" xfId="18" applyFont="1" applyFill="1" applyAlignment="1">
      <alignment horizontal="center"/>
    </xf>
    <xf numFmtId="37" fontId="4" fillId="3" borderId="1" xfId="0" quotePrefix="1" applyNumberFormat="1" applyFont="1" applyFill="1" applyBorder="1" applyAlignment="1" applyProtection="1">
      <alignment horizontal="center"/>
    </xf>
    <xf numFmtId="0" fontId="19" fillId="0" borderId="0" xfId="0" applyFont="1" applyFill="1"/>
    <xf numFmtId="0" fontId="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14" applyFont="1" applyFill="1" applyAlignment="1">
      <alignment horizontal="center"/>
    </xf>
    <xf numFmtId="0" fontId="46" fillId="0" borderId="0" xfId="14" quotePrefix="1" applyFont="1" applyFill="1" applyAlignment="1">
      <alignment horizontal="center"/>
    </xf>
    <xf numFmtId="0" fontId="46" fillId="0" borderId="0" xfId="14" applyFont="1" applyFill="1" applyAlignment="1">
      <alignment horizontal="center"/>
    </xf>
    <xf numFmtId="10" fontId="4" fillId="0" borderId="1" xfId="19" applyNumberFormat="1" applyFont="1" applyFill="1" applyBorder="1"/>
    <xf numFmtId="10" fontId="4" fillId="0" borderId="0" xfId="19" applyNumberFormat="1" applyFont="1" applyFill="1"/>
    <xf numFmtId="167" fontId="5" fillId="0" borderId="0" xfId="6" applyFont="1" applyFill="1" applyAlignment="1" applyProtection="1">
      <alignment horizontal="center"/>
      <protection locked="0"/>
    </xf>
    <xf numFmtId="37" fontId="4" fillId="0" borderId="0" xfId="5" applyFont="1" applyFill="1" applyAlignment="1"/>
    <xf numFmtId="0" fontId="4" fillId="0" borderId="0" xfId="0" applyFont="1" applyFill="1" applyBorder="1" applyAlignment="1"/>
    <xf numFmtId="167" fontId="1" fillId="0" borderId="0" xfId="6" applyFont="1" applyFill="1"/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40" fontId="15" fillId="0" borderId="0" xfId="0" applyNumberFormat="1" applyFont="1"/>
    <xf numFmtId="166" fontId="48" fillId="3" borderId="0" xfId="1" applyNumberFormat="1" applyFont="1" applyFill="1"/>
    <xf numFmtId="166" fontId="48" fillId="0" borderId="0" xfId="1" applyNumberFormat="1" applyFont="1" applyFill="1"/>
    <xf numFmtId="37" fontId="1" fillId="0" borderId="0" xfId="0" applyNumberFormat="1" applyFont="1" applyFill="1"/>
    <xf numFmtId="0" fontId="15" fillId="0" borderId="0" xfId="0" applyFont="1" applyAlignment="1">
      <alignment horizontal="left" indent="1"/>
    </xf>
    <xf numFmtId="0" fontId="15" fillId="0" borderId="0" xfId="0" applyFont="1" applyAlignment="1">
      <alignment horizontal="left" indent="2"/>
    </xf>
    <xf numFmtId="37" fontId="5" fillId="0" borderId="0" xfId="0" applyNumberFormat="1" applyFont="1" applyFill="1" applyBorder="1" applyAlignment="1">
      <alignment horizontal="right"/>
    </xf>
    <xf numFmtId="3" fontId="1" fillId="7" borderId="0" xfId="0" applyNumberFormat="1" applyFont="1" applyFill="1"/>
    <xf numFmtId="3" fontId="1" fillId="7" borderId="0" xfId="0" applyNumberFormat="1" applyFont="1" applyFill="1" applyAlignment="1">
      <alignment horizontal="left" indent="4"/>
    </xf>
    <xf numFmtId="38" fontId="1" fillId="7" borderId="0" xfId="0" applyNumberFormat="1" applyFont="1" applyFill="1"/>
    <xf numFmtId="40" fontId="0" fillId="0" borderId="0" xfId="0" applyNumberFormat="1"/>
    <xf numFmtId="3" fontId="10" fillId="0" borderId="0" xfId="21" applyFont="1" applyFill="1" applyAlignment="1">
      <alignment horizontal="left"/>
    </xf>
    <xf numFmtId="3" fontId="1" fillId="0" borderId="0" xfId="21" applyNumberFormat="1" applyFont="1" applyFill="1" applyAlignment="1"/>
    <xf numFmtId="3" fontId="1" fillId="0" borderId="0" xfId="21" applyFont="1" applyFill="1" applyAlignment="1"/>
    <xf numFmtId="3" fontId="1" fillId="0" borderId="0" xfId="21" applyNumberFormat="1" applyFill="1" applyAlignment="1"/>
    <xf numFmtId="3" fontId="7" fillId="0" borderId="0" xfId="21" applyFont="1" applyFill="1" applyAlignment="1">
      <alignment horizontal="center"/>
    </xf>
    <xf numFmtId="3" fontId="1" fillId="0" borderId="0" xfId="21" applyFill="1" applyAlignment="1"/>
    <xf numFmtId="37" fontId="1" fillId="0" borderId="0" xfId="21" applyNumberFormat="1" applyFont="1" applyFill="1" applyAlignment="1"/>
    <xf numFmtId="3" fontId="1" fillId="0" borderId="0" xfId="21" applyNumberFormat="1" applyFont="1" applyFill="1" applyAlignment="1">
      <alignment horizontal="left"/>
    </xf>
    <xf numFmtId="3" fontId="1" fillId="0" borderId="0" xfId="21" applyNumberFormat="1" applyFont="1" applyFill="1" applyAlignment="1" applyProtection="1">
      <protection locked="0"/>
    </xf>
    <xf numFmtId="0" fontId="1" fillId="0" borderId="0" xfId="0" applyFont="1" applyFill="1" applyAlignment="1"/>
    <xf numFmtId="3" fontId="1" fillId="0" borderId="0" xfId="21" applyNumberFormat="1" applyFont="1" applyAlignment="1" applyProtection="1">
      <protection locked="0"/>
    </xf>
    <xf numFmtId="3" fontId="1" fillId="0" borderId="0" xfId="21" applyNumberFormat="1" applyFont="1" applyAlignment="1"/>
    <xf numFmtId="3" fontId="1" fillId="0" borderId="0" xfId="21" applyFont="1" applyAlignment="1"/>
    <xf numFmtId="3" fontId="1" fillId="0" borderId="0" xfId="21" applyAlignment="1">
      <alignment horizontal="center"/>
    </xf>
    <xf numFmtId="3" fontId="7" fillId="0" borderId="0" xfId="21" applyFont="1" applyAlignment="1">
      <alignment horizontal="center"/>
    </xf>
    <xf numFmtId="37" fontId="1" fillId="0" borderId="0" xfId="21" applyNumberFormat="1" applyFont="1" applyAlignment="1"/>
    <xf numFmtId="0" fontId="1" fillId="0" borderId="0" xfId="0" applyFont="1" applyAlignment="1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10" fontId="1" fillId="0" borderId="0" xfId="19" applyNumberFormat="1" applyFont="1" applyFill="1" applyAlignment="1">
      <alignment horizontal="right"/>
    </xf>
    <xf numFmtId="166" fontId="5" fillId="5" borderId="0" xfId="22" applyNumberFormat="1" applyFont="1" applyFill="1" applyBorder="1"/>
    <xf numFmtId="0" fontId="1" fillId="0" borderId="0" xfId="7" applyFont="1" applyFill="1" applyAlignment="1">
      <alignment horizontal="left"/>
    </xf>
    <xf numFmtId="166" fontId="1" fillId="0" borderId="0" xfId="19" applyNumberFormat="1" applyFont="1" applyFill="1" applyBorder="1"/>
    <xf numFmtId="166" fontId="1" fillId="9" borderId="0" xfId="1" applyNumberFormat="1" applyFont="1" applyFill="1"/>
    <xf numFmtId="37" fontId="4" fillId="9" borderId="0" xfId="0" applyNumberFormat="1" applyFont="1" applyFill="1" applyAlignment="1" applyProtection="1">
      <alignment horizontal="left"/>
      <protection locked="0"/>
    </xf>
    <xf numFmtId="37" fontId="4" fillId="9" borderId="0" xfId="0" applyNumberFormat="1" applyFont="1" applyFill="1"/>
    <xf numFmtId="37" fontId="5" fillId="9" borderId="0" xfId="0" applyNumberFormat="1" applyFont="1" applyFill="1"/>
    <xf numFmtId="0" fontId="4" fillId="9" borderId="0" xfId="0" applyFont="1" applyFill="1"/>
    <xf numFmtId="171" fontId="4" fillId="9" borderId="0" xfId="0" applyNumberFormat="1" applyFont="1" applyFill="1" applyAlignment="1" applyProtection="1">
      <alignment horizontal="left"/>
      <protection locked="0"/>
    </xf>
    <xf numFmtId="1" fontId="4" fillId="9" borderId="0" xfId="0" applyNumberFormat="1" applyFont="1" applyFill="1" applyAlignment="1" applyProtection="1">
      <alignment horizontal="left"/>
      <protection locked="0"/>
    </xf>
    <xf numFmtId="37" fontId="4" fillId="9" borderId="0" xfId="0" quotePrefix="1" applyNumberFormat="1" applyFont="1" applyFill="1" applyAlignment="1" applyProtection="1">
      <alignment horizontal="left"/>
      <protection locked="0"/>
    </xf>
    <xf numFmtId="37" fontId="4" fillId="9" borderId="0" xfId="0" quotePrefix="1" applyNumberFormat="1" applyFont="1" applyFill="1" applyAlignment="1">
      <alignment horizontal="left"/>
    </xf>
    <xf numFmtId="37" fontId="5" fillId="9" borderId="1" xfId="0" applyNumberFormat="1" applyFont="1" applyFill="1" applyBorder="1"/>
    <xf numFmtId="37" fontId="4" fillId="9" borderId="0" xfId="0" applyNumberFormat="1" applyFont="1" applyFill="1" applyBorder="1"/>
    <xf numFmtId="1" fontId="4" fillId="9" borderId="0" xfId="0" quotePrefix="1" applyNumberFormat="1" applyFont="1" applyFill="1" applyAlignment="1" applyProtection="1">
      <alignment horizontal="left"/>
      <protection locked="0"/>
    </xf>
    <xf numFmtId="0" fontId="4" fillId="9" borderId="0" xfId="0" applyFont="1" applyFill="1" applyAlignment="1">
      <alignment horizontal="right"/>
    </xf>
    <xf numFmtId="37" fontId="10" fillId="9" borderId="0" xfId="0" applyNumberFormat="1" applyFont="1" applyFill="1"/>
    <xf numFmtId="172" fontId="4" fillId="9" borderId="0" xfId="0" applyNumberFormat="1" applyFont="1" applyFill="1" applyAlignment="1" applyProtection="1">
      <alignment horizontal="left"/>
      <protection locked="0"/>
    </xf>
    <xf numFmtId="1" fontId="4" fillId="9" borderId="0" xfId="0" applyNumberFormat="1" applyFont="1" applyFill="1" applyAlignment="1">
      <alignment horizontal="left"/>
    </xf>
    <xf numFmtId="37" fontId="4" fillId="9" borderId="1" xfId="0" applyNumberFormat="1" applyFont="1" applyFill="1" applyBorder="1"/>
    <xf numFmtId="166" fontId="5" fillId="9" borderId="0" xfId="1" applyNumberFormat="1" applyFont="1" applyFill="1" applyBorder="1"/>
    <xf numFmtId="37" fontId="5" fillId="9" borderId="0" xfId="0" applyNumberFormat="1" applyFont="1" applyFill="1" applyBorder="1"/>
    <xf numFmtId="175" fontId="4" fillId="9" borderId="0" xfId="0" applyNumberFormat="1" applyFont="1" applyFill="1" applyAlignment="1">
      <alignment horizontal="left"/>
    </xf>
    <xf numFmtId="166" fontId="4" fillId="9" borderId="0" xfId="0" applyNumberFormat="1" applyFont="1" applyFill="1" applyAlignment="1">
      <alignment horizontal="center"/>
    </xf>
    <xf numFmtId="37" fontId="4" fillId="9" borderId="0" xfId="0" applyNumberFormat="1" applyFont="1" applyFill="1" applyAlignment="1">
      <alignment horizontal="left"/>
    </xf>
    <xf numFmtId="37" fontId="4" fillId="9" borderId="9" xfId="0" applyNumberFormat="1" applyFont="1" applyFill="1" applyBorder="1"/>
    <xf numFmtId="0" fontId="4" fillId="9" borderId="0" xfId="0" applyFont="1" applyFill="1" applyAlignment="1"/>
    <xf numFmtId="0" fontId="9" fillId="9" borderId="0" xfId="0" applyFont="1" applyFill="1"/>
    <xf numFmtId="0" fontId="4" fillId="9" borderId="21" xfId="0" applyFont="1" applyFill="1" applyBorder="1"/>
    <xf numFmtId="0" fontId="4" fillId="9" borderId="0" xfId="0" applyFont="1" applyFill="1" applyBorder="1"/>
    <xf numFmtId="0" fontId="9" fillId="9" borderId="0" xfId="0" applyFont="1" applyFill="1" applyBorder="1"/>
    <xf numFmtId="0" fontId="4" fillId="9" borderId="0" xfId="0" quotePrefix="1" applyFont="1" applyFill="1" applyBorder="1" applyAlignment="1">
      <alignment horizontal="left"/>
    </xf>
    <xf numFmtId="166" fontId="4" fillId="9" borderId="22" xfId="1" applyNumberFormat="1" applyFont="1" applyFill="1" applyBorder="1"/>
    <xf numFmtId="0" fontId="4" fillId="9" borderId="22" xfId="0" applyFont="1" applyFill="1" applyBorder="1"/>
    <xf numFmtId="0" fontId="4" fillId="9" borderId="23" xfId="0" applyFont="1" applyFill="1" applyBorder="1"/>
    <xf numFmtId="0" fontId="4" fillId="9" borderId="24" xfId="0" applyFont="1" applyFill="1" applyBorder="1"/>
    <xf numFmtId="0" fontId="4" fillId="9" borderId="25" xfId="0" applyFont="1" applyFill="1" applyBorder="1"/>
    <xf numFmtId="166" fontId="5" fillId="9" borderId="22" xfId="1" applyNumberFormat="1" applyFont="1" applyFill="1" applyBorder="1"/>
    <xf numFmtId="166" fontId="4" fillId="9" borderId="0" xfId="0" applyNumberFormat="1" applyFont="1" applyFill="1"/>
    <xf numFmtId="37" fontId="4" fillId="9" borderId="24" xfId="0" quotePrefix="1" applyNumberFormat="1" applyFont="1" applyFill="1" applyBorder="1" applyAlignment="1">
      <alignment horizontal="left"/>
    </xf>
    <xf numFmtId="0" fontId="42" fillId="9" borderId="21" xfId="0" applyFont="1" applyFill="1" applyBorder="1"/>
    <xf numFmtId="0" fontId="42" fillId="9" borderId="14" xfId="0" applyFont="1" applyFill="1" applyBorder="1" applyAlignment="1"/>
    <xf numFmtId="0" fontId="4" fillId="9" borderId="10" xfId="0" applyFont="1" applyFill="1" applyBorder="1" applyAlignment="1"/>
    <xf numFmtId="0" fontId="4" fillId="9" borderId="15" xfId="0" applyFont="1" applyFill="1" applyBorder="1" applyAlignment="1"/>
    <xf numFmtId="0" fontId="4" fillId="9" borderId="27" xfId="0" applyFont="1" applyFill="1" applyBorder="1"/>
    <xf numFmtId="38" fontId="1" fillId="9" borderId="16" xfId="0" applyNumberFormat="1" applyFont="1" applyFill="1" applyBorder="1"/>
    <xf numFmtId="166" fontId="4" fillId="9" borderId="16" xfId="1" applyNumberFormat="1" applyFont="1" applyFill="1" applyBorder="1"/>
    <xf numFmtId="0" fontId="4" fillId="9" borderId="16" xfId="0" applyFont="1" applyFill="1" applyBorder="1"/>
    <xf numFmtId="0" fontId="4" fillId="9" borderId="3" xfId="0" applyFont="1" applyFill="1" applyBorder="1"/>
    <xf numFmtId="0" fontId="4" fillId="9" borderId="1" xfId="0" applyFont="1" applyFill="1" applyBorder="1"/>
    <xf numFmtId="0" fontId="4" fillId="9" borderId="8" xfId="0" applyFont="1" applyFill="1" applyBorder="1"/>
    <xf numFmtId="44" fontId="0" fillId="0" borderId="0" xfId="3" applyFont="1" applyFill="1"/>
    <xf numFmtId="0" fontId="10" fillId="0" borderId="13" xfId="0" applyFont="1" applyBorder="1"/>
    <xf numFmtId="44" fontId="10" fillId="0" borderId="13" xfId="3" applyFont="1" applyBorder="1"/>
    <xf numFmtId="37" fontId="6" fillId="0" borderId="24" xfId="0" applyNumberFormat="1" applyFont="1" applyFill="1" applyBorder="1"/>
    <xf numFmtId="37" fontId="6" fillId="6" borderId="24" xfId="0" applyNumberFormat="1" applyFont="1" applyFill="1" applyBorder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left"/>
    </xf>
    <xf numFmtId="0" fontId="1" fillId="0" borderId="1" xfId="0" applyFont="1" applyFill="1" applyBorder="1" applyAlignment="1">
      <alignment horizontal="center"/>
    </xf>
    <xf numFmtId="166" fontId="6" fillId="9" borderId="0" xfId="1" applyNumberFormat="1" applyFont="1" applyFill="1"/>
    <xf numFmtId="166" fontId="6" fillId="9" borderId="1" xfId="1" applyNumberFormat="1" applyFont="1" applyFill="1" applyBorder="1"/>
    <xf numFmtId="3" fontId="7" fillId="0" borderId="0" xfId="21" applyNumberFormat="1" applyFont="1" applyAlignment="1">
      <alignment horizontal="center" wrapText="1"/>
    </xf>
    <xf numFmtId="166" fontId="48" fillId="9" borderId="1" xfId="1" applyNumberFormat="1" applyFont="1" applyFill="1" applyBorder="1"/>
    <xf numFmtId="166" fontId="6" fillId="9" borderId="0" xfId="1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Fill="1" applyAlignment="1"/>
    <xf numFmtId="3" fontId="0" fillId="0" borderId="0" xfId="0" applyNumberFormat="1" applyFont="1" applyFill="1" applyAlignment="1">
      <alignment horizontal="centerContinuous"/>
    </xf>
    <xf numFmtId="3" fontId="7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Continuous"/>
    </xf>
    <xf numFmtId="3" fontId="0" fillId="0" borderId="17" xfId="0" applyNumberFormat="1" applyFont="1" applyFill="1" applyBorder="1" applyAlignment="1"/>
    <xf numFmtId="37" fontId="0" fillId="0" borderId="0" xfId="0" applyNumberFormat="1" applyFont="1" applyFill="1" applyAlignment="1"/>
    <xf numFmtId="37" fontId="0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3" fontId="0" fillId="0" borderId="0" xfId="0" applyNumberFormat="1" applyFont="1" applyFill="1" applyAlignment="1">
      <alignment horizontal="left"/>
    </xf>
    <xf numFmtId="37" fontId="0" fillId="10" borderId="0" xfId="0" applyNumberFormat="1" applyFont="1" applyFill="1" applyAlignment="1"/>
    <xf numFmtId="37" fontId="0" fillId="0" borderId="17" xfId="0" applyNumberFormat="1" applyFont="1" applyFill="1" applyBorder="1" applyAlignment="1"/>
    <xf numFmtId="37" fontId="0" fillId="0" borderId="18" xfId="0" applyNumberFormat="1" applyFont="1" applyFill="1" applyBorder="1" applyAlignment="1"/>
    <xf numFmtId="37" fontId="0" fillId="11" borderId="0" xfId="0" applyNumberFormat="1" applyFont="1" applyFill="1" applyAlignment="1"/>
    <xf numFmtId="0" fontId="0" fillId="8" borderId="0" xfId="0" applyFill="1" applyAlignment="1"/>
    <xf numFmtId="37" fontId="0" fillId="8" borderId="0" xfId="0" applyNumberFormat="1" applyFont="1" applyFill="1" applyAlignment="1"/>
    <xf numFmtId="37" fontId="1" fillId="0" borderId="18" xfId="0" applyNumberFormat="1" applyFont="1" applyFill="1" applyBorder="1" applyAlignment="1"/>
    <xf numFmtId="3" fontId="0" fillId="8" borderId="0" xfId="0" applyNumberFormat="1" applyFont="1" applyFill="1" applyAlignment="1"/>
    <xf numFmtId="37" fontId="0" fillId="8" borderId="0" xfId="0" applyNumberFormat="1" applyFont="1" applyFill="1" applyBorder="1" applyAlignment="1"/>
    <xf numFmtId="37" fontId="0" fillId="0" borderId="0" xfId="0" applyNumberFormat="1" applyFill="1" applyAlignment="1"/>
    <xf numFmtId="37" fontId="0" fillId="0" borderId="0" xfId="0" applyNumberFormat="1" applyFont="1" applyFill="1" applyBorder="1" applyAlignment="1"/>
    <xf numFmtId="3" fontId="0" fillId="0" borderId="0" xfId="0" applyNumberFormat="1" applyFont="1" applyAlignment="1" applyProtection="1">
      <protection locked="0"/>
    </xf>
    <xf numFmtId="3" fontId="0" fillId="0" borderId="0" xfId="0" applyNumberFormat="1" applyFont="1" applyAlignment="1"/>
    <xf numFmtId="0" fontId="0" fillId="0" borderId="0" xfId="0" applyFont="1" applyAlignment="1"/>
    <xf numFmtId="3" fontId="0" fillId="0" borderId="0" xfId="0" applyNumberFormat="1" applyFill="1" applyAlignment="1"/>
    <xf numFmtId="0" fontId="7" fillId="0" borderId="0" xfId="0" applyFont="1" applyAlignment="1">
      <alignment horizontal="center"/>
    </xf>
    <xf numFmtId="3" fontId="0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3" fontId="0" fillId="0" borderId="17" xfId="0" applyNumberFormat="1" applyFont="1" applyBorder="1" applyAlignment="1"/>
    <xf numFmtId="0" fontId="0" fillId="0" borderId="0" xfId="0" applyFont="1" applyFill="1" applyAlignment="1">
      <alignment horizontal="left"/>
    </xf>
    <xf numFmtId="37" fontId="1" fillId="0" borderId="0" xfId="0" applyNumberFormat="1" applyFont="1" applyFill="1" applyAlignment="1"/>
    <xf numFmtId="37" fontId="0" fillId="0" borderId="0" xfId="0" applyNumberFormat="1" applyFont="1" applyAlignment="1"/>
    <xf numFmtId="37" fontId="0" fillId="8" borderId="0" xfId="0" applyNumberFormat="1" applyFill="1" applyAlignment="1"/>
    <xf numFmtId="0" fontId="0" fillId="0" borderId="0" xfId="0" applyFill="1"/>
    <xf numFmtId="0" fontId="0" fillId="9" borderId="0" xfId="0" quotePrefix="1" applyFill="1" applyAlignment="1">
      <alignment horizontal="left"/>
    </xf>
    <xf numFmtId="0" fontId="0" fillId="9" borderId="0" xfId="0" applyFill="1"/>
    <xf numFmtId="37" fontId="0" fillId="9" borderId="0" xfId="0" applyNumberFormat="1" applyFill="1"/>
    <xf numFmtId="6" fontId="5" fillId="9" borderId="0" xfId="0" applyNumberFormat="1" applyFont="1" applyFill="1"/>
    <xf numFmtId="166" fontId="5" fillId="9" borderId="0" xfId="1" applyNumberFormat="1" applyFont="1" applyFill="1"/>
    <xf numFmtId="38" fontId="5" fillId="9" borderId="0" xfId="0" applyNumberFormat="1" applyFont="1" applyFill="1"/>
    <xf numFmtId="38" fontId="4" fillId="9" borderId="0" xfId="0" applyNumberFormat="1" applyFont="1" applyFill="1"/>
    <xf numFmtId="37" fontId="6" fillId="9" borderId="0" xfId="0" applyNumberFormat="1" applyFont="1" applyFill="1"/>
    <xf numFmtId="37" fontId="0" fillId="9" borderId="1" xfId="0" applyNumberFormat="1" applyFill="1" applyBorder="1"/>
    <xf numFmtId="166" fontId="0" fillId="0" borderId="0" xfId="1" applyNumberFormat="1" applyFont="1" applyBorder="1"/>
    <xf numFmtId="166" fontId="54" fillId="9" borderId="1" xfId="1" applyNumberFormat="1" applyFont="1" applyFill="1" applyBorder="1"/>
    <xf numFmtId="166" fontId="6" fillId="9" borderId="0" xfId="1" applyNumberFormat="1" applyFont="1" applyFill="1" applyProtection="1">
      <protection locked="0"/>
    </xf>
    <xf numFmtId="166" fontId="6" fillId="9" borderId="1" xfId="1" applyNumberFormat="1" applyFont="1" applyFill="1" applyBorder="1" applyProtection="1">
      <protection locked="0"/>
    </xf>
    <xf numFmtId="37" fontId="5" fillId="9" borderId="0" xfId="1" applyNumberFormat="1" applyFont="1" applyFill="1"/>
    <xf numFmtId="166" fontId="4" fillId="9" borderId="0" xfId="1" applyNumberFormat="1" applyFont="1" applyFill="1" applyAlignment="1">
      <alignment horizontal="center"/>
    </xf>
    <xf numFmtId="166" fontId="4" fillId="9" borderId="0" xfId="1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5" fillId="0" borderId="0" xfId="1" applyNumberFormat="1" applyFont="1" applyFill="1" applyAlignment="1"/>
    <xf numFmtId="166" fontId="38" fillId="12" borderId="0" xfId="13" applyNumberFormat="1" applyFont="1" applyFill="1" applyBorder="1"/>
    <xf numFmtId="0" fontId="37" fillId="9" borderId="0" xfId="13" applyFont="1" applyFill="1" applyAlignment="1">
      <alignment horizontal="center"/>
    </xf>
    <xf numFmtId="166" fontId="38" fillId="9" borderId="0" xfId="13" applyNumberFormat="1" applyFont="1" applyFill="1" applyBorder="1"/>
    <xf numFmtId="166" fontId="38" fillId="12" borderId="0" xfId="13" applyNumberFormat="1" applyFont="1" applyFill="1"/>
    <xf numFmtId="166" fontId="6" fillId="9" borderId="22" xfId="1" applyNumberFormat="1" applyFont="1" applyFill="1" applyBorder="1"/>
    <xf numFmtId="17" fontId="54" fillId="0" borderId="0" xfId="6" quotePrefix="1" applyNumberFormat="1" applyFont="1" applyFill="1" applyAlignment="1" applyProtection="1">
      <alignment horizontal="left"/>
    </xf>
    <xf numFmtId="37" fontId="5" fillId="0" borderId="0" xfId="16" applyNumberFormat="1" applyFont="1" applyFill="1" applyBorder="1" applyAlignment="1" applyProtection="1">
      <alignment horizontal="center"/>
      <protection locked="0"/>
    </xf>
    <xf numFmtId="37" fontId="5" fillId="0" borderId="0" xfId="16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 horizontal="center"/>
    </xf>
    <xf numFmtId="44" fontId="10" fillId="0" borderId="0" xfId="3" applyFont="1" applyAlignment="1">
      <alignment horizontal="center"/>
    </xf>
    <xf numFmtId="166" fontId="54" fillId="0" borderId="0" xfId="1" applyNumberFormat="1" applyFont="1" applyFill="1"/>
    <xf numFmtId="174" fontId="54" fillId="0" borderId="0" xfId="0" applyNumberFormat="1" applyFont="1" applyFill="1" applyAlignment="1">
      <alignment horizontal="right"/>
    </xf>
    <xf numFmtId="166" fontId="5" fillId="0" borderId="0" xfId="1" applyNumberFormat="1" applyFont="1" applyFill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0" xfId="0" applyFont="1" applyFill="1" applyAlignment="1" applyProtection="1">
      <alignment horizontal="left"/>
    </xf>
    <xf numFmtId="0" fontId="43" fillId="9" borderId="0" xfId="0" applyFont="1" applyFill="1" applyAlignment="1" applyProtection="1">
      <alignment horizontal="left"/>
    </xf>
    <xf numFmtId="37" fontId="4" fillId="9" borderId="0" xfId="0" applyNumberFormat="1" applyFont="1" applyFill="1" applyProtection="1">
      <protection locked="0"/>
    </xf>
    <xf numFmtId="0" fontId="1" fillId="9" borderId="0" xfId="0" applyFont="1" applyFill="1"/>
    <xf numFmtId="0" fontId="1" fillId="9" borderId="0" xfId="0" applyFont="1" applyFill="1" applyBorder="1"/>
    <xf numFmtId="0" fontId="1" fillId="9" borderId="0" xfId="0" applyFont="1" applyFill="1" applyAlignment="1" applyProtection="1">
      <alignment horizontal="left"/>
    </xf>
    <xf numFmtId="37" fontId="4" fillId="9" borderId="0" xfId="0" applyNumberFormat="1" applyFont="1" applyFill="1" applyBorder="1" applyProtection="1">
      <protection locked="0"/>
    </xf>
    <xf numFmtId="37" fontId="4" fillId="9" borderId="1" xfId="0" applyNumberFormat="1" applyFont="1" applyFill="1" applyBorder="1" applyProtection="1">
      <protection locked="0"/>
    </xf>
    <xf numFmtId="0" fontId="30" fillId="9" borderId="0" xfId="0" applyFont="1" applyFill="1"/>
    <xf numFmtId="37" fontId="5" fillId="9" borderId="0" xfId="0" applyNumberFormat="1" applyFont="1" applyFill="1" applyProtection="1">
      <protection locked="0"/>
    </xf>
    <xf numFmtId="37" fontId="5" fillId="9" borderId="0" xfId="0" applyNumberFormat="1" applyFont="1" applyFill="1" applyBorder="1" applyProtection="1">
      <protection locked="0"/>
    </xf>
    <xf numFmtId="0" fontId="14" fillId="9" borderId="0" xfId="18" applyFont="1" applyFill="1"/>
    <xf numFmtId="17" fontId="19" fillId="9" borderId="0" xfId="6" applyNumberFormat="1" applyFont="1" applyFill="1" applyAlignment="1" applyProtection="1">
      <alignment horizontal="left"/>
    </xf>
    <xf numFmtId="0" fontId="1" fillId="0" borderId="0" xfId="0" applyFont="1" applyAlignment="1">
      <alignment horizontal="center"/>
    </xf>
    <xf numFmtId="0" fontId="0" fillId="9" borderId="0" xfId="0" applyFill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/>
    <xf numFmtId="37" fontId="0" fillId="0" borderId="28" xfId="0" applyNumberFormat="1" applyFont="1" applyFill="1" applyBorder="1" applyAlignment="1"/>
    <xf numFmtId="0" fontId="0" fillId="13" borderId="0" xfId="0" applyFill="1" applyAlignment="1"/>
    <xf numFmtId="37" fontId="0" fillId="13" borderId="0" xfId="0" applyNumberFormat="1" applyFont="1" applyFill="1" applyAlignment="1"/>
    <xf numFmtId="0" fontId="0" fillId="14" borderId="0" xfId="0" applyFill="1" applyAlignment="1"/>
    <xf numFmtId="37" fontId="0" fillId="14" borderId="0" xfId="0" applyNumberFormat="1" applyFont="1" applyFill="1" applyAlignment="1"/>
    <xf numFmtId="37" fontId="1" fillId="0" borderId="0" xfId="0" applyNumberFormat="1" applyFont="1" applyFill="1" applyBorder="1" applyAlignment="1"/>
    <xf numFmtId="3" fontId="0" fillId="14" borderId="0" xfId="0" applyNumberFormat="1" applyFont="1" applyFill="1" applyAlignment="1"/>
    <xf numFmtId="37" fontId="0" fillId="14" borderId="0" xfId="0" applyNumberFormat="1" applyFont="1" applyFill="1" applyBorder="1" applyAlignment="1"/>
    <xf numFmtId="3" fontId="0" fillId="15" borderId="0" xfId="0" applyNumberFormat="1" applyFont="1" applyFill="1" applyAlignment="1"/>
    <xf numFmtId="37" fontId="0" fillId="15" borderId="0" xfId="0" applyNumberFormat="1" applyFont="1" applyFill="1" applyAlignment="1"/>
    <xf numFmtId="37" fontId="0" fillId="15" borderId="0" xfId="0" applyNumberFormat="1" applyFill="1" applyAlignment="1"/>
    <xf numFmtId="0" fontId="1" fillId="8" borderId="0" xfId="0" applyFont="1" applyFill="1" applyAlignment="1"/>
    <xf numFmtId="0" fontId="1" fillId="13" borderId="0" xfId="0" applyFont="1" applyFill="1" applyAlignment="1"/>
    <xf numFmtId="37" fontId="0" fillId="13" borderId="0" xfId="0" applyNumberFormat="1" applyFill="1" applyAlignment="1"/>
    <xf numFmtId="37" fontId="1" fillId="11" borderId="0" xfId="0" applyNumberFormat="1" applyFont="1" applyFill="1" applyAlignment="1"/>
    <xf numFmtId="166" fontId="0" fillId="0" borderId="0" xfId="1" applyNumberFormat="1" applyFont="1" applyFill="1" applyAlignment="1"/>
    <xf numFmtId="166" fontId="0" fillId="11" borderId="0" xfId="1" applyNumberFormat="1" applyFont="1" applyFill="1" applyAlignment="1"/>
    <xf numFmtId="166" fontId="0" fillId="14" borderId="0" xfId="1" applyNumberFormat="1" applyFont="1" applyFill="1" applyAlignment="1"/>
    <xf numFmtId="166" fontId="0" fillId="13" borderId="0" xfId="1" applyNumberFormat="1" applyFont="1" applyFill="1" applyAlignment="1"/>
    <xf numFmtId="166" fontId="0" fillId="8" borderId="0" xfId="1" applyNumberFormat="1" applyFont="1" applyFill="1" applyAlignment="1"/>
    <xf numFmtId="166" fontId="0" fillId="10" borderId="0" xfId="1" applyNumberFormat="1" applyFont="1" applyFill="1" applyAlignment="1"/>
    <xf numFmtId="166" fontId="0" fillId="0" borderId="17" xfId="1" applyNumberFormat="1" applyFont="1" applyFill="1" applyBorder="1" applyAlignment="1"/>
    <xf numFmtId="37" fontId="4" fillId="9" borderId="0" xfId="11" applyFont="1" applyFill="1"/>
    <xf numFmtId="37" fontId="4" fillId="9" borderId="0" xfId="11" applyFont="1" applyFill="1" applyAlignment="1">
      <alignment horizontal="right"/>
    </xf>
    <xf numFmtId="37" fontId="4" fillId="9" borderId="0" xfId="11" applyFont="1" applyFill="1" applyAlignment="1" applyProtection="1">
      <alignment horizontal="left"/>
    </xf>
    <xf numFmtId="178" fontId="4" fillId="9" borderId="0" xfId="12" applyNumberFormat="1" applyFont="1" applyFill="1" applyAlignment="1" applyProtection="1">
      <alignment horizontal="right"/>
      <protection locked="0"/>
    </xf>
    <xf numFmtId="37" fontId="7" fillId="9" borderId="0" xfId="11" applyFont="1" applyFill="1" applyAlignment="1" applyProtection="1">
      <alignment horizontal="left"/>
    </xf>
    <xf numFmtId="10" fontId="4" fillId="9" borderId="0" xfId="12" applyNumberFormat="1" applyFont="1" applyFill="1" applyAlignment="1" applyProtection="1">
      <alignment horizontal="right"/>
      <protection locked="0"/>
    </xf>
    <xf numFmtId="179" fontId="5" fillId="9" borderId="0" xfId="19" applyNumberFormat="1" applyFont="1" applyFill="1"/>
    <xf numFmtId="179" fontId="4" fillId="9" borderId="0" xfId="19" applyNumberFormat="1" applyFont="1" applyFill="1"/>
    <xf numFmtId="37" fontId="4" fillId="9" borderId="0" xfId="11" quotePrefix="1" applyFont="1" applyFill="1" applyAlignment="1">
      <alignment horizontal="left"/>
    </xf>
    <xf numFmtId="37" fontId="4" fillId="9" borderId="0" xfId="11" applyFont="1" applyFill="1" applyAlignment="1">
      <alignment horizontal="right" vertical="top"/>
    </xf>
    <xf numFmtId="179" fontId="5" fillId="9" borderId="0" xfId="19" applyNumberFormat="1" applyFont="1" applyFill="1" applyAlignment="1">
      <alignment vertical="top"/>
    </xf>
    <xf numFmtId="10" fontId="5" fillId="9" borderId="0" xfId="19" applyNumberFormat="1" applyFont="1" applyFill="1"/>
    <xf numFmtId="37" fontId="7" fillId="9" borderId="0" xfId="11" applyFont="1" applyFill="1"/>
    <xf numFmtId="179" fontId="5" fillId="9" borderId="1" xfId="19" applyNumberFormat="1" applyFont="1" applyFill="1" applyBorder="1"/>
    <xf numFmtId="37" fontId="5" fillId="9" borderId="0" xfId="11" applyFont="1" applyFill="1"/>
    <xf numFmtId="168" fontId="4" fillId="9" borderId="0" xfId="19" applyNumberFormat="1" applyFont="1" applyFill="1"/>
    <xf numFmtId="179" fontId="4" fillId="9" borderId="1" xfId="19" applyNumberFormat="1" applyFont="1" applyFill="1" applyBorder="1"/>
    <xf numFmtId="179" fontId="4" fillId="9" borderId="9" xfId="19" applyNumberFormat="1" applyFont="1" applyFill="1" applyBorder="1"/>
    <xf numFmtId="167" fontId="4" fillId="9" borderId="0" xfId="6" applyFont="1" applyFill="1"/>
    <xf numFmtId="0" fontId="0" fillId="9" borderId="0" xfId="0" applyFill="1" applyAlignment="1">
      <alignment horizontal="right"/>
    </xf>
    <xf numFmtId="167" fontId="5" fillId="9" borderId="0" xfId="6" quotePrefix="1" applyFont="1" applyFill="1" applyAlignment="1" applyProtection="1">
      <alignment horizontal="center"/>
      <protection locked="0"/>
    </xf>
    <xf numFmtId="14" fontId="10" fillId="9" borderId="0" xfId="0" applyNumberFormat="1" applyFont="1" applyFill="1" applyBorder="1" applyAlignment="1">
      <alignment horizontal="center"/>
    </xf>
    <xf numFmtId="0" fontId="10" fillId="9" borderId="0" xfId="0" applyFont="1" applyFill="1" applyBorder="1" applyAlignment="1">
      <alignment horizontal="right"/>
    </xf>
    <xf numFmtId="4" fontId="10" fillId="9" borderId="0" xfId="0" applyNumberFormat="1" applyFont="1" applyFill="1" applyBorder="1"/>
    <xf numFmtId="0" fontId="0" fillId="9" borderId="0" xfId="0" applyFill="1" applyBorder="1"/>
    <xf numFmtId="0" fontId="57" fillId="9" borderId="0" xfId="0" applyFont="1" applyFill="1" applyAlignment="1">
      <alignment horizontal="center"/>
    </xf>
    <xf numFmtId="0" fontId="58" fillId="9" borderId="0" xfId="0" applyFont="1" applyFill="1" applyAlignment="1">
      <alignment horizontal="center"/>
    </xf>
    <xf numFmtId="0" fontId="59" fillId="9" borderId="0" xfId="0" applyFont="1" applyFill="1" applyAlignment="1">
      <alignment horizontal="center"/>
    </xf>
    <xf numFmtId="37" fontId="60" fillId="9" borderId="0" xfId="3" applyNumberFormat="1" applyFont="1" applyFill="1"/>
    <xf numFmtId="0" fontId="0" fillId="9" borderId="11" xfId="0" applyFill="1" applyBorder="1" applyAlignment="1">
      <alignment horizontal="center"/>
    </xf>
    <xf numFmtId="37" fontId="60" fillId="9" borderId="11" xfId="3" applyNumberFormat="1" applyFont="1" applyFill="1" applyBorder="1"/>
    <xf numFmtId="0" fontId="58" fillId="9" borderId="0" xfId="0" applyFont="1" applyFill="1" applyAlignment="1">
      <alignment horizontal="center" wrapText="1"/>
    </xf>
    <xf numFmtId="43" fontId="48" fillId="9" borderId="0" xfId="1" applyFont="1" applyFill="1"/>
    <xf numFmtId="37" fontId="4" fillId="9" borderId="0" xfId="6" applyNumberFormat="1" applyFont="1" applyFill="1"/>
    <xf numFmtId="0" fontId="19" fillId="9" borderId="0" xfId="18" applyFont="1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7" fontId="4" fillId="0" borderId="0" xfId="5" applyFont="1" applyFill="1" applyAlignment="1">
      <alignment horizontal="center"/>
    </xf>
    <xf numFmtId="167" fontId="4" fillId="0" borderId="0" xfId="6" applyFont="1" applyFill="1" applyAlignment="1" applyProtection="1">
      <alignment horizontal="center"/>
    </xf>
    <xf numFmtId="167" fontId="4" fillId="0" borderId="0" xfId="6" quotePrefix="1" applyFont="1" applyFill="1" applyAlignment="1" applyProtection="1">
      <alignment horizontal="center"/>
    </xf>
    <xf numFmtId="0" fontId="1" fillId="0" borderId="0" xfId="18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7" fontId="5" fillId="0" borderId="0" xfId="6" quotePrefix="1" applyFont="1" applyFill="1" applyAlignment="1" applyProtection="1">
      <alignment horizontal="center"/>
      <protection locked="0"/>
    </xf>
    <xf numFmtId="167" fontId="5" fillId="0" borderId="0" xfId="6" applyFont="1" applyFill="1" applyAlignment="1" applyProtection="1">
      <alignment horizontal="center"/>
      <protection locked="0"/>
    </xf>
    <xf numFmtId="167" fontId="4" fillId="0" borderId="2" xfId="6" applyFont="1" applyFill="1" applyBorder="1" applyAlignment="1" applyProtection="1">
      <alignment horizontal="center"/>
    </xf>
    <xf numFmtId="167" fontId="4" fillId="0" borderId="13" xfId="6" applyFont="1" applyFill="1" applyBorder="1" applyAlignment="1" applyProtection="1">
      <alignment horizontal="center"/>
    </xf>
    <xf numFmtId="167" fontId="4" fillId="0" borderId="12" xfId="6" applyFont="1" applyFill="1" applyBorder="1" applyAlignment="1" applyProtection="1">
      <alignment horizontal="center"/>
    </xf>
    <xf numFmtId="37" fontId="4" fillId="0" borderId="0" xfId="5" applyFont="1" applyFill="1" applyAlignment="1">
      <alignment horizontal="center" vertical="center"/>
    </xf>
    <xf numFmtId="37" fontId="4" fillId="0" borderId="2" xfId="6" applyNumberFormat="1" applyFont="1" applyFill="1" applyBorder="1" applyAlignment="1" applyProtection="1">
      <alignment horizontal="center"/>
    </xf>
    <xf numFmtId="37" fontId="4" fillId="0" borderId="13" xfId="6" applyNumberFormat="1" applyFont="1" applyFill="1" applyBorder="1" applyAlignment="1" applyProtection="1">
      <alignment horizontal="center"/>
    </xf>
    <xf numFmtId="37" fontId="4" fillId="0" borderId="12" xfId="6" applyNumberFormat="1" applyFont="1" applyFill="1" applyBorder="1" applyAlignment="1" applyProtection="1">
      <alignment horizontal="center"/>
    </xf>
    <xf numFmtId="167" fontId="4" fillId="0" borderId="3" xfId="6" applyFont="1" applyFill="1" applyBorder="1" applyAlignment="1">
      <alignment horizontal="center"/>
    </xf>
    <xf numFmtId="167" fontId="4" fillId="0" borderId="8" xfId="6" applyFont="1" applyFill="1" applyBorder="1" applyAlignment="1">
      <alignment horizontal="center"/>
    </xf>
    <xf numFmtId="167" fontId="4" fillId="0" borderId="3" xfId="6" applyFont="1" applyFill="1" applyBorder="1" applyAlignment="1" applyProtection="1">
      <alignment horizontal="center"/>
    </xf>
    <xf numFmtId="167" fontId="4" fillId="0" borderId="8" xfId="6" applyFont="1" applyFill="1" applyBorder="1" applyAlignment="1" applyProtection="1">
      <alignment horizontal="center"/>
    </xf>
    <xf numFmtId="167" fontId="4" fillId="0" borderId="2" xfId="6" applyFont="1" applyFill="1" applyBorder="1" applyAlignment="1">
      <alignment horizontal="center"/>
    </xf>
    <xf numFmtId="167" fontId="4" fillId="0" borderId="13" xfId="6" applyFont="1" applyFill="1" applyBorder="1" applyAlignment="1">
      <alignment horizontal="center"/>
    </xf>
    <xf numFmtId="167" fontId="4" fillId="0" borderId="12" xfId="6" applyFont="1" applyFill="1" applyBorder="1" applyAlignment="1">
      <alignment horizontal="center"/>
    </xf>
    <xf numFmtId="167" fontId="4" fillId="9" borderId="0" xfId="6" applyFont="1" applyFill="1" applyAlignment="1" applyProtection="1">
      <alignment horizontal="center"/>
    </xf>
    <xf numFmtId="0" fontId="0" fillId="9" borderId="0" xfId="0" applyFill="1" applyAlignment="1">
      <alignment horizontal="center"/>
    </xf>
    <xf numFmtId="167" fontId="4" fillId="9" borderId="0" xfId="6" quotePrefix="1" applyFont="1" applyFill="1" applyAlignment="1" applyProtection="1">
      <alignment horizontal="center"/>
    </xf>
    <xf numFmtId="167" fontId="5" fillId="9" borderId="0" xfId="6" quotePrefix="1" applyFont="1" applyFill="1" applyAlignment="1" applyProtection="1">
      <alignment horizontal="center"/>
      <protection locked="0"/>
    </xf>
    <xf numFmtId="37" fontId="4" fillId="9" borderId="0" xfId="5" applyFont="1" applyFill="1" applyAlignment="1">
      <alignment horizontal="center" vertical="center"/>
    </xf>
    <xf numFmtId="0" fontId="0" fillId="9" borderId="0" xfId="0" applyFill="1" applyAlignment="1">
      <alignment vertical="center"/>
    </xf>
    <xf numFmtId="0" fontId="5" fillId="0" borderId="0" xfId="0" quotePrefix="1" applyFont="1" applyFill="1" applyAlignment="1">
      <alignment horizontal="center"/>
    </xf>
    <xf numFmtId="167" fontId="4" fillId="0" borderId="0" xfId="10" applyFont="1" applyFill="1" applyAlignment="1" applyProtection="1">
      <alignment horizontal="center"/>
    </xf>
    <xf numFmtId="167" fontId="5" fillId="0" borderId="0" xfId="10" quotePrefix="1" applyFont="1" applyFill="1" applyAlignment="1" applyProtection="1">
      <alignment horizontal="center"/>
    </xf>
    <xf numFmtId="37" fontId="4" fillId="9" borderId="0" xfId="11" applyFont="1" applyFill="1" applyAlignment="1" applyProtection="1">
      <alignment horizontal="center"/>
    </xf>
    <xf numFmtId="37" fontId="5" fillId="9" borderId="0" xfId="11" applyFont="1" applyFill="1" applyAlignment="1" applyProtection="1">
      <alignment horizontal="center"/>
      <protection locked="0"/>
    </xf>
    <xf numFmtId="37" fontId="4" fillId="9" borderId="0" xfId="11" quotePrefix="1" applyFont="1" applyFill="1" applyAlignment="1">
      <alignment horizontal="left" wrapText="1"/>
    </xf>
    <xf numFmtId="0" fontId="0" fillId="9" borderId="0" xfId="0" applyFill="1"/>
    <xf numFmtId="37" fontId="4" fillId="9" borderId="0" xfId="11" applyFont="1" applyFill="1" applyAlignment="1">
      <alignment horizontal="center" vertical="center"/>
    </xf>
    <xf numFmtId="0" fontId="32" fillId="0" borderId="0" xfId="14" applyFont="1" applyFill="1" applyAlignment="1">
      <alignment horizontal="center"/>
    </xf>
    <xf numFmtId="0" fontId="32" fillId="0" borderId="0" xfId="0" applyFont="1" applyAlignment="1">
      <alignment horizontal="center"/>
    </xf>
    <xf numFmtId="0" fontId="46" fillId="0" borderId="0" xfId="14" quotePrefix="1" applyFont="1" applyFill="1" applyAlignment="1">
      <alignment horizontal="center"/>
    </xf>
    <xf numFmtId="0" fontId="46" fillId="0" borderId="0" xfId="14" applyFont="1" applyFill="1" applyAlignment="1">
      <alignment horizontal="center"/>
    </xf>
    <xf numFmtId="37" fontId="32" fillId="0" borderId="0" xfId="8" applyFont="1" applyFill="1" applyAlignment="1">
      <alignment horizontal="center"/>
    </xf>
    <xf numFmtId="37" fontId="32" fillId="0" borderId="0" xfId="11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/>
    </xf>
    <xf numFmtId="37" fontId="4" fillId="9" borderId="0" xfId="0" applyNumberFormat="1" applyFont="1" applyFill="1" applyAlignment="1">
      <alignment horizontal="center"/>
    </xf>
    <xf numFmtId="37" fontId="5" fillId="9" borderId="0" xfId="0" applyNumberFormat="1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4" fillId="9" borderId="0" xfId="0" applyFont="1" applyFill="1" applyAlignment="1" applyProtection="1">
      <alignment horizontal="center"/>
    </xf>
    <xf numFmtId="0" fontId="5" fillId="9" borderId="0" xfId="0" quotePrefix="1" applyFont="1" applyFill="1" applyAlignment="1" applyProtection="1">
      <alignment horizontal="center"/>
      <protection locked="0"/>
    </xf>
    <xf numFmtId="0" fontId="4" fillId="0" borderId="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</xf>
    <xf numFmtId="0" fontId="4" fillId="0" borderId="0" xfId="15" applyFont="1" applyFill="1" applyAlignment="1">
      <alignment horizontal="center"/>
    </xf>
    <xf numFmtId="37" fontId="4" fillId="0" borderId="0" xfId="15" applyNumberFormat="1" applyFont="1" applyFill="1" applyAlignment="1" applyProtection="1">
      <alignment horizontal="center"/>
    </xf>
    <xf numFmtId="37" fontId="5" fillId="0" borderId="0" xfId="15" applyNumberFormat="1" applyFont="1" applyFill="1" applyAlignment="1" applyProtection="1">
      <alignment horizontal="center"/>
      <protection locked="0"/>
    </xf>
    <xf numFmtId="37" fontId="4" fillId="0" borderId="2" xfId="15" applyNumberFormat="1" applyFont="1" applyFill="1" applyBorder="1" applyAlignment="1" applyProtection="1">
      <alignment horizontal="center"/>
    </xf>
    <xf numFmtId="37" fontId="4" fillId="0" borderId="12" xfId="15" applyNumberFormat="1" applyFont="1" applyFill="1" applyBorder="1" applyAlignment="1" applyProtection="1">
      <alignment horizontal="center"/>
    </xf>
    <xf numFmtId="37" fontId="4" fillId="0" borderId="2" xfId="15" quotePrefix="1" applyNumberFormat="1" applyFont="1" applyFill="1" applyBorder="1" applyAlignment="1" applyProtection="1">
      <alignment horizontal="center"/>
    </xf>
    <xf numFmtId="37" fontId="4" fillId="0" borderId="12" xfId="15" quotePrefix="1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1" fontId="10" fillId="0" borderId="0" xfId="7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7" fontId="4" fillId="0" borderId="0" xfId="16" applyFont="1" applyFill="1" applyAlignment="1">
      <alignment horizontal="center"/>
    </xf>
    <xf numFmtId="167" fontId="5" fillId="0" borderId="0" xfId="16" applyFont="1" applyFill="1" applyAlignment="1">
      <alignment horizontal="center"/>
    </xf>
    <xf numFmtId="167" fontId="19" fillId="0" borderId="0" xfId="16" applyFont="1" applyFill="1" applyAlignment="1">
      <alignment horizontal="left" wrapText="1"/>
    </xf>
    <xf numFmtId="167" fontId="4" fillId="0" borderId="0" xfId="17" applyFont="1" applyFill="1" applyAlignment="1">
      <alignment horizontal="center"/>
    </xf>
    <xf numFmtId="43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167" fontId="4" fillId="0" borderId="0" xfId="16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35" fillId="0" borderId="0" xfId="0" applyFont="1" applyFill="1"/>
    <xf numFmtId="0" fontId="35" fillId="0" borderId="0" xfId="0" applyFont="1" applyFill="1" applyAlignment="1">
      <alignment horizontal="center"/>
    </xf>
    <xf numFmtId="0" fontId="50" fillId="0" borderId="0" xfId="18" applyFont="1" applyFill="1" applyAlignment="1">
      <alignment horizontal="center"/>
    </xf>
    <xf numFmtId="0" fontId="35" fillId="0" borderId="0" xfId="20" applyFont="1" applyFill="1"/>
    <xf numFmtId="181" fontId="49" fillId="0" borderId="0" xfId="20" applyNumberFormat="1" applyFont="1" applyFill="1"/>
    <xf numFmtId="181" fontId="35" fillId="0" borderId="0" xfId="20" applyNumberFormat="1" applyFont="1" applyFill="1"/>
    <xf numFmtId="180" fontId="35" fillId="0" borderId="0" xfId="1" applyNumberFormat="1" applyFont="1" applyFill="1"/>
    <xf numFmtId="37" fontId="35" fillId="0" borderId="0" xfId="0" applyNumberFormat="1" applyFont="1" applyFill="1" applyAlignment="1">
      <alignment horizontal="center"/>
    </xf>
    <xf numFmtId="37" fontId="35" fillId="0" borderId="0" xfId="0" applyNumberFormat="1" applyFont="1" applyFill="1" applyBorder="1"/>
    <xf numFmtId="172" fontId="35" fillId="0" borderId="0" xfId="0" applyNumberFormat="1" applyFont="1" applyFill="1"/>
    <xf numFmtId="37" fontId="35" fillId="0" borderId="0" xfId="0" applyNumberFormat="1" applyFont="1" applyFill="1"/>
  </cellXfs>
  <cellStyles count="23">
    <cellStyle name="Comma" xfId="1" builtinId="3"/>
    <cellStyle name="Comma 2" xfId="22"/>
    <cellStyle name="Comma_swp02revcrsum" xfId="2"/>
    <cellStyle name="Currency" xfId="3" builtinId="4"/>
    <cellStyle name="Normal" xfId="0" builtinId="0"/>
    <cellStyle name="Normal 2" xfId="4"/>
    <cellStyle name="Normal 3" xfId="21"/>
    <cellStyle name="Normal_94WHFUEL" xfId="5"/>
    <cellStyle name="Normal_AD&amp;AE" xfId="6"/>
    <cellStyle name="Normal_ADITAnalysisID090805" xfId="7"/>
    <cellStyle name="Normal_AL_2003" xfId="8"/>
    <cellStyle name="Normal_AU Period 2 Rev 4-27-00" xfId="9"/>
    <cellStyle name="Normal_Depreciation Expense" xfId="10"/>
    <cellStyle name="Normal_EFFTAXRT" xfId="11"/>
    <cellStyle name="Normal_FN1 Ratebase Draft SPP template (6-11-04) v2" xfId="12"/>
    <cellStyle name="Normal_I&amp;M-AK-1" xfId="13"/>
    <cellStyle name="Normal_Other Taxes" xfId="14"/>
    <cellStyle name="Normal_PSTOCK" xfId="15"/>
    <cellStyle name="Normal_PURPWR" xfId="16"/>
    <cellStyle name="Normal_SALESRES_2" xfId="17"/>
    <cellStyle name="Normal_Sheet1" xfId="20"/>
    <cellStyle name="Normal_SWEPCO CWIP_2006" xfId="18"/>
    <cellStyle name="Percent" xfId="19" builtinId="5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2" defaultPivotStyle="PivotStyleLight16"/>
  <colors>
    <mruColors>
      <color rgb="FF99FF99"/>
      <color rgb="FFFF9933"/>
      <color rgb="FF33CC33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21</xdr:row>
      <xdr:rowOff>19050</xdr:rowOff>
    </xdr:from>
    <xdr:to>
      <xdr:col>3</xdr:col>
      <xdr:colOff>390525</xdr:colOff>
      <xdr:row>22</xdr:row>
      <xdr:rowOff>57150</xdr:rowOff>
    </xdr:to>
    <xdr:sp macro="" textlink="">
      <xdr:nvSpPr>
        <xdr:cNvPr id="26773" name="Text Box 1"/>
        <xdr:cNvSpPr txBox="1">
          <a:spLocks noChangeArrowheads="1"/>
        </xdr:cNvSpPr>
      </xdr:nvSpPr>
      <xdr:spPr bwMode="auto">
        <a:xfrm>
          <a:off x="2981325" y="342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imates\08%20Estimate\Monthly%20Energy%20True-Up\Monthly%20Fuel%20Update\SWEPCO%202008%20Whsl%20Fuel%20Upd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PCO-AF-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PCO-AG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Data"/>
      <sheetName val="Dec-08 Net for Load"/>
      <sheetName val="Nov-08 Net for Load"/>
      <sheetName val="Oct-08 Net for Load"/>
      <sheetName val="Sep-08 Net for Load"/>
      <sheetName val="Aug-08 Net for Load"/>
      <sheetName val="Jul-08 Net for Load"/>
      <sheetName val="Jun-08 Net for Load"/>
      <sheetName val="May-08 Net for Load"/>
      <sheetName val="Apr-08 Net for Load"/>
      <sheetName val="Mar-08 Net for Load"/>
      <sheetName val="Feb-08 Net for Load"/>
      <sheetName val="Jan-08 Net for Load"/>
      <sheetName val="2008 Acct 501_547 Pivot"/>
      <sheetName val="2008 Mine Closing"/>
      <sheetName val="2008 Acct 501_547 Detail"/>
      <sheetName val="2008 Acct 555 Pivot"/>
      <sheetName val="2008 Acct 555 Detail"/>
      <sheetName val="2008 Acct 447 Pivot"/>
      <sheetName val="2008 Acct 447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>
            <v>5010000</v>
          </cell>
          <cell r="B5">
            <v>511906.56800000014</v>
          </cell>
          <cell r="C5">
            <v>444275.12</v>
          </cell>
          <cell r="D5">
            <v>553868.43000000005</v>
          </cell>
          <cell r="E5">
            <v>405797.94700000022</v>
          </cell>
          <cell r="F5">
            <v>416486.99300000002</v>
          </cell>
          <cell r="G5">
            <v>262473.93</v>
          </cell>
          <cell r="H5">
            <v>316149.81</v>
          </cell>
          <cell r="I5">
            <v>425444.64</v>
          </cell>
          <cell r="J5">
            <v>332382.67</v>
          </cell>
          <cell r="K5">
            <v>382799.56</v>
          </cell>
          <cell r="L5">
            <v>331159.5</v>
          </cell>
          <cell r="M5">
            <v>268787.19</v>
          </cell>
        </row>
        <row r="6">
          <cell r="A6">
            <v>5010001</v>
          </cell>
          <cell r="B6">
            <v>25931814.23</v>
          </cell>
          <cell r="C6">
            <v>18907768.57</v>
          </cell>
          <cell r="D6">
            <v>19553396.489999995</v>
          </cell>
          <cell r="E6">
            <v>18618176.289999999</v>
          </cell>
          <cell r="F6">
            <v>24121867.93</v>
          </cell>
          <cell r="G6">
            <v>17674201.989999998</v>
          </cell>
          <cell r="H6">
            <v>26007034.659999996</v>
          </cell>
          <cell r="I6">
            <v>27618242.359999999</v>
          </cell>
          <cell r="J6">
            <v>25424722.75</v>
          </cell>
          <cell r="K6">
            <v>21149744.479999997</v>
          </cell>
          <cell r="L6">
            <v>18377639.619999997</v>
          </cell>
          <cell r="M6">
            <v>26864618.809999999</v>
          </cell>
        </row>
        <row r="7">
          <cell r="A7">
            <v>5010003</v>
          </cell>
          <cell r="B7">
            <v>439152.01</v>
          </cell>
          <cell r="C7">
            <v>416044.22</v>
          </cell>
          <cell r="D7">
            <v>352874.69</v>
          </cell>
          <cell r="E7">
            <v>450066.79</v>
          </cell>
          <cell r="F7">
            <v>533929.88</v>
          </cell>
          <cell r="G7">
            <v>430519.28</v>
          </cell>
          <cell r="H7">
            <v>516658.98</v>
          </cell>
          <cell r="I7">
            <v>593755.69999999995</v>
          </cell>
          <cell r="J7">
            <v>492324.68</v>
          </cell>
          <cell r="K7">
            <v>401818.14</v>
          </cell>
          <cell r="L7">
            <v>389322.91</v>
          </cell>
          <cell r="M7">
            <v>554200.68000000005</v>
          </cell>
        </row>
        <row r="8">
          <cell r="A8">
            <v>5010012</v>
          </cell>
          <cell r="B8">
            <v>-373112.47</v>
          </cell>
          <cell r="C8">
            <v>-18596.07</v>
          </cell>
          <cell r="D8">
            <v>-162530.63</v>
          </cell>
          <cell r="E8">
            <v>-379218.01400000002</v>
          </cell>
          <cell r="F8">
            <v>-204427.41200000001</v>
          </cell>
          <cell r="G8">
            <v>-284362.40900000004</v>
          </cell>
          <cell r="H8">
            <v>-221518.17</v>
          </cell>
          <cell r="I8">
            <v>14367.4</v>
          </cell>
          <cell r="J8">
            <v>-504357.37</v>
          </cell>
          <cell r="K8">
            <v>57840</v>
          </cell>
          <cell r="L8">
            <v>197177.58</v>
          </cell>
          <cell r="M8">
            <v>-338473.51</v>
          </cell>
        </row>
        <row r="9">
          <cell r="A9">
            <v>5010013</v>
          </cell>
          <cell r="B9">
            <v>204730.39</v>
          </cell>
          <cell r="C9">
            <v>204530.74</v>
          </cell>
          <cell r="D9">
            <v>254222.7</v>
          </cell>
          <cell r="E9">
            <v>125556.12</v>
          </cell>
          <cell r="F9">
            <v>-627083.37</v>
          </cell>
          <cell r="G9">
            <v>-897567.82</v>
          </cell>
          <cell r="H9">
            <v>-847079.74</v>
          </cell>
          <cell r="I9">
            <v>-887863.54</v>
          </cell>
          <cell r="J9">
            <v>-740506.81</v>
          </cell>
          <cell r="K9">
            <v>-840499.99</v>
          </cell>
          <cell r="L9">
            <v>-121138.45</v>
          </cell>
          <cell r="M9">
            <v>-32623.96</v>
          </cell>
        </row>
        <row r="10">
          <cell r="A10">
            <v>5010018</v>
          </cell>
          <cell r="B10">
            <v>12772937.289999999</v>
          </cell>
          <cell r="C10">
            <v>12828109.559999999</v>
          </cell>
          <cell r="D10">
            <v>6367225.3199999994</v>
          </cell>
          <cell r="E10">
            <v>7746232.6299999999</v>
          </cell>
          <cell r="F10">
            <v>11615398.789999999</v>
          </cell>
          <cell r="G10">
            <v>12301817.42</v>
          </cell>
          <cell r="H10">
            <v>13155284.02</v>
          </cell>
          <cell r="I10">
            <v>14612314.41</v>
          </cell>
          <cell r="J10">
            <v>13387699.789999999</v>
          </cell>
          <cell r="K10">
            <v>13765930.01</v>
          </cell>
          <cell r="L10">
            <v>17333854.32</v>
          </cell>
          <cell r="M10">
            <v>18319540.579999998</v>
          </cell>
        </row>
        <row r="11">
          <cell r="A11">
            <v>5010019</v>
          </cell>
          <cell r="B11">
            <v>186773.83</v>
          </cell>
          <cell r="C11">
            <v>194350.58</v>
          </cell>
          <cell r="D11">
            <v>89604.3</v>
          </cell>
          <cell r="E11">
            <v>432730.65</v>
          </cell>
          <cell r="F11">
            <v>209299.16</v>
          </cell>
          <cell r="G11">
            <v>68629.14</v>
          </cell>
          <cell r="H11">
            <v>439170.17</v>
          </cell>
          <cell r="I11">
            <v>18044.259999999998</v>
          </cell>
          <cell r="J11">
            <v>204846.31</v>
          </cell>
          <cell r="K11">
            <v>313943.19</v>
          </cell>
          <cell r="L11">
            <v>360967.54</v>
          </cell>
          <cell r="M11">
            <v>26704.97</v>
          </cell>
        </row>
        <row r="12">
          <cell r="A12">
            <v>5010020</v>
          </cell>
          <cell r="B12">
            <v>7683048.8900000006</v>
          </cell>
          <cell r="C12">
            <v>10022300.719999997</v>
          </cell>
          <cell r="D12">
            <v>11612389.029999999</v>
          </cell>
          <cell r="E12">
            <v>10926476.610000001</v>
          </cell>
          <cell r="F12">
            <v>19419290.540000003</v>
          </cell>
          <cell r="G12">
            <v>35174480.130000003</v>
          </cell>
          <cell r="H12">
            <v>37624393.310000002</v>
          </cell>
          <cell r="I12">
            <v>21596059.949999999</v>
          </cell>
          <cell r="J12">
            <v>7753298.21</v>
          </cell>
          <cell r="K12">
            <v>6900769.5099999998</v>
          </cell>
          <cell r="L12">
            <v>5923661.4100000001</v>
          </cell>
          <cell r="M12">
            <v>1906111.48</v>
          </cell>
        </row>
        <row r="13">
          <cell r="A13">
            <v>5470001</v>
          </cell>
          <cell r="B13">
            <v>397927</v>
          </cell>
          <cell r="C13">
            <v>1467132.18</v>
          </cell>
          <cell r="D13">
            <v>2184496.88</v>
          </cell>
          <cell r="E13">
            <v>429264.3</v>
          </cell>
          <cell r="F13">
            <v>1005336.28</v>
          </cell>
          <cell r="G13">
            <v>1471471.59</v>
          </cell>
          <cell r="H13">
            <v>1114165.04</v>
          </cell>
          <cell r="I13">
            <v>1167418.6200000001</v>
          </cell>
          <cell r="J13">
            <v>178592.79</v>
          </cell>
          <cell r="K13">
            <v>138406.99</v>
          </cell>
          <cell r="L13">
            <v>454056.74</v>
          </cell>
          <cell r="M13">
            <v>298846.42</v>
          </cell>
        </row>
      </sheetData>
      <sheetData sheetId="14"/>
      <sheetData sheetId="15"/>
      <sheetData sheetId="16">
        <row r="5">
          <cell r="A5">
            <v>5550001</v>
          </cell>
          <cell r="B5">
            <v>8926399.3700000029</v>
          </cell>
          <cell r="C5">
            <v>7381907.870000001</v>
          </cell>
          <cell r="D5">
            <v>14951569.649999995</v>
          </cell>
          <cell r="E5">
            <v>10241076.070000004</v>
          </cell>
          <cell r="F5">
            <v>6648869.2800000021</v>
          </cell>
          <cell r="G5">
            <v>25493561</v>
          </cell>
          <cell r="H5">
            <v>22674901.569999997</v>
          </cell>
          <cell r="I5">
            <v>11175036.680000002</v>
          </cell>
          <cell r="J5">
            <v>3432083.23</v>
          </cell>
          <cell r="K5">
            <v>4356151.58</v>
          </cell>
          <cell r="L5">
            <v>2429001.48</v>
          </cell>
          <cell r="M5">
            <v>4144627.2850000011</v>
          </cell>
        </row>
        <row r="6">
          <cell r="A6">
            <v>5550002</v>
          </cell>
          <cell r="B6">
            <v>2015399.6</v>
          </cell>
          <cell r="C6">
            <v>2057579.68</v>
          </cell>
          <cell r="D6">
            <v>3786176.36</v>
          </cell>
          <cell r="E6">
            <v>3540324.67</v>
          </cell>
          <cell r="F6">
            <v>3293017.43</v>
          </cell>
          <cell r="G6">
            <v>4717801.83</v>
          </cell>
          <cell r="H6">
            <v>3395431.13</v>
          </cell>
          <cell r="I6">
            <v>1464081.48</v>
          </cell>
          <cell r="J6">
            <v>427007.51</v>
          </cell>
          <cell r="K6">
            <v>241958.26</v>
          </cell>
          <cell r="L6">
            <v>15860.84</v>
          </cell>
          <cell r="M6">
            <v>378323.68</v>
          </cell>
        </row>
        <row r="7">
          <cell r="A7">
            <v>5550003</v>
          </cell>
          <cell r="B7">
            <v>48423.29</v>
          </cell>
          <cell r="C7">
            <v>110476.19</v>
          </cell>
          <cell r="D7">
            <v>110621.67</v>
          </cell>
          <cell r="E7">
            <v>144706.81</v>
          </cell>
          <cell r="F7">
            <v>132049.49</v>
          </cell>
          <cell r="G7">
            <v>144296.84</v>
          </cell>
          <cell r="I7">
            <v>301672.07</v>
          </cell>
          <cell r="J7">
            <v>145410.07</v>
          </cell>
          <cell r="K7">
            <v>141618.56</v>
          </cell>
          <cell r="L7">
            <v>121249.22</v>
          </cell>
          <cell r="M7">
            <v>175968.96</v>
          </cell>
        </row>
        <row r="8">
          <cell r="A8">
            <v>5550005</v>
          </cell>
          <cell r="B8">
            <v>2091721.08</v>
          </cell>
          <cell r="C8">
            <v>1505424.63</v>
          </cell>
          <cell r="D8">
            <v>8984084.1900000013</v>
          </cell>
          <cell r="E8">
            <v>8491641.7200000007</v>
          </cell>
          <cell r="F8">
            <v>7288073.71</v>
          </cell>
          <cell r="G8">
            <v>21705396.690000005</v>
          </cell>
          <cell r="H8">
            <v>15684225.630000001</v>
          </cell>
          <cell r="I8">
            <v>11757242.33</v>
          </cell>
          <cell r="J8">
            <v>3442228.16</v>
          </cell>
          <cell r="K8">
            <v>3911169.83</v>
          </cell>
          <cell r="L8">
            <v>5194820.17</v>
          </cell>
          <cell r="M8">
            <v>488564.97</v>
          </cell>
        </row>
        <row r="9">
          <cell r="A9">
            <v>5550023</v>
          </cell>
          <cell r="B9">
            <v>1097788.1499999999</v>
          </cell>
          <cell r="C9">
            <v>1233552.54</v>
          </cell>
          <cell r="D9">
            <v>1059775</v>
          </cell>
          <cell r="E9">
            <v>1059775</v>
          </cell>
          <cell r="F9">
            <v>1059775</v>
          </cell>
          <cell r="G9">
            <v>1053471.71</v>
          </cell>
          <cell r="H9">
            <v>1059775</v>
          </cell>
          <cell r="I9">
            <v>1059775</v>
          </cell>
          <cell r="J9">
            <v>1059775</v>
          </cell>
          <cell r="K9">
            <v>1059775</v>
          </cell>
          <cell r="L9">
            <v>1059775</v>
          </cell>
          <cell r="M9">
            <v>1059775</v>
          </cell>
        </row>
        <row r="10">
          <cell r="A10">
            <v>5550026</v>
          </cell>
          <cell r="B10">
            <v>67381.320000000007</v>
          </cell>
          <cell r="C10">
            <v>69955.53</v>
          </cell>
          <cell r="D10">
            <v>3774.29</v>
          </cell>
          <cell r="E10">
            <v>-0.2</v>
          </cell>
          <cell r="F10">
            <v>-0.2</v>
          </cell>
        </row>
        <row r="11">
          <cell r="A11">
            <v>5550029</v>
          </cell>
          <cell r="B11">
            <v>0</v>
          </cell>
          <cell r="C11">
            <v>-1.4901161193847656E-8</v>
          </cell>
          <cell r="D11">
            <v>0</v>
          </cell>
          <cell r="E11">
            <v>2.9802322387695313E-8</v>
          </cell>
          <cell r="F11">
            <v>0</v>
          </cell>
          <cell r="G11">
            <v>-5.9604644775390625E-8</v>
          </cell>
          <cell r="H11">
            <v>5.9604644775390625E-8</v>
          </cell>
          <cell r="I11">
            <v>5.9604644775390625E-8</v>
          </cell>
          <cell r="J11">
            <v>0</v>
          </cell>
          <cell r="K11">
            <v>0</v>
          </cell>
          <cell r="L11">
            <v>1.1920928955078125E-7</v>
          </cell>
          <cell r="M11">
            <v>-1.1920928955078125E-7</v>
          </cell>
        </row>
        <row r="12">
          <cell r="A12">
            <v>5550047</v>
          </cell>
          <cell r="B12">
            <v>243103.35999999999</v>
          </cell>
          <cell r="C12">
            <v>253411.06</v>
          </cell>
        </row>
        <row r="13">
          <cell r="A13">
            <v>5550053</v>
          </cell>
          <cell r="B13">
            <v>832.18</v>
          </cell>
          <cell r="C13">
            <v>6681.46</v>
          </cell>
          <cell r="D13">
            <v>28817.95</v>
          </cell>
          <cell r="E13">
            <v>25157.03</v>
          </cell>
          <cell r="F13">
            <v>1882.67</v>
          </cell>
          <cell r="G13">
            <v>1.1200000000000001</v>
          </cell>
          <cell r="H13">
            <v>1112.31</v>
          </cell>
          <cell r="I13">
            <v>170.07</v>
          </cell>
          <cell r="J13">
            <v>1495.33</v>
          </cell>
          <cell r="K13">
            <v>30.99</v>
          </cell>
          <cell r="L13">
            <v>71.650000000000006</v>
          </cell>
          <cell r="M13">
            <v>3176.38</v>
          </cell>
        </row>
        <row r="14">
          <cell r="A14">
            <v>5550054</v>
          </cell>
          <cell r="B14">
            <v>-1205.5999999999999</v>
          </cell>
          <cell r="C14">
            <v>4128.16</v>
          </cell>
          <cell r="D14">
            <v>26325.84</v>
          </cell>
          <cell r="E14">
            <v>13557.05</v>
          </cell>
          <cell r="F14">
            <v>4211.32</v>
          </cell>
          <cell r="G14">
            <v>16.22</v>
          </cell>
          <cell r="H14">
            <v>128.13999999999999</v>
          </cell>
          <cell r="I14">
            <v>10.96</v>
          </cell>
          <cell r="J14">
            <v>545.61</v>
          </cell>
          <cell r="K14">
            <v>29.15</v>
          </cell>
          <cell r="L14">
            <v>-18.93</v>
          </cell>
          <cell r="M14">
            <v>226.83</v>
          </cell>
        </row>
        <row r="15">
          <cell r="A15">
            <v>5550055</v>
          </cell>
          <cell r="B15">
            <v>-6285.5</v>
          </cell>
          <cell r="C15">
            <v>-407341.2</v>
          </cell>
          <cell r="D15">
            <v>-123169.92</v>
          </cell>
          <cell r="E15">
            <v>-118280.26</v>
          </cell>
          <cell r="F15">
            <v>-28125.34</v>
          </cell>
          <cell r="G15">
            <v>-14582.67</v>
          </cell>
          <cell r="H15">
            <v>-986.1</v>
          </cell>
          <cell r="I15">
            <v>930.53</v>
          </cell>
          <cell r="J15">
            <v>-16135.21</v>
          </cell>
          <cell r="K15">
            <v>8197.02</v>
          </cell>
          <cell r="L15">
            <v>-39290.32</v>
          </cell>
          <cell r="M15">
            <v>-15269.73</v>
          </cell>
        </row>
        <row r="16">
          <cell r="A16">
            <v>5550059</v>
          </cell>
          <cell r="B16">
            <v>16194.5</v>
          </cell>
          <cell r="C16">
            <v>5192.1400000000003</v>
          </cell>
          <cell r="D16">
            <v>1928.75</v>
          </cell>
          <cell r="E16">
            <v>586.09</v>
          </cell>
          <cell r="F16">
            <v>17714.48</v>
          </cell>
          <cell r="G16">
            <v>56672.65</v>
          </cell>
          <cell r="H16">
            <v>34004.75</v>
          </cell>
          <cell r="I16">
            <v>-3929.03</v>
          </cell>
          <cell r="J16">
            <v>53030.99</v>
          </cell>
          <cell r="K16">
            <v>38074.089999999997</v>
          </cell>
          <cell r="L16">
            <v>41627.11</v>
          </cell>
          <cell r="M16">
            <v>22978.69</v>
          </cell>
        </row>
        <row r="17">
          <cell r="A17">
            <v>5550064</v>
          </cell>
          <cell r="B17">
            <v>-1450915.2</v>
          </cell>
          <cell r="C17">
            <v>-3510.26</v>
          </cell>
          <cell r="D17">
            <v>-4562.01</v>
          </cell>
          <cell r="E17">
            <v>-3107.97</v>
          </cell>
          <cell r="F17">
            <v>0</v>
          </cell>
        </row>
        <row r="18">
          <cell r="A18">
            <v>5550065</v>
          </cell>
          <cell r="B18">
            <v>18632.91</v>
          </cell>
          <cell r="C18">
            <v>35374.65</v>
          </cell>
          <cell r="D18">
            <v>39947.199999999997</v>
          </cell>
          <cell r="E18">
            <v>233050.63</v>
          </cell>
          <cell r="F18">
            <v>-172394.11</v>
          </cell>
          <cell r="G18">
            <v>62501.7</v>
          </cell>
          <cell r="H18">
            <v>105261.49</v>
          </cell>
          <cell r="I18">
            <v>63159.63</v>
          </cell>
          <cell r="J18">
            <v>24592.9</v>
          </cell>
          <cell r="K18">
            <v>27154.82</v>
          </cell>
          <cell r="L18">
            <v>28442.65</v>
          </cell>
          <cell r="M18">
            <v>6264.62</v>
          </cell>
        </row>
        <row r="19">
          <cell r="A19">
            <v>5550066</v>
          </cell>
          <cell r="B19">
            <v>76487.17</v>
          </cell>
          <cell r="C19">
            <v>110987.83</v>
          </cell>
          <cell r="D19">
            <v>77257.240000000005</v>
          </cell>
          <cell r="E19">
            <v>77416.97</v>
          </cell>
          <cell r="F19">
            <v>203939.18</v>
          </cell>
          <cell r="G19">
            <v>391021.61</v>
          </cell>
          <cell r="H19">
            <v>821217.44</v>
          </cell>
          <cell r="I19">
            <v>319182</v>
          </cell>
          <cell r="J19">
            <v>275410.2</v>
          </cell>
          <cell r="K19">
            <v>287268.71999999997</v>
          </cell>
          <cell r="L19">
            <v>605933.87</v>
          </cell>
          <cell r="M19">
            <v>156156.92000000001</v>
          </cell>
        </row>
        <row r="20">
          <cell r="A20">
            <v>5550067</v>
          </cell>
          <cell r="B20">
            <v>472004.11</v>
          </cell>
          <cell r="C20">
            <v>344490.51</v>
          </cell>
          <cell r="D20">
            <v>428686.06</v>
          </cell>
          <cell r="E20">
            <v>400122.98</v>
          </cell>
          <cell r="F20">
            <v>964359.83</v>
          </cell>
          <cell r="G20">
            <v>670684.76</v>
          </cell>
          <cell r="H20">
            <v>1461428.01</v>
          </cell>
          <cell r="I20">
            <v>873353.61</v>
          </cell>
          <cell r="J20">
            <v>350407.57</v>
          </cell>
          <cell r="K20">
            <v>191073.46</v>
          </cell>
          <cell r="L20">
            <v>285537.43</v>
          </cell>
          <cell r="M20">
            <v>231017.1</v>
          </cell>
        </row>
        <row r="21">
          <cell r="A21">
            <v>5550068</v>
          </cell>
          <cell r="B21">
            <v>2075667.11</v>
          </cell>
          <cell r="C21">
            <v>1689224.91</v>
          </cell>
          <cell r="D21">
            <v>1249784.73</v>
          </cell>
          <cell r="E21">
            <v>752737.18</v>
          </cell>
          <cell r="F21">
            <v>1455840.58</v>
          </cell>
          <cell r="G21">
            <v>3405710.24</v>
          </cell>
          <cell r="H21">
            <v>2474139.5099999998</v>
          </cell>
          <cell r="I21">
            <v>1106421.75</v>
          </cell>
          <cell r="J21">
            <v>1595074.43</v>
          </cell>
          <cell r="K21">
            <v>847042.24</v>
          </cell>
          <cell r="L21">
            <v>857158.17</v>
          </cell>
          <cell r="M21">
            <v>1239079.1499999999</v>
          </cell>
        </row>
        <row r="22">
          <cell r="A22">
            <v>5550092</v>
          </cell>
          <cell r="F22">
            <v>2895120.23</v>
          </cell>
        </row>
      </sheetData>
      <sheetData sheetId="17"/>
      <sheetData sheetId="18">
        <row r="5">
          <cell r="A5">
            <v>4470001</v>
          </cell>
          <cell r="B5">
            <v>-1784895.4</v>
          </cell>
          <cell r="C5">
            <v>-1144017.3799999999</v>
          </cell>
          <cell r="D5">
            <v>-901932.2</v>
          </cell>
          <cell r="E5">
            <v>-1648940.29</v>
          </cell>
          <cell r="F5">
            <v>-3987956.27</v>
          </cell>
          <cell r="G5">
            <v>-794104.27</v>
          </cell>
          <cell r="H5">
            <v>-2034361.22</v>
          </cell>
          <cell r="I5">
            <v>-996477.72</v>
          </cell>
          <cell r="J5">
            <v>-826751.8</v>
          </cell>
          <cell r="K5">
            <v>-316378.63</v>
          </cell>
          <cell r="L5">
            <v>-305306.93</v>
          </cell>
          <cell r="M5">
            <v>-638104.12</v>
          </cell>
        </row>
        <row r="6">
          <cell r="A6">
            <v>4470002</v>
          </cell>
          <cell r="B6">
            <v>-522679.73</v>
          </cell>
          <cell r="C6">
            <v>-295268.39</v>
          </cell>
          <cell r="D6">
            <v>-286840.78999999998</v>
          </cell>
          <cell r="E6">
            <v>-490213.54</v>
          </cell>
          <cell r="F6">
            <v>-941728.06</v>
          </cell>
          <cell r="G6">
            <v>-2339408.92</v>
          </cell>
          <cell r="H6">
            <v>-1353162.87</v>
          </cell>
          <cell r="I6">
            <v>-2109928.9300000002</v>
          </cell>
          <cell r="J6">
            <v>-625961.6</v>
          </cell>
          <cell r="K6">
            <v>-1547419.95</v>
          </cell>
          <cell r="L6">
            <v>-1405201.03</v>
          </cell>
          <cell r="M6">
            <v>-1876429.71</v>
          </cell>
        </row>
        <row r="7">
          <cell r="A7">
            <v>4470006</v>
          </cell>
          <cell r="B7">
            <v>-61445616.419999994</v>
          </cell>
          <cell r="C7">
            <v>-51808460.100000001</v>
          </cell>
          <cell r="D7">
            <v>-48603021.960000001</v>
          </cell>
          <cell r="E7">
            <v>-48918765.100000001</v>
          </cell>
          <cell r="F7">
            <v>-47336464.840000004</v>
          </cell>
          <cell r="G7">
            <v>-44467654.470000006</v>
          </cell>
          <cell r="H7">
            <v>-63470873.560000002</v>
          </cell>
          <cell r="I7">
            <v>-60856509.069999993</v>
          </cell>
          <cell r="J7">
            <v>-49326173.340000004</v>
          </cell>
          <cell r="K7">
            <v>-55422629.149999991</v>
          </cell>
          <cell r="L7">
            <v>-44773425.050000004</v>
          </cell>
          <cell r="M7">
            <v>-49478065.600000009</v>
          </cell>
        </row>
        <row r="8">
          <cell r="A8">
            <v>4470010</v>
          </cell>
          <cell r="B8">
            <v>62338002.909999996</v>
          </cell>
          <cell r="C8">
            <v>52993829.449999996</v>
          </cell>
          <cell r="D8">
            <v>49422333.449999996</v>
          </cell>
          <cell r="E8">
            <v>49797625.659999996</v>
          </cell>
          <cell r="F8">
            <v>47884574.299999997</v>
          </cell>
          <cell r="G8">
            <v>45120951.730000004</v>
          </cell>
          <cell r="H8">
            <v>61794110.860000007</v>
          </cell>
          <cell r="I8">
            <v>59725419.5</v>
          </cell>
          <cell r="J8">
            <v>49807205.829999991</v>
          </cell>
          <cell r="K8">
            <v>56128438.81000001</v>
          </cell>
          <cell r="L8">
            <v>45227069.520000003</v>
          </cell>
          <cell r="M8">
            <v>50252524.879999995</v>
          </cell>
        </row>
        <row r="9">
          <cell r="A9">
            <v>4470011</v>
          </cell>
          <cell r="B9">
            <v>148970.51999999999</v>
          </cell>
          <cell r="C9">
            <v>139359.51999999999</v>
          </cell>
          <cell r="D9">
            <v>148970.51999999999</v>
          </cell>
          <cell r="E9">
            <v>144165.01999999999</v>
          </cell>
          <cell r="F9">
            <v>148970.51999999999</v>
          </cell>
        </row>
        <row r="10">
          <cell r="A10">
            <v>4470027</v>
          </cell>
          <cell r="B10">
            <v>-13414361.560000001</v>
          </cell>
          <cell r="C10">
            <v>-11988031.650000002</v>
          </cell>
          <cell r="D10">
            <v>-12253370.869999999</v>
          </cell>
          <cell r="E10">
            <v>-8433415.0199999996</v>
          </cell>
          <cell r="F10">
            <v>-10404898.810000001</v>
          </cell>
          <cell r="G10">
            <v>-17096486.970000006</v>
          </cell>
          <cell r="H10">
            <v>-27190362.550000001</v>
          </cell>
          <cell r="I10">
            <v>-20795105.93</v>
          </cell>
          <cell r="J10">
            <v>-10386854.76</v>
          </cell>
          <cell r="K10">
            <v>-7506721.1800000006</v>
          </cell>
          <cell r="L10">
            <v>-8725612.8499999978</v>
          </cell>
          <cell r="M10">
            <v>-14577331.640000001</v>
          </cell>
        </row>
        <row r="11">
          <cell r="A11">
            <v>4470028</v>
          </cell>
          <cell r="B11">
            <v>-4494.4900000001944</v>
          </cell>
          <cell r="C11">
            <v>-141152.84</v>
          </cell>
          <cell r="D11">
            <v>-28951.939999999708</v>
          </cell>
          <cell r="E11">
            <v>-355550.15</v>
          </cell>
          <cell r="F11">
            <v>-1083932.54</v>
          </cell>
          <cell r="G11">
            <v>-1941563.07</v>
          </cell>
          <cell r="H11">
            <v>-3001826.7</v>
          </cell>
          <cell r="I11">
            <v>53157.430000000153</v>
          </cell>
          <cell r="J11">
            <v>-699944.14</v>
          </cell>
          <cell r="K11">
            <v>-860088.39</v>
          </cell>
          <cell r="L11">
            <v>-1484461.1</v>
          </cell>
          <cell r="M11">
            <v>1111410.93</v>
          </cell>
        </row>
        <row r="12">
          <cell r="A12">
            <v>4470030</v>
          </cell>
          <cell r="B12">
            <v>-13576.57</v>
          </cell>
          <cell r="C12">
            <v>-3263.85</v>
          </cell>
          <cell r="D12">
            <v>-13425.07</v>
          </cell>
          <cell r="F12">
            <v>0.25</v>
          </cell>
          <cell r="G12">
            <v>0.01</v>
          </cell>
          <cell r="I12">
            <v>-10.37</v>
          </cell>
          <cell r="K12">
            <v>-0.38</v>
          </cell>
          <cell r="M12">
            <v>-30.75</v>
          </cell>
        </row>
        <row r="13">
          <cell r="A13">
            <v>4470033</v>
          </cell>
          <cell r="B13">
            <v>-4872016.38</v>
          </cell>
          <cell r="C13">
            <v>-4571585</v>
          </cell>
          <cell r="D13">
            <v>-5400207.0399999935</v>
          </cell>
          <cell r="E13">
            <v>-4635522.88</v>
          </cell>
          <cell r="F13">
            <v>-5229133.8099999996</v>
          </cell>
          <cell r="G13">
            <v>-5065601.8</v>
          </cell>
          <cell r="H13">
            <v>-5005711.8499999996</v>
          </cell>
          <cell r="I13">
            <v>-4729686.75</v>
          </cell>
          <cell r="J13">
            <v>-4342403.41</v>
          </cell>
          <cell r="K13">
            <v>-4742586.91</v>
          </cell>
          <cell r="L13">
            <v>-4828010.04</v>
          </cell>
          <cell r="M13">
            <v>-5707133.4599999962</v>
          </cell>
        </row>
        <row r="14">
          <cell r="A14">
            <v>4470035</v>
          </cell>
          <cell r="B14">
            <v>-2267285.5699999998</v>
          </cell>
          <cell r="C14">
            <v>-3499050.87</v>
          </cell>
          <cell r="D14">
            <v>-961850.74</v>
          </cell>
          <cell r="E14">
            <v>-1284956.05</v>
          </cell>
          <cell r="F14">
            <v>-2894763.8</v>
          </cell>
          <cell r="G14">
            <v>-684885.31</v>
          </cell>
          <cell r="H14">
            <v>-2356035.79</v>
          </cell>
          <cell r="I14">
            <v>-1259834.29</v>
          </cell>
          <cell r="J14">
            <v>-1628807.98</v>
          </cell>
          <cell r="K14">
            <v>-1107152.55</v>
          </cell>
          <cell r="L14">
            <v>-1195563.4099999999</v>
          </cell>
          <cell r="M14">
            <v>-2411598.56</v>
          </cell>
        </row>
        <row r="15">
          <cell r="A15">
            <v>4470036</v>
          </cell>
          <cell r="B15">
            <v>-310499.83</v>
          </cell>
          <cell r="C15">
            <v>-310141.40000000002</v>
          </cell>
          <cell r="D15">
            <v>1837.43</v>
          </cell>
          <cell r="E15">
            <v>0.16</v>
          </cell>
          <cell r="F15">
            <v>0.21</v>
          </cell>
        </row>
        <row r="16">
          <cell r="A16">
            <v>4470074</v>
          </cell>
          <cell r="B16">
            <v>-7.4505805969238281E-9</v>
          </cell>
          <cell r="C16">
            <v>2.9802322387695313E-8</v>
          </cell>
          <cell r="D16">
            <v>-7.4505805969238281E-9</v>
          </cell>
          <cell r="E16">
            <v>-1.4901161193847656E-8</v>
          </cell>
          <cell r="F16">
            <v>-1.4901161193847656E-8</v>
          </cell>
          <cell r="G16">
            <v>-8.9406967163085938E-8</v>
          </cell>
          <cell r="H16">
            <v>2.9802322387695313E-8</v>
          </cell>
          <cell r="I16">
            <v>5.9604644775390625E-8</v>
          </cell>
          <cell r="J16">
            <v>2.9802322387695313E-8</v>
          </cell>
          <cell r="K16">
            <v>1.7881393432617188E-7</v>
          </cell>
          <cell r="L16">
            <v>-1.1920928955078125E-7</v>
          </cell>
          <cell r="M16">
            <v>2.384185791015625E-7</v>
          </cell>
        </row>
        <row r="17">
          <cell r="A17">
            <v>4470081</v>
          </cell>
          <cell r="B17">
            <v>-1550882.36</v>
          </cell>
          <cell r="C17">
            <v>374748.15999999997</v>
          </cell>
          <cell r="D17">
            <v>-63534.02</v>
          </cell>
          <cell r="E17">
            <v>1002879.36</v>
          </cell>
          <cell r="F17">
            <v>-1426119.47</v>
          </cell>
          <cell r="G17">
            <v>-2783967.07</v>
          </cell>
          <cell r="H17">
            <v>-1255820.53</v>
          </cell>
          <cell r="I17">
            <v>-365640.7</v>
          </cell>
          <cell r="J17">
            <v>-422699.88</v>
          </cell>
          <cell r="K17">
            <v>-70648.73</v>
          </cell>
          <cell r="L17">
            <v>108398.35</v>
          </cell>
          <cell r="M17">
            <v>-642797.85</v>
          </cell>
        </row>
        <row r="18">
          <cell r="A18">
            <v>4470133</v>
          </cell>
          <cell r="B18">
            <v>70022.720000000001</v>
          </cell>
          <cell r="C18">
            <v>-1235.33</v>
          </cell>
          <cell r="D18">
            <v>135935.45000000001</v>
          </cell>
          <cell r="E18">
            <v>88937.53</v>
          </cell>
          <cell r="F18">
            <v>178345.84</v>
          </cell>
          <cell r="G18">
            <v>-7892.29</v>
          </cell>
          <cell r="H18">
            <v>-55670.74</v>
          </cell>
          <cell r="I18">
            <v>1096.67</v>
          </cell>
          <cell r="J18">
            <v>49429.79</v>
          </cell>
          <cell r="K18">
            <v>87603.35</v>
          </cell>
          <cell r="L18">
            <v>65293.72</v>
          </cell>
          <cell r="M18">
            <v>74360.850000000006</v>
          </cell>
        </row>
        <row r="19">
          <cell r="A19">
            <v>4470135</v>
          </cell>
          <cell r="B19">
            <v>-1120605.92</v>
          </cell>
          <cell r="C19">
            <v>-921914.9</v>
          </cell>
          <cell r="D19">
            <v>-1625798.25</v>
          </cell>
          <cell r="E19">
            <v>-1664529</v>
          </cell>
          <cell r="F19">
            <v>-2176145.2599999998</v>
          </cell>
          <cell r="G19">
            <v>-1739141.64</v>
          </cell>
          <cell r="H19">
            <v>-1734431.09</v>
          </cell>
          <cell r="I19">
            <v>-1780652.36</v>
          </cell>
          <cell r="J19">
            <v>-1048891.25</v>
          </cell>
          <cell r="K19">
            <v>-826520.21</v>
          </cell>
          <cell r="L19">
            <v>-792332.41</v>
          </cell>
          <cell r="M19">
            <v>-626419.47</v>
          </cell>
        </row>
        <row r="20">
          <cell r="A20">
            <v>4470136</v>
          </cell>
          <cell r="B20">
            <v>-312909.28999999998</v>
          </cell>
          <cell r="C20">
            <v>-235525.55</v>
          </cell>
          <cell r="D20">
            <v>-591188.54</v>
          </cell>
          <cell r="E20">
            <v>-776769.53</v>
          </cell>
          <cell r="F20">
            <v>-534628.64</v>
          </cell>
          <cell r="G20">
            <v>-552225.07999999996</v>
          </cell>
          <cell r="H20">
            <v>-361090.41</v>
          </cell>
          <cell r="I20">
            <v>-460328.06</v>
          </cell>
          <cell r="J20">
            <v>-196062.04</v>
          </cell>
          <cell r="K20">
            <v>-168414.19</v>
          </cell>
          <cell r="L20">
            <v>-109993.86</v>
          </cell>
          <cell r="M20">
            <v>-174188.93</v>
          </cell>
        </row>
        <row r="21">
          <cell r="A21">
            <v>4470139</v>
          </cell>
          <cell r="B21">
            <v>691086.76</v>
          </cell>
          <cell r="C21">
            <v>1432.03</v>
          </cell>
          <cell r="D21">
            <v>374.45</v>
          </cell>
          <cell r="E21">
            <v>1129.55</v>
          </cell>
        </row>
        <row r="22">
          <cell r="A22">
            <v>4470142</v>
          </cell>
          <cell r="B22">
            <v>108133.49</v>
          </cell>
          <cell r="C22">
            <v>-244226.98</v>
          </cell>
          <cell r="D22">
            <v>-298759.83</v>
          </cell>
          <cell r="E22">
            <v>-358710.8</v>
          </cell>
          <cell r="F22">
            <v>-440974.38</v>
          </cell>
          <cell r="G22">
            <v>-456344.81</v>
          </cell>
          <cell r="H22">
            <v>-262913.95</v>
          </cell>
          <cell r="I22">
            <v>-154658.60999999999</v>
          </cell>
          <cell r="J22">
            <v>-51569.32</v>
          </cell>
          <cell r="K22">
            <v>-281822.09000000003</v>
          </cell>
          <cell r="L22">
            <v>20061.560000000001</v>
          </cell>
          <cell r="M22">
            <v>-81269.47</v>
          </cell>
        </row>
        <row r="23">
          <cell r="A23">
            <v>4470144</v>
          </cell>
          <cell r="B23">
            <v>-178</v>
          </cell>
          <cell r="C23">
            <v>7399</v>
          </cell>
          <cell r="D23">
            <v>-10595</v>
          </cell>
          <cell r="E23">
            <v>2160</v>
          </cell>
          <cell r="F23">
            <v>-9158</v>
          </cell>
          <cell r="G23">
            <v>21926</v>
          </cell>
          <cell r="H23">
            <v>46656</v>
          </cell>
          <cell r="I23">
            <v>-25903</v>
          </cell>
          <cell r="J23">
            <v>50071</v>
          </cell>
          <cell r="K23">
            <v>43237</v>
          </cell>
          <cell r="L23">
            <v>-46309</v>
          </cell>
          <cell r="M23">
            <v>-3072</v>
          </cell>
        </row>
        <row r="24">
          <cell r="A24">
            <v>4470146</v>
          </cell>
          <cell r="B24">
            <v>59221630.829999998</v>
          </cell>
          <cell r="C24">
            <v>63719873.100000001</v>
          </cell>
          <cell r="D24">
            <v>57356837.709999993</v>
          </cell>
          <cell r="E24">
            <v>55417089.780000001</v>
          </cell>
          <cell r="F24">
            <v>62003165.07</v>
          </cell>
          <cell r="G24">
            <v>49375134.730000004</v>
          </cell>
          <cell r="H24">
            <v>50263127.299999997</v>
          </cell>
          <cell r="I24">
            <v>48230302.770000003</v>
          </cell>
          <cell r="J24">
            <v>44026887.759999998</v>
          </cell>
          <cell r="K24">
            <v>44577780.710000001</v>
          </cell>
          <cell r="L24">
            <v>42828750.510000005</v>
          </cell>
          <cell r="M24">
            <v>46292674.150000006</v>
          </cell>
        </row>
        <row r="25">
          <cell r="A25">
            <v>4470147</v>
          </cell>
          <cell r="B25">
            <v>1068222.78</v>
          </cell>
          <cell r="C25">
            <v>1068222.78</v>
          </cell>
          <cell r="D25">
            <v>1068222.78</v>
          </cell>
          <cell r="E25">
            <v>1068222.78</v>
          </cell>
          <cell r="F25">
            <v>1068222.78</v>
          </cell>
        </row>
        <row r="26">
          <cell r="A26">
            <v>4470148</v>
          </cell>
          <cell r="B26">
            <v>-48975332.490000002</v>
          </cell>
          <cell r="C26">
            <v>-41574071.030000001</v>
          </cell>
          <cell r="D26">
            <v>-46305532.169999994</v>
          </cell>
          <cell r="E26">
            <v>-43440318.210000001</v>
          </cell>
          <cell r="F26">
            <v>-43025632.049999997</v>
          </cell>
          <cell r="G26">
            <v>-49555056.899999999</v>
          </cell>
          <cell r="H26">
            <v>-52302141.490000002</v>
          </cell>
          <cell r="I26">
            <v>-49907861.439999998</v>
          </cell>
          <cell r="J26">
            <v>-40401466.840000004</v>
          </cell>
          <cell r="K26">
            <v>-43463736.510000005</v>
          </cell>
          <cell r="L26">
            <v>-38512685.700000003</v>
          </cell>
          <cell r="M26">
            <v>-42674504.020000003</v>
          </cell>
        </row>
        <row r="27">
          <cell r="A27">
            <v>4470150</v>
          </cell>
          <cell r="B27">
            <v>-197585.73</v>
          </cell>
          <cell r="C27">
            <v>-197585.73</v>
          </cell>
          <cell r="D27">
            <v>-197585.73</v>
          </cell>
          <cell r="E27">
            <v>-197585.73</v>
          </cell>
          <cell r="F27">
            <v>-197585.73</v>
          </cell>
          <cell r="G27">
            <v>-197585.73</v>
          </cell>
          <cell r="H27">
            <v>-197585.73</v>
          </cell>
          <cell r="I27">
            <v>-197585.73</v>
          </cell>
          <cell r="J27">
            <v>-197585.73</v>
          </cell>
          <cell r="K27">
            <v>-176905.89</v>
          </cell>
          <cell r="L27">
            <v>-6905.890000000014</v>
          </cell>
          <cell r="M27">
            <v>-176905.89</v>
          </cell>
        </row>
        <row r="28">
          <cell r="A28">
            <v>4470152</v>
          </cell>
          <cell r="B28">
            <v>1600015.84</v>
          </cell>
          <cell r="C28">
            <v>611477.25</v>
          </cell>
          <cell r="D28">
            <v>-219704.59</v>
          </cell>
          <cell r="E28">
            <v>-2214690.81</v>
          </cell>
          <cell r="F28">
            <v>-774582.33</v>
          </cell>
          <cell r="G28">
            <v>2210467.59</v>
          </cell>
          <cell r="H28">
            <v>629763.59</v>
          </cell>
          <cell r="I28">
            <v>-37588.97</v>
          </cell>
          <cell r="J28">
            <v>4570.2</v>
          </cell>
          <cell r="K28">
            <v>-292908.76</v>
          </cell>
          <cell r="L28">
            <v>-299274.46000000002</v>
          </cell>
          <cell r="M28">
            <v>561678.97</v>
          </cell>
        </row>
        <row r="29">
          <cell r="A29">
            <v>4470154</v>
          </cell>
          <cell r="B29">
            <v>-13960567.52</v>
          </cell>
          <cell r="C29">
            <v>-24488563.93</v>
          </cell>
          <cell r="D29">
            <v>-13877012.960000001</v>
          </cell>
          <cell r="E29">
            <v>-14530683.369999997</v>
          </cell>
          <cell r="F29">
            <v>-20154026.289999999</v>
          </cell>
          <cell r="G29">
            <v>-257515.32</v>
          </cell>
          <cell r="H29">
            <v>2879913.36</v>
          </cell>
          <cell r="I29">
            <v>1882813.61</v>
          </cell>
          <cell r="J29">
            <v>-3601019.85</v>
          </cell>
          <cell r="K29">
            <v>-1388720.54</v>
          </cell>
          <cell r="L29">
            <v>-4172785.39</v>
          </cell>
          <cell r="M29">
            <v>-3799386.93</v>
          </cell>
        </row>
        <row r="30">
          <cell r="A30">
            <v>4470155</v>
          </cell>
          <cell r="B30">
            <v>72649.391999999993</v>
          </cell>
          <cell r="C30">
            <v>121516.14299999998</v>
          </cell>
          <cell r="D30">
            <v>35344.521000000008</v>
          </cell>
          <cell r="E30">
            <v>66129.7</v>
          </cell>
          <cell r="F30">
            <v>160329.14200000005</v>
          </cell>
          <cell r="G30">
            <v>236601.38100000002</v>
          </cell>
          <cell r="H30">
            <v>232685.44099999996</v>
          </cell>
          <cell r="I30">
            <v>146811</v>
          </cell>
          <cell r="J30">
            <v>223132.4</v>
          </cell>
          <cell r="K30">
            <v>306190.82</v>
          </cell>
          <cell r="L30">
            <v>77076.88</v>
          </cell>
          <cell r="M30">
            <v>-2455.42</v>
          </cell>
        </row>
        <row r="31">
          <cell r="A31">
            <v>4470156</v>
          </cell>
          <cell r="B31">
            <v>-72649.391999999993</v>
          </cell>
          <cell r="C31">
            <v>-121516.14299999998</v>
          </cell>
          <cell r="D31">
            <v>-35344.521000000008</v>
          </cell>
          <cell r="E31">
            <v>-66129.7</v>
          </cell>
          <cell r="F31">
            <v>-160329.14200000005</v>
          </cell>
          <cell r="G31">
            <v>-236601.38100000002</v>
          </cell>
          <cell r="H31">
            <v>-232685.44099999996</v>
          </cell>
          <cell r="I31">
            <v>-146811</v>
          </cell>
          <cell r="J31">
            <v>-223132.4</v>
          </cell>
          <cell r="K31">
            <v>-306190.82</v>
          </cell>
          <cell r="L31">
            <v>-77076.88</v>
          </cell>
          <cell r="M31">
            <v>2455.42</v>
          </cell>
        </row>
        <row r="32">
          <cell r="A32">
            <v>4470157</v>
          </cell>
          <cell r="B32">
            <v>-11908511.130000001</v>
          </cell>
          <cell r="C32">
            <v>-23250173.190000001</v>
          </cell>
          <cell r="D32">
            <v>-13446898.42</v>
          </cell>
          <cell r="E32">
            <v>-15058943.4</v>
          </cell>
          <cell r="F32">
            <v>-20276109.82</v>
          </cell>
          <cell r="G32">
            <v>1949296.25</v>
          </cell>
          <cell r="H32">
            <v>3300005.82</v>
          </cell>
          <cell r="I32">
            <v>1621950.61</v>
          </cell>
          <cell r="J32">
            <v>-3581414.61</v>
          </cell>
          <cell r="K32">
            <v>-1598628.95</v>
          </cell>
          <cell r="L32">
            <v>-4327677.9000000004</v>
          </cell>
          <cell r="M32">
            <v>-3048415.44</v>
          </cell>
        </row>
        <row r="33">
          <cell r="A33">
            <v>4470158</v>
          </cell>
          <cell r="B33">
            <v>11908511.130000001</v>
          </cell>
          <cell r="C33">
            <v>23250173.190000001</v>
          </cell>
          <cell r="D33">
            <v>13446898.42</v>
          </cell>
          <cell r="E33">
            <v>15058943.4</v>
          </cell>
          <cell r="F33">
            <v>20276109.82</v>
          </cell>
          <cell r="G33">
            <v>-1949296.25</v>
          </cell>
          <cell r="H33">
            <v>-3300005.82</v>
          </cell>
          <cell r="I33">
            <v>-1621950.61</v>
          </cell>
          <cell r="J33">
            <v>3581414.61</v>
          </cell>
          <cell r="K33">
            <v>1598628.95</v>
          </cell>
          <cell r="L33">
            <v>4327677.9000000004</v>
          </cell>
          <cell r="M33">
            <v>3048415.44</v>
          </cell>
        </row>
        <row r="34">
          <cell r="A34">
            <v>4470168</v>
          </cell>
          <cell r="C34">
            <v>-332.49</v>
          </cell>
          <cell r="D34">
            <v>-105.38</v>
          </cell>
          <cell r="E34">
            <v>-37.85</v>
          </cell>
          <cell r="F34">
            <v>110.75</v>
          </cell>
          <cell r="G34">
            <v>130.68</v>
          </cell>
          <cell r="H34">
            <v>150.36000000000001</v>
          </cell>
          <cell r="I34">
            <v>144.47</v>
          </cell>
          <cell r="J34">
            <v>126.59</v>
          </cell>
          <cell r="K34">
            <v>-6107.7</v>
          </cell>
          <cell r="L34">
            <v>846.73</v>
          </cell>
          <cell r="M34">
            <v>1083.1500000000001</v>
          </cell>
        </row>
      </sheetData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AF"/>
      <sheetName val="APCO_2821001"/>
      <sheetName val="APCO_2831001"/>
      <sheetName val="Table"/>
    </sheetNames>
    <sheetDataSet>
      <sheetData sheetId="0" refreshError="1"/>
      <sheetData sheetId="1">
        <row r="3">
          <cell r="A3" t="str">
            <v>BOOK VS. TAX DEPRECIATION</v>
          </cell>
          <cell r="L3">
            <v>-46443.22</v>
          </cell>
        </row>
        <row r="4">
          <cell r="A4" t="str">
            <v>BOOK VS. TAX DEPRECIATION</v>
          </cell>
          <cell r="L4">
            <v>-9878</v>
          </cell>
        </row>
        <row r="5">
          <cell r="A5" t="str">
            <v>BOOK VS. TAX DEPRECIATION</v>
          </cell>
          <cell r="L5">
            <v>-11825.64</v>
          </cell>
        </row>
        <row r="6">
          <cell r="A6" t="str">
            <v>BOOK VS. TAX DEPRECIATION</v>
          </cell>
          <cell r="L6">
            <v>-2133</v>
          </cell>
        </row>
        <row r="7">
          <cell r="A7" t="str">
            <v>BOOK VS. TAX DEPRECIATION</v>
          </cell>
          <cell r="L7">
            <v>-403784972.30000001</v>
          </cell>
        </row>
        <row r="8">
          <cell r="A8" t="str">
            <v>BOOK VS. TAX DEPRECIATION</v>
          </cell>
          <cell r="L8">
            <v>-1641</v>
          </cell>
        </row>
        <row r="9">
          <cell r="A9" t="str">
            <v>BOOK VS. TAX DEPRECIATION</v>
          </cell>
          <cell r="L9">
            <v>-835189.1</v>
          </cell>
        </row>
        <row r="10">
          <cell r="A10" t="str">
            <v>BOOK VS. TAX DEPRECIATION</v>
          </cell>
          <cell r="L10">
            <v>-83031394.650000006</v>
          </cell>
        </row>
        <row r="11">
          <cell r="A11" t="str">
            <v>CAPD INTEREST - SECTION 481(a) - CHANGE IN METHD</v>
          </cell>
          <cell r="L11">
            <v>-299524.05</v>
          </cell>
        </row>
        <row r="12">
          <cell r="A12" t="str">
            <v>RELOCATION COST - SECTION 481(a) - CHANGE IN METH</v>
          </cell>
          <cell r="L12">
            <v>-219826.25</v>
          </cell>
        </row>
        <row r="13">
          <cell r="A13" t="str">
            <v>R &amp; D DEDUCTION - SECTION 174</v>
          </cell>
          <cell r="L13">
            <v>-336723.8</v>
          </cell>
        </row>
        <row r="14">
          <cell r="A14" t="str">
            <v>BK PLANT IN SERVICE-SFAS 143-ARO</v>
          </cell>
          <cell r="L14">
            <v>-239574.22</v>
          </cell>
        </row>
        <row r="15">
          <cell r="A15" t="str">
            <v>GAIN/LOSS ON ACRS/MACRS PROPERTY</v>
          </cell>
          <cell r="L15">
            <v>-78895568.849999994</v>
          </cell>
        </row>
        <row r="16">
          <cell r="A16" t="str">
            <v>GAIN/LOSS ON ACRS/MACRS PROPERTY</v>
          </cell>
          <cell r="L16">
            <v>22827554</v>
          </cell>
        </row>
        <row r="17">
          <cell r="A17" t="str">
            <v>ABFUDC</v>
          </cell>
          <cell r="L17">
            <v>-99877</v>
          </cell>
        </row>
        <row r="18">
          <cell r="A18" t="str">
            <v>ABFUDC</v>
          </cell>
          <cell r="L18">
            <v>99392</v>
          </cell>
        </row>
        <row r="19">
          <cell r="A19" t="str">
            <v>ABFUDC - GENERAL</v>
          </cell>
          <cell r="L19">
            <v>-40261</v>
          </cell>
        </row>
        <row r="20">
          <cell r="A20" t="str">
            <v>ABFUDC - GENERAL</v>
          </cell>
          <cell r="L20">
            <v>29121</v>
          </cell>
        </row>
        <row r="21">
          <cell r="A21" t="str">
            <v>ABFUDC - DISTRIBUTION</v>
          </cell>
          <cell r="L21">
            <v>-5432.61</v>
          </cell>
        </row>
        <row r="22">
          <cell r="A22" t="str">
            <v>ABFUDC - DISTRIBUTION</v>
          </cell>
          <cell r="L22">
            <v>1797</v>
          </cell>
        </row>
        <row r="23">
          <cell r="A23" t="str">
            <v>TAXES CAPITALIZED</v>
          </cell>
          <cell r="L23">
            <v>-1054778</v>
          </cell>
        </row>
        <row r="24">
          <cell r="A24" t="str">
            <v>TAXES CAPITALIZED</v>
          </cell>
          <cell r="L24">
            <v>1052863</v>
          </cell>
        </row>
        <row r="25">
          <cell r="A25" t="str">
            <v>PENSIONS CAPITALIZED</v>
          </cell>
          <cell r="L25">
            <v>-459159</v>
          </cell>
        </row>
        <row r="26">
          <cell r="A26" t="str">
            <v>PENSIONS CAPITALIZED</v>
          </cell>
          <cell r="L26">
            <v>459304</v>
          </cell>
        </row>
        <row r="27">
          <cell r="A27" t="str">
            <v>SEC 481 PENS/OPEB ADJUSTMENT</v>
          </cell>
          <cell r="L27">
            <v>2238.35</v>
          </cell>
        </row>
        <row r="28">
          <cell r="A28" t="str">
            <v>SAVINGS PLAN CAPITALIZED</v>
          </cell>
          <cell r="L28">
            <v>-246227</v>
          </cell>
        </row>
        <row r="29">
          <cell r="A29" t="str">
            <v>SAVINGS PLAN CAPITALIZED</v>
          </cell>
          <cell r="L29">
            <v>245703</v>
          </cell>
        </row>
        <row r="30">
          <cell r="A30" t="str">
            <v>PERCENT REPAIR ALLOWANCE</v>
          </cell>
          <cell r="L30">
            <v>-15184327.800000001</v>
          </cell>
        </row>
        <row r="31">
          <cell r="A31" t="str">
            <v>PERCENT REPAIR ALLOWANCE</v>
          </cell>
          <cell r="L31">
            <v>11023632</v>
          </cell>
        </row>
        <row r="32">
          <cell r="A32" t="str">
            <v>CAPITALIZED RELOCATION COSTS</v>
          </cell>
          <cell r="L32">
            <v>-4397223.95</v>
          </cell>
        </row>
        <row r="33">
          <cell r="A33" t="str">
            <v>CAPITALIZED RELOCATION COSTS</v>
          </cell>
          <cell r="L33">
            <v>882605</v>
          </cell>
        </row>
        <row r="34">
          <cell r="A34" t="str">
            <v>EXTRAORDINARY LOSS ON DISP OF PROP</v>
          </cell>
          <cell r="L34">
            <v>-44734.21</v>
          </cell>
        </row>
        <row r="35">
          <cell r="A35" t="str">
            <v>GAIN ON REACQUIRED DEBT</v>
          </cell>
          <cell r="L35">
            <v>-1629855</v>
          </cell>
        </row>
        <row r="36">
          <cell r="A36" t="str">
            <v>GAIN ON REACQUIRED DEBT</v>
          </cell>
          <cell r="L36">
            <v>1629173</v>
          </cell>
        </row>
        <row r="37">
          <cell r="A37" t="str">
            <v>BOOK VS. TAX DEPRECIATION</v>
          </cell>
          <cell r="L37">
            <v>-465086.88</v>
          </cell>
        </row>
        <row r="38">
          <cell r="A38" t="str">
            <v>BOOK VS. TAX DEPRECIATION</v>
          </cell>
          <cell r="L38">
            <v>-56610</v>
          </cell>
        </row>
        <row r="39">
          <cell r="A39" t="str">
            <v>BOOK VS. TAX DEPRECIATION</v>
          </cell>
          <cell r="L39">
            <v>-926244.58</v>
          </cell>
        </row>
        <row r="40">
          <cell r="A40" t="str">
            <v>BOOK VS. TAX DEPRECIATION</v>
          </cell>
          <cell r="L40">
            <v>-215467</v>
          </cell>
        </row>
        <row r="41">
          <cell r="A41" t="str">
            <v>BOOK VS. TAX DEPRECIATION</v>
          </cell>
          <cell r="L41">
            <v>-328807553.10000002</v>
          </cell>
        </row>
        <row r="42">
          <cell r="A42" t="str">
            <v>BOOK VS. TAX DEPRECIATION</v>
          </cell>
          <cell r="L42">
            <v>-20197</v>
          </cell>
        </row>
        <row r="43">
          <cell r="A43" t="str">
            <v>BOOK VS. TAX DEPRECIATION</v>
          </cell>
          <cell r="L43">
            <v>-721818</v>
          </cell>
        </row>
        <row r="44">
          <cell r="A44" t="str">
            <v>BOOK VS. TAX DEPRECIATION</v>
          </cell>
          <cell r="L44">
            <v>-27866151.600000001</v>
          </cell>
        </row>
        <row r="45">
          <cell r="A45" t="str">
            <v>CAPD INTEREST - SECTION 481(a) - CHANGE IN METHD</v>
          </cell>
          <cell r="L45">
            <v>-353784.52</v>
          </cell>
        </row>
        <row r="46">
          <cell r="A46" t="str">
            <v>R &amp; D DEDUCTION - SECTION 174</v>
          </cell>
          <cell r="L46">
            <v>-3179522.74</v>
          </cell>
        </row>
        <row r="47">
          <cell r="A47" t="str">
            <v>BK PLANT IN SERVICE-SFAS 143-ARO</v>
          </cell>
          <cell r="L47">
            <v>-21238405.34</v>
          </cell>
        </row>
        <row r="48">
          <cell r="A48" t="str">
            <v>MNTR CARBON CAPTURE - SFAS 143 - ARO</v>
          </cell>
          <cell r="L48">
            <v>2239124.9900000002</v>
          </cell>
        </row>
        <row r="49">
          <cell r="A49" t="str">
            <v>DFIT GENERATION PLANT</v>
          </cell>
          <cell r="L49">
            <v>-127801332.95</v>
          </cell>
        </row>
        <row r="50">
          <cell r="A50" t="str">
            <v>DFIT GENERATION PLANT</v>
          </cell>
          <cell r="L50">
            <v>38049993</v>
          </cell>
        </row>
        <row r="51">
          <cell r="A51" t="str">
            <v>GAIN/LOSS ON ACRS/MACRS PROPERTY</v>
          </cell>
          <cell r="L51">
            <v>-55641197.600000001</v>
          </cell>
        </row>
        <row r="52">
          <cell r="A52" t="str">
            <v>GAIN/LOSS ON ACRS/MACRS PROPERTY</v>
          </cell>
          <cell r="L52">
            <v>9509782</v>
          </cell>
        </row>
        <row r="53">
          <cell r="A53" t="str">
            <v>GAIN/LOSS ON ACRS/MACRS-BK/TX UNIT PROP</v>
          </cell>
          <cell r="L53">
            <v>19990462.390000001</v>
          </cell>
        </row>
        <row r="54">
          <cell r="A54" t="str">
            <v>ABFUDC</v>
          </cell>
          <cell r="L54">
            <v>-1759602.42</v>
          </cell>
        </row>
        <row r="55">
          <cell r="A55" t="str">
            <v>ABFUDC</v>
          </cell>
          <cell r="L55">
            <v>500582</v>
          </cell>
        </row>
        <row r="56">
          <cell r="A56" t="str">
            <v>SEC 481 PENS/OPEB ADJUSTMENT</v>
          </cell>
          <cell r="L56">
            <v>65939.45</v>
          </cell>
        </row>
        <row r="57">
          <cell r="A57" t="str">
            <v>PERCENT REPAIR ALLOWANCE</v>
          </cell>
          <cell r="L57">
            <v>-19781115.309999999</v>
          </cell>
        </row>
        <row r="58">
          <cell r="A58" t="str">
            <v>PERCENT REPAIR ALLOWANCE</v>
          </cell>
          <cell r="L58">
            <v>7012606</v>
          </cell>
        </row>
        <row r="59">
          <cell r="A59" t="str">
            <v>BOOK/TAX UNIT OF PROPERTY ADJ</v>
          </cell>
          <cell r="L59">
            <v>-125459970.90000001</v>
          </cell>
        </row>
        <row r="60">
          <cell r="A60" t="str">
            <v>BK/TAX UNIT OF PROPERTY ADJ-SEC 481 ADJ</v>
          </cell>
          <cell r="L60">
            <v>-60044175.350000001</v>
          </cell>
        </row>
        <row r="61">
          <cell r="A61" t="str">
            <v>DISALLOWED COSTS-RESERVE DEFICIENCY-APCO VA</v>
          </cell>
          <cell r="L61">
            <v>13749132.6</v>
          </cell>
        </row>
        <row r="62">
          <cell r="A62" t="str">
            <v>REMOVAL COSTS</v>
          </cell>
          <cell r="L62">
            <v>-3201757</v>
          </cell>
        </row>
        <row r="63">
          <cell r="A63" t="str">
            <v>REMOVAL COSTS</v>
          </cell>
          <cell r="L63">
            <v>1334066</v>
          </cell>
        </row>
        <row r="64">
          <cell r="A64" t="str">
            <v>REMOVAL COSTS - ARO-MTNR CARBON CAPTURE</v>
          </cell>
          <cell r="L64">
            <v>64317.49</v>
          </cell>
        </row>
        <row r="65">
          <cell r="A65" t="str">
            <v>REMOVAL COSTS REV - SFAS 143 - ARO</v>
          </cell>
          <cell r="L65">
            <v>798375.82</v>
          </cell>
        </row>
        <row r="66">
          <cell r="A66" t="str">
            <v>TAX WRITE OFF MINE DEVEL COSTS</v>
          </cell>
          <cell r="L66">
            <v>316318.7</v>
          </cell>
        </row>
        <row r="67">
          <cell r="A67" t="str">
            <v>BK DEPLETION -- NUEAST</v>
          </cell>
          <cell r="L67">
            <v>-312822</v>
          </cell>
        </row>
        <row r="68">
          <cell r="A68" t="str">
            <v>BOOK VS. TAX DEPRECIATION</v>
          </cell>
          <cell r="L68">
            <v>-0.84</v>
          </cell>
        </row>
        <row r="69">
          <cell r="A69" t="str">
            <v>BOOK VS. TAX DEPRECIATION</v>
          </cell>
          <cell r="L69">
            <v>43991.91</v>
          </cell>
        </row>
        <row r="70">
          <cell r="A70" t="str">
            <v>BOOK VS. TAX DEPRECIATION</v>
          </cell>
          <cell r="L70">
            <v>33501</v>
          </cell>
        </row>
        <row r="71">
          <cell r="A71" t="str">
            <v>BOOK VS. TAX DEPRECIATION</v>
          </cell>
          <cell r="L71">
            <v>-344815508.10000002</v>
          </cell>
        </row>
        <row r="72">
          <cell r="A72" t="str">
            <v>BOOK VS. TAX DEPRECIATION</v>
          </cell>
          <cell r="L72">
            <v>-1499504</v>
          </cell>
        </row>
        <row r="73">
          <cell r="A73" t="str">
            <v>BOOK VS. TAX DEPRECIATION</v>
          </cell>
          <cell r="L73">
            <v>-1052723</v>
          </cell>
        </row>
        <row r="74">
          <cell r="A74" t="str">
            <v>BOOK VS. TAX DEPRECIATION</v>
          </cell>
          <cell r="L74">
            <v>-33819178.350000001</v>
          </cell>
        </row>
        <row r="75">
          <cell r="A75" t="str">
            <v>CAPD INTEREST - SECTION 481(a) - CHANGE IN METHD</v>
          </cell>
          <cell r="L75">
            <v>-477145.9</v>
          </cell>
        </row>
        <row r="76">
          <cell r="A76" t="str">
            <v>PJM INTEGRATION - SEC 481(a) - INTANG - DFD LABOR</v>
          </cell>
          <cell r="L76">
            <v>-114472.11</v>
          </cell>
        </row>
        <row r="77">
          <cell r="A77" t="str">
            <v>R &amp; D DEDUCTION - SECTION 174</v>
          </cell>
          <cell r="L77">
            <v>-58551.15</v>
          </cell>
        </row>
        <row r="78">
          <cell r="A78" t="str">
            <v>BK PLANT IN SERVICE-SFAS 143-ARO</v>
          </cell>
          <cell r="L78">
            <v>447.44</v>
          </cell>
        </row>
        <row r="79">
          <cell r="A79" t="str">
            <v>GAIN/LOSS ON ACRS/MACRS PROPERTY</v>
          </cell>
          <cell r="L79">
            <v>-13909548.300000001</v>
          </cell>
        </row>
        <row r="80">
          <cell r="A80" t="str">
            <v>GAIN/LOSS ON ACRS/MACRS PROPERTY</v>
          </cell>
          <cell r="L80">
            <v>5328933</v>
          </cell>
        </row>
        <row r="81">
          <cell r="A81" t="str">
            <v>ABFUDC</v>
          </cell>
          <cell r="L81">
            <v>-59082</v>
          </cell>
        </row>
        <row r="82">
          <cell r="A82" t="str">
            <v>ABFUDC</v>
          </cell>
          <cell r="L82">
            <v>58795</v>
          </cell>
        </row>
        <row r="83">
          <cell r="A83" t="str">
            <v>ABFUDC - TRANSMISSION</v>
          </cell>
          <cell r="L83">
            <v>-2314188.7000000002</v>
          </cell>
        </row>
        <row r="84">
          <cell r="A84" t="str">
            <v>ABFUDC - TRANSMISSION</v>
          </cell>
          <cell r="L84">
            <v>893641</v>
          </cell>
        </row>
        <row r="85">
          <cell r="A85" t="str">
            <v>ABFUDC - GENERAL</v>
          </cell>
          <cell r="L85">
            <v>-23373</v>
          </cell>
        </row>
        <row r="86">
          <cell r="A86" t="str">
            <v>ABFUDC - GENERAL</v>
          </cell>
          <cell r="L86">
            <v>17081</v>
          </cell>
        </row>
        <row r="87">
          <cell r="A87" t="str">
            <v>TAXES CAPITALIZED</v>
          </cell>
          <cell r="L87">
            <v>-629080</v>
          </cell>
        </row>
        <row r="88">
          <cell r="A88" t="str">
            <v>TAXES CAPITALIZED</v>
          </cell>
          <cell r="L88">
            <v>627939</v>
          </cell>
        </row>
        <row r="89">
          <cell r="A89" t="str">
            <v>PENSIONS CAPITALIZED</v>
          </cell>
          <cell r="L89">
            <v>-273853</v>
          </cell>
        </row>
        <row r="90">
          <cell r="A90" t="str">
            <v>PENSIONS CAPITALIZED</v>
          </cell>
          <cell r="L90">
            <v>273939</v>
          </cell>
        </row>
        <row r="91">
          <cell r="A91" t="str">
            <v>SEC 481 PENS/OPEB ADJUSTMENT</v>
          </cell>
          <cell r="L91">
            <v>2021.55</v>
          </cell>
        </row>
        <row r="92">
          <cell r="A92" t="str">
            <v>SAVINGS PLAN CAPITALIZED</v>
          </cell>
          <cell r="L92">
            <v>-146852</v>
          </cell>
        </row>
        <row r="93">
          <cell r="A93" t="str">
            <v>SAVINGS PLAN CAPITALIZED</v>
          </cell>
          <cell r="L93">
            <v>146539</v>
          </cell>
        </row>
        <row r="94">
          <cell r="A94" t="str">
            <v>PERCENT REPAIR ALLOWANCE</v>
          </cell>
          <cell r="L94">
            <v>-7691586.9100000001</v>
          </cell>
        </row>
        <row r="95">
          <cell r="A95" t="str">
            <v>PERCENT REPAIR ALLOWANCE</v>
          </cell>
          <cell r="L95">
            <v>5597592</v>
          </cell>
        </row>
        <row r="96">
          <cell r="A96" t="str">
            <v>CAPITALIZED RELOCATION COSTS</v>
          </cell>
          <cell r="L96">
            <v>-556082.1</v>
          </cell>
        </row>
        <row r="97">
          <cell r="A97" t="str">
            <v>CAPITALIZED RELOCATION COSTS</v>
          </cell>
          <cell r="L97">
            <v>138627</v>
          </cell>
        </row>
        <row r="98">
          <cell r="A98" t="str">
            <v>GAIN ON REACQUIRED DEBT</v>
          </cell>
          <cell r="L98">
            <v>-972065</v>
          </cell>
        </row>
        <row r="99">
          <cell r="A99" t="str">
            <v>GAIN ON REACQUIRED DEBT</v>
          </cell>
          <cell r="L99">
            <v>971658</v>
          </cell>
        </row>
      </sheetData>
      <sheetData sheetId="2">
        <row r="3">
          <cell r="A3" t="str">
            <v>PROPERTY TAX - NEW METHOD - BOOK</v>
          </cell>
          <cell r="L3">
            <v>-3481215.16</v>
          </cell>
        </row>
        <row r="4">
          <cell r="A4" t="str">
            <v>ACCRUED BK PENSION EXPENSE</v>
          </cell>
          <cell r="L4">
            <v>-27464605.129999999</v>
          </cell>
        </row>
        <row r="5">
          <cell r="A5" t="str">
            <v>ACCRUED BK PENSION COSTS - SFAS 158</v>
          </cell>
          <cell r="L5">
            <v>41906637.149999999</v>
          </cell>
        </row>
        <row r="6">
          <cell r="A6" t="str">
            <v>DEFD SYS RELIABILITY COSTS &amp; CARRYING CHARGES</v>
          </cell>
          <cell r="L6">
            <v>-26470.15</v>
          </cell>
        </row>
        <row r="7">
          <cell r="A7" t="str">
            <v>DEFD EQUITY CARRY CHRGS-RELIABILITY CAPITAL</v>
          </cell>
          <cell r="L7">
            <v>4566.8</v>
          </cell>
        </row>
        <row r="8">
          <cell r="A8" t="str">
            <v>DEFD STORM DAMAGE</v>
          </cell>
          <cell r="L8">
            <v>-25281917.199999999</v>
          </cell>
        </row>
        <row r="9">
          <cell r="A9" t="str">
            <v>RATE CASE DEFERRED CHARGES</v>
          </cell>
          <cell r="L9">
            <v>0</v>
          </cell>
        </row>
        <row r="10">
          <cell r="A10" t="str">
            <v>BK DEFL-DEMAND SIDE MNGMT EXP</v>
          </cell>
          <cell r="L10">
            <v>-1245298.18</v>
          </cell>
        </row>
        <row r="11">
          <cell r="A11" t="str">
            <v>BK DEFL - MACSS COSTS</v>
          </cell>
          <cell r="L11">
            <v>-441889.74</v>
          </cell>
        </row>
        <row r="12">
          <cell r="A12" t="str">
            <v>TRANSITION REGULATORY ASSETS</v>
          </cell>
          <cell r="L12">
            <v>0.97</v>
          </cell>
        </row>
        <row r="13">
          <cell r="A13" t="str">
            <v>REG ASSET-SFAS 158 - PENSIONS</v>
          </cell>
          <cell r="L13">
            <v>-41906637.149999999</v>
          </cell>
        </row>
        <row r="14">
          <cell r="A14" t="str">
            <v>REG ASSET-SFAS 158 - SERP</v>
          </cell>
          <cell r="L14">
            <v>-219677.15</v>
          </cell>
        </row>
        <row r="15">
          <cell r="A15" t="str">
            <v>REG ASSET-SFAS 158 - OPEB</v>
          </cell>
          <cell r="L15">
            <v>160038.74</v>
          </cell>
        </row>
        <row r="16">
          <cell r="A16" t="str">
            <v>REG ASSET-DEFD SEVERANCE COSTS</v>
          </cell>
          <cell r="L16">
            <v>-593694.19999999995</v>
          </cell>
        </row>
        <row r="17">
          <cell r="A17" t="str">
            <v>REG ASSET-DEFD VA DEMAND RESPONSE PROGRAM</v>
          </cell>
          <cell r="L17">
            <v>-4457806.99</v>
          </cell>
        </row>
        <row r="18">
          <cell r="A18" t="str">
            <v>REG ASSET-DEFD VA SOFTWARE LICENSING EXPENSE</v>
          </cell>
          <cell r="L18">
            <v>0</v>
          </cell>
        </row>
        <row r="19">
          <cell r="A19" t="str">
            <v>REG ASSET-WV VMP (VEGETATION MGMT) COSTS</v>
          </cell>
          <cell r="L19">
            <v>-10694910.449999999</v>
          </cell>
        </row>
        <row r="20">
          <cell r="A20" t="str">
            <v>REG ASSET-CARRYING CHARGES-WV VMP</v>
          </cell>
          <cell r="L20">
            <v>-474631.81</v>
          </cell>
        </row>
        <row r="21">
          <cell r="A21" t="str">
            <v>REG ASSET-COAL CO UNCOLL ACCTS</v>
          </cell>
          <cell r="L21">
            <v>-1221208.3400000001</v>
          </cell>
        </row>
        <row r="22">
          <cell r="A22" t="str">
            <v>REG ASSET-CAR CHGS-WV VMP RESERVE</v>
          </cell>
          <cell r="L22">
            <v>243789.53</v>
          </cell>
        </row>
        <row r="23">
          <cell r="A23" t="str">
            <v>REG ASSET-VA EE-RAC EFFICIENT PRODUCTS</v>
          </cell>
          <cell r="L23">
            <v>-1400.79</v>
          </cell>
        </row>
        <row r="24">
          <cell r="A24" t="str">
            <v>REG ASSET-VA EE-RAC HOME ENERGY PROG</v>
          </cell>
          <cell r="L24">
            <v>-13705.27</v>
          </cell>
        </row>
        <row r="25">
          <cell r="A25" t="str">
            <v>REG ASSET-VA EE-RAC APPLIANCE RECYCLING</v>
          </cell>
          <cell r="L25">
            <v>-638.54999999999995</v>
          </cell>
        </row>
        <row r="26">
          <cell r="A26" t="str">
            <v xml:space="preserve">REG ASSET-VA EE-RAC C&amp;I PRESCRIPTIVE </v>
          </cell>
          <cell r="L26">
            <v>-7110.18</v>
          </cell>
        </row>
        <row r="27">
          <cell r="A27" t="str">
            <v xml:space="preserve">REG ASSET-VA EE-RAC MOBILE HOME ES </v>
          </cell>
          <cell r="L27">
            <v>-506.31</v>
          </cell>
        </row>
        <row r="28">
          <cell r="A28" t="str">
            <v>REG ASSET-VA EE-RAC EQUITY MARGIN</v>
          </cell>
          <cell r="L28">
            <v>2065.66</v>
          </cell>
        </row>
        <row r="29">
          <cell r="A29" t="str">
            <v>BOOK LEASES CAPITALIZED FOR TAX</v>
          </cell>
          <cell r="L29">
            <v>-1600782.4</v>
          </cell>
        </row>
        <row r="30">
          <cell r="A30" t="str">
            <v>CAPITALIZED SOFTWARE COST - BOOK</v>
          </cell>
          <cell r="L30">
            <v>-6195151.8499999996</v>
          </cell>
        </row>
        <row r="31">
          <cell r="A31" t="str">
            <v>LOSS ON REACQUIRED DEBT</v>
          </cell>
          <cell r="L31">
            <v>-10813198.880000001</v>
          </cell>
        </row>
        <row r="32">
          <cell r="A32" t="str">
            <v>SFAS 106-MEDICARE SUBSIDY-(PPACA)-REG ASSET</v>
          </cell>
          <cell r="L32">
            <v>-967835.14</v>
          </cell>
        </row>
        <row r="33">
          <cell r="A33" t="str">
            <v>REG ASSET - ACCRUED SFAS 112</v>
          </cell>
          <cell r="L33">
            <v>-3309029.35</v>
          </cell>
        </row>
        <row r="34">
          <cell r="A34" t="str">
            <v>NOL - STATE C/F - DEF STATE TAX ASSET - L/T</v>
          </cell>
          <cell r="L34">
            <v>-537936.07999999996</v>
          </cell>
        </row>
        <row r="35">
          <cell r="A35" t="str">
            <v>SW - UNDER RECOVERY FUEL COST</v>
          </cell>
          <cell r="L35">
            <v>-20704379.879999999</v>
          </cell>
        </row>
        <row r="36">
          <cell r="A36" t="str">
            <v>SV - UNDER RECOVERY FUEL COST</v>
          </cell>
          <cell r="L36">
            <v>-9554796.0500000007</v>
          </cell>
        </row>
        <row r="37">
          <cell r="A37" t="str">
            <v>DEFD EQUITY CARRY CHGS - WV-ENEC</v>
          </cell>
          <cell r="L37">
            <v>221361.11</v>
          </cell>
        </row>
        <row r="38">
          <cell r="A38" t="str">
            <v>WV UNREC FUEL DISPUTED COAL INV</v>
          </cell>
          <cell r="L38">
            <v>0</v>
          </cell>
        </row>
        <row r="39">
          <cell r="A39" t="str">
            <v>PROPERTY TAX - NEW METHOD - BOOK</v>
          </cell>
          <cell r="L39">
            <v>-42402.7</v>
          </cell>
        </row>
        <row r="40">
          <cell r="A40" t="str">
            <v>PROP TX-STATE 2 OLD METHOD-TX</v>
          </cell>
          <cell r="L40">
            <v>-1897034</v>
          </cell>
        </row>
        <row r="41">
          <cell r="A41" t="str">
            <v>DEFD TAX GAIN - APCO WV SEC REG ASSET</v>
          </cell>
          <cell r="L41">
            <v>-116187034.25</v>
          </cell>
        </row>
        <row r="42">
          <cell r="A42" t="str">
            <v>MTM BK GAIN - A/L - TAX DEFL</v>
          </cell>
          <cell r="L42">
            <v>-4717668.67</v>
          </cell>
        </row>
        <row r="43">
          <cell r="A43" t="str">
            <v>MTM BK GAIN - A/L - TAX DEFL</v>
          </cell>
          <cell r="L43">
            <v>153922.07</v>
          </cell>
        </row>
        <row r="44">
          <cell r="A44" t="str">
            <v>MARK &amp; SPREAD - DEFL - 283 A/L</v>
          </cell>
          <cell r="L44">
            <v>679995.75</v>
          </cell>
        </row>
        <row r="45">
          <cell r="A45" t="str">
            <v>ACCRUED BK PENSION EXPENSE</v>
          </cell>
          <cell r="L45">
            <v>-21314894.190000001</v>
          </cell>
        </row>
        <row r="46">
          <cell r="A46" t="str">
            <v>ACCRUED BK PENSION COSTS - SFAS 158</v>
          </cell>
          <cell r="L46">
            <v>28168288.75</v>
          </cell>
        </row>
        <row r="47">
          <cell r="A47" t="str">
            <v>DEFD ENVIRON COMP COSTS &amp; CARRYING CHARGES</v>
          </cell>
          <cell r="L47">
            <v>-33567.800000000003</v>
          </cell>
        </row>
        <row r="48">
          <cell r="A48" t="str">
            <v>DEFD EXPS (A/C 186)</v>
          </cell>
          <cell r="L48">
            <v>-340471.61</v>
          </cell>
        </row>
        <row r="49">
          <cell r="A49" t="str">
            <v>BOOK &gt; TAX - EMA - A/C 283</v>
          </cell>
          <cell r="L49">
            <v>-9007271.6500000004</v>
          </cell>
        </row>
        <row r="50">
          <cell r="A50" t="str">
            <v>DEFD BK LOSS-NON AFF SALE-EMA</v>
          </cell>
          <cell r="L50">
            <v>-154926</v>
          </cell>
        </row>
        <row r="51">
          <cell r="A51" t="str">
            <v>DEFD TX GAIN - INTERCO SALE - EMA</v>
          </cell>
          <cell r="L51">
            <v>375757.85</v>
          </cell>
        </row>
        <row r="52">
          <cell r="A52" t="str">
            <v>DEFD TAX GAIN - EPA AUCTION</v>
          </cell>
          <cell r="L52">
            <v>11907.75</v>
          </cell>
        </row>
        <row r="53">
          <cell r="A53" t="str">
            <v>REG ASSET-SFAS 143 - ARO</v>
          </cell>
          <cell r="L53">
            <v>-833810.76</v>
          </cell>
        </row>
        <row r="54">
          <cell r="A54" t="str">
            <v>REG ASSET-SFAS 158 - PENSIONS</v>
          </cell>
          <cell r="L54">
            <v>-28168288.75</v>
          </cell>
        </row>
        <row r="55">
          <cell r="A55" t="str">
            <v>REG ASSET-SFAS 158 - SERP</v>
          </cell>
          <cell r="L55">
            <v>68.95</v>
          </cell>
        </row>
        <row r="56">
          <cell r="A56" t="str">
            <v>REG ASSET-SFAS 158 - OPEB</v>
          </cell>
          <cell r="L56">
            <v>190438.76</v>
          </cell>
        </row>
        <row r="57">
          <cell r="A57" t="str">
            <v>REG ASSET-MOUNTAINEER CARBON CAPTURE</v>
          </cell>
          <cell r="L57">
            <v>4977311.09</v>
          </cell>
        </row>
        <row r="58">
          <cell r="A58" t="str">
            <v>REG ASSET-DEFD SEVERANCE COSTS</v>
          </cell>
          <cell r="L58">
            <v>3987570.09</v>
          </cell>
        </row>
        <row r="59">
          <cell r="A59" t="str">
            <v>REG ASSET-TRANS AGREEMENT PHASE-IN-WV</v>
          </cell>
          <cell r="L59">
            <v>-603750.02</v>
          </cell>
        </row>
        <row r="60">
          <cell r="A60" t="str">
            <v>REG ASSET-NET CCS FEED STUDY COSTS</v>
          </cell>
          <cell r="L60">
            <v>-413001.07</v>
          </cell>
        </row>
        <row r="61">
          <cell r="A61" t="str">
            <v>REG ASSET DRESDEN OPERATION COST VA</v>
          </cell>
          <cell r="L61">
            <v>-1571577.18</v>
          </cell>
        </row>
        <row r="62">
          <cell r="A62" t="str">
            <v>REG ASSET DRESDEN CARRYING COSTS VA</v>
          </cell>
          <cell r="L62">
            <v>-282167</v>
          </cell>
        </row>
        <row r="63">
          <cell r="A63" t="str">
            <v>REG ASSET DRESDEN UNRECOG EQUITY CC VA</v>
          </cell>
          <cell r="L63">
            <v>53839.42</v>
          </cell>
        </row>
        <row r="64">
          <cell r="A64" t="str">
            <v>REG ASSET-DEFERRED VA RPS INCREM COSTS-CURRENT</v>
          </cell>
          <cell r="L64">
            <v>0</v>
          </cell>
        </row>
        <row r="65">
          <cell r="A65" t="str">
            <v>REG ASSET-DEFD VA SOFTWARE LICENSING EXPENSE</v>
          </cell>
          <cell r="L65">
            <v>0</v>
          </cell>
        </row>
        <row r="66">
          <cell r="A66" t="str">
            <v>REG ASSET-WW CC-CONSTR SURCHARG UNRECOG EQ</v>
          </cell>
          <cell r="L66">
            <v>0</v>
          </cell>
        </row>
        <row r="67">
          <cell r="A67" t="str">
            <v>REG ASSET-WW CONSTR SURCHRG OPER COSTS</v>
          </cell>
          <cell r="L67">
            <v>0</v>
          </cell>
        </row>
        <row r="68">
          <cell r="A68" t="str">
            <v>REG ASSET-WW CC CONSTR SURCHRG</v>
          </cell>
          <cell r="L68">
            <v>0</v>
          </cell>
        </row>
        <row r="69">
          <cell r="A69" t="str">
            <v>REG ASSET-UNREC EQUITY CC WV-AMOS 3</v>
          </cell>
          <cell r="L69">
            <v>327303.55</v>
          </cell>
        </row>
        <row r="70">
          <cell r="A70" t="str">
            <v>REG ASSET-CARRYING CHARGES WV-AMOS 3</v>
          </cell>
          <cell r="L70">
            <v>-1009881.6</v>
          </cell>
        </row>
        <row r="71">
          <cell r="A71" t="str">
            <v>REG ASSET-IGCC PRE-CONSTRUCTION COSTS</v>
          </cell>
          <cell r="L71">
            <v>-3350678.86</v>
          </cell>
        </row>
        <row r="72">
          <cell r="A72" t="str">
            <v>REG ASSET-FELMAN PREM/DISC-ENEC-WV</v>
          </cell>
          <cell r="L72">
            <v>-407896.16</v>
          </cell>
        </row>
        <row r="73">
          <cell r="A73" t="str">
            <v>REG ASSET-WV AIR QUALITY PERMIT FEES</v>
          </cell>
          <cell r="L73">
            <v>-215984.64000000001</v>
          </cell>
        </row>
        <row r="74">
          <cell r="A74" t="str">
            <v>REG ASSET-NBV-ARO-RETIRED PLANTS</v>
          </cell>
          <cell r="L74">
            <v>-11440930.539999999</v>
          </cell>
        </row>
        <row r="75">
          <cell r="A75" t="str">
            <v>REG ASSET-EXTRA LOSS-CLINCH RIVER PLANT</v>
          </cell>
          <cell r="L75">
            <v>-16678000.300000001</v>
          </cell>
        </row>
        <row r="76">
          <cell r="A76" t="str">
            <v>REG ASSET-EXTRA LOSS-GLEN LYN U5 NET PLANT</v>
          </cell>
          <cell r="L76">
            <v>-9557</v>
          </cell>
        </row>
        <row r="77">
          <cell r="A77" t="str">
            <v>REG ASSET-EXTRA LOSS-SPORN PLANT</v>
          </cell>
          <cell r="L77">
            <v>-3147405.74</v>
          </cell>
        </row>
        <row r="78">
          <cell r="A78" t="str">
            <v>REG ASSET-EXTRA LOSS-KANAWHA RIVER PLANT</v>
          </cell>
          <cell r="L78">
            <v>-8960200.7300000004</v>
          </cell>
        </row>
        <row r="79">
          <cell r="A79" t="str">
            <v>REG ASSET-EXTRA LOSS-GLEN LYN U6 NET PLANT</v>
          </cell>
          <cell r="L79">
            <v>-1529235.48</v>
          </cell>
        </row>
        <row r="80">
          <cell r="A80" t="str">
            <v>BOOK LEASES CAPITALIZED FOR TAX</v>
          </cell>
          <cell r="L80">
            <v>-8671144.3000000007</v>
          </cell>
        </row>
        <row r="81">
          <cell r="A81" t="str">
            <v>CAPITALIZED SOFTWARE COST - BOOK</v>
          </cell>
          <cell r="L81">
            <v>-5132474.5199999996</v>
          </cell>
        </row>
        <row r="82">
          <cell r="A82" t="str">
            <v>LOSS ON REACQUIRED DEBT</v>
          </cell>
          <cell r="L82">
            <v>-17500633.030000001</v>
          </cell>
        </row>
        <row r="83">
          <cell r="A83" t="str">
            <v>SFAS 106-MEDICARE SUBSIDY-(PPACA)-REG ASSET</v>
          </cell>
          <cell r="L83">
            <v>-767161.41</v>
          </cell>
        </row>
        <row r="84">
          <cell r="A84" t="str">
            <v>REG ASSET - ACCRUED SFAS 112</v>
          </cell>
          <cell r="L84">
            <v>-3036180.42</v>
          </cell>
        </row>
        <row r="85">
          <cell r="A85" t="str">
            <v>STATE NOL CURRENT BENEFIT</v>
          </cell>
          <cell r="L85">
            <v>-1779558.55</v>
          </cell>
        </row>
        <row r="86">
          <cell r="A86" t="str">
            <v>PROPERTY TAX - NEW METHOD - BOOK</v>
          </cell>
          <cell r="L86">
            <v>-1381485.23</v>
          </cell>
        </row>
        <row r="87">
          <cell r="A87" t="str">
            <v>ACCRUED BK PENSION EXPENSE</v>
          </cell>
          <cell r="L87">
            <v>-2192250.0699999998</v>
          </cell>
        </row>
        <row r="88">
          <cell r="A88" t="str">
            <v>ACCRUED BK PENSION COSTS - SFAS 158</v>
          </cell>
          <cell r="L88">
            <v>6113437.0499999998</v>
          </cell>
        </row>
        <row r="89">
          <cell r="A89" t="str">
            <v>REG ASSET - DEFERRED RTO COSTS</v>
          </cell>
          <cell r="L89">
            <v>-571241.53</v>
          </cell>
        </row>
        <row r="90">
          <cell r="A90" t="str">
            <v>DEFD SYS RELIABILITY COSTS &amp; CARRYING CHARGES</v>
          </cell>
          <cell r="L90">
            <v>-18841.900000000001</v>
          </cell>
        </row>
        <row r="91">
          <cell r="A91" t="str">
            <v>DEFD EQUITY CARRY CHRGS-RELIABILITY CAPITAL</v>
          </cell>
          <cell r="L91">
            <v>11175.15</v>
          </cell>
        </row>
        <row r="92">
          <cell r="A92" t="str">
            <v>REG ASSET-SFAS 158 - PENSIONS</v>
          </cell>
          <cell r="L92">
            <v>-6113437.0499999998</v>
          </cell>
        </row>
        <row r="93">
          <cell r="A93" t="str">
            <v>REG ASSET-SFAS 158 - OPEB</v>
          </cell>
          <cell r="L93">
            <v>-104325.7</v>
          </cell>
        </row>
        <row r="94">
          <cell r="A94" t="str">
            <v>REG ASSET-UNDERRECOVERY-VIRGINIA T-RAC</v>
          </cell>
          <cell r="L94">
            <v>-26114288.02</v>
          </cell>
        </row>
        <row r="95">
          <cell r="A95" t="str">
            <v>REG ASSET-DEFD SEVERANCE COSTS</v>
          </cell>
          <cell r="L95">
            <v>-110604.6</v>
          </cell>
        </row>
        <row r="96">
          <cell r="A96" t="str">
            <v>BOOK LEASES CAPITALIZED FOR TAX</v>
          </cell>
          <cell r="L96">
            <v>-331034.55</v>
          </cell>
        </row>
        <row r="97">
          <cell r="A97" t="str">
            <v>CAPITALIZED SOFTWARE COST - BOOK</v>
          </cell>
          <cell r="L97">
            <v>-2955773.78</v>
          </cell>
        </row>
        <row r="98">
          <cell r="A98" t="str">
            <v>LOSS ON REACQUIRED DEBT</v>
          </cell>
          <cell r="L98">
            <v>-7209322.3600000003</v>
          </cell>
        </row>
        <row r="99">
          <cell r="A99" t="str">
            <v>SFAS 106-MEDICARE SUBSIDY-(PPACA)-REG ASSET</v>
          </cell>
          <cell r="L99">
            <v>-119780.97</v>
          </cell>
        </row>
        <row r="100">
          <cell r="A100" t="str">
            <v>REG ASSET - ACCRUED SFAS 112</v>
          </cell>
          <cell r="L100">
            <v>-521215.01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AG"/>
      <sheetName val="APCO_1901001"/>
      <sheetName val="Table"/>
    </sheetNames>
    <sheetDataSet>
      <sheetData sheetId="0" refreshError="1"/>
      <sheetData sheetId="1">
        <row r="3">
          <cell r="A3" t="str">
            <v>NOL &amp; TAX CREDIT C/F - DEF TAX ASSET</v>
          </cell>
          <cell r="L3">
            <v>-409666</v>
          </cell>
        </row>
        <row r="4">
          <cell r="A4" t="str">
            <v>NOL &amp; TAX CREDIT C/F - DEF TAX ASSET</v>
          </cell>
          <cell r="L4">
            <v>1405303</v>
          </cell>
        </row>
        <row r="5">
          <cell r="A5" t="str">
            <v>NOL &amp; TAX CREDIT C/F - DEF TAX ASSET</v>
          </cell>
          <cell r="L5">
            <v>9759.75</v>
          </cell>
        </row>
        <row r="6">
          <cell r="A6" t="str">
            <v>INT EXP CAPITALIZED FOR TAX</v>
          </cell>
          <cell r="L6">
            <v>10055129.140000001</v>
          </cell>
        </row>
        <row r="7">
          <cell r="A7" t="str">
            <v>INT EXP CAPITALIZED FOR TAX</v>
          </cell>
          <cell r="L7">
            <v>-5184613</v>
          </cell>
        </row>
        <row r="8">
          <cell r="A8" t="str">
            <v>CIAC - BOOK RECEIPTS-DISTR -SV</v>
          </cell>
          <cell r="L8">
            <v>5514152.2000000002</v>
          </cell>
        </row>
        <row r="9">
          <cell r="A9" t="str">
            <v>CIAC - BOOK RECEIPTS-DISTR -SW</v>
          </cell>
          <cell r="L9">
            <v>2629914.0299999998</v>
          </cell>
        </row>
        <row r="10">
          <cell r="A10" t="str">
            <v>PROVS POSS REV REFDS</v>
          </cell>
          <cell r="L10">
            <v>81021.710000000006</v>
          </cell>
        </row>
        <row r="11">
          <cell r="A11" t="str">
            <v>SALE/LEASEBK-GRUNDY</v>
          </cell>
          <cell r="L11">
            <v>640.6</v>
          </cell>
        </row>
        <row r="12">
          <cell r="A12" t="str">
            <v>PROV WORKER'S COMP</v>
          </cell>
          <cell r="L12">
            <v>28388.35</v>
          </cell>
        </row>
        <row r="13">
          <cell r="A13" t="str">
            <v>SUPPLEMENTAL EXECUTIVE RETIREMENT PLAN</v>
          </cell>
          <cell r="L13">
            <v>-89023.91</v>
          </cell>
        </row>
        <row r="14">
          <cell r="A14" t="str">
            <v>ACCRD SUP EXEC RETIR PLAN COSTS-SFAS 158</v>
          </cell>
          <cell r="L14">
            <v>219677.15</v>
          </cell>
        </row>
        <row r="15">
          <cell r="A15" t="str">
            <v>ACCRD BK SUP. SAVINGS PLAN EXP</v>
          </cell>
          <cell r="L15">
            <v>142175.84</v>
          </cell>
        </row>
        <row r="16">
          <cell r="A16" t="str">
            <v>EMPLOYER SAVINGS PLAN MATCH</v>
          </cell>
          <cell r="L16">
            <v>0</v>
          </cell>
        </row>
        <row r="17">
          <cell r="A17" t="str">
            <v>ACCRUED PSI PLAN EXP</v>
          </cell>
          <cell r="L17">
            <v>1950795.92</v>
          </cell>
        </row>
        <row r="18">
          <cell r="A18" t="str">
            <v>BK PROV UNCOLL ACCTS</v>
          </cell>
          <cell r="L18">
            <v>1482702.53</v>
          </cell>
        </row>
        <row r="19">
          <cell r="A19" t="str">
            <v>ACCRD COMPANYWIDE INCENTV PLAN</v>
          </cell>
          <cell r="L19">
            <v>3911638.01</v>
          </cell>
        </row>
        <row r="20">
          <cell r="A20" t="str">
            <v>ACCRD ENVIRONMENTAL LIAB-CURRENT</v>
          </cell>
          <cell r="L20">
            <v>4200</v>
          </cell>
        </row>
        <row r="21">
          <cell r="A21" t="str">
            <v>ACCRUED BOOK VACATION PAY</v>
          </cell>
          <cell r="L21">
            <v>1937816.41</v>
          </cell>
        </row>
        <row r="22">
          <cell r="A22" t="str">
            <v>(ICDP)-INCENTIVE COMP DEFERRAL PLAN</v>
          </cell>
          <cell r="L22">
            <v>426357.54</v>
          </cell>
        </row>
        <row r="23">
          <cell r="A23" t="str">
            <v>ACCRUED BK SEVERANCE BENEFITS</v>
          </cell>
          <cell r="L23">
            <v>0</v>
          </cell>
        </row>
        <row r="24">
          <cell r="A24" t="str">
            <v>ACCRUED INTEREST-LONG-TERM - FIN 48</v>
          </cell>
          <cell r="L24">
            <v>-252956.9</v>
          </cell>
        </row>
        <row r="25">
          <cell r="A25" t="str">
            <v>ACCRUED INTEREST-LONG-TERM - FIN 48</v>
          </cell>
          <cell r="L25">
            <v>253682</v>
          </cell>
        </row>
        <row r="26">
          <cell r="A26" t="str">
            <v>ACCRUED STATE INCOME TAX EXP</v>
          </cell>
          <cell r="L26">
            <v>289805.59999999998</v>
          </cell>
        </row>
        <row r="27">
          <cell r="A27" t="str">
            <v>ADVANCE RENTAL INC (CUR MO)</v>
          </cell>
          <cell r="L27">
            <v>724476.38</v>
          </cell>
        </row>
        <row r="28">
          <cell r="A28" t="str">
            <v>CAPITALIZED SOFTWARE COSTS-TAX</v>
          </cell>
          <cell r="L28">
            <v>49858.6</v>
          </cell>
        </row>
        <row r="29">
          <cell r="A29" t="str">
            <v>ACCRD SFAS 106 PST RETIRE EXP</v>
          </cell>
          <cell r="L29">
            <v>-1445331.85</v>
          </cell>
        </row>
        <row r="30">
          <cell r="A30" t="str">
            <v>SFAS 106 PST RETIRE EXP - NON-DEDUCT CONT</v>
          </cell>
          <cell r="L30">
            <v>5233034.8</v>
          </cell>
        </row>
        <row r="31">
          <cell r="A31" t="str">
            <v>ACCRD OPEB COSTS - SFAS 158</v>
          </cell>
          <cell r="L31">
            <v>-160038.39000000001</v>
          </cell>
        </row>
        <row r="32">
          <cell r="A32" t="str">
            <v>ACCRD SFAS 112 PST EMPLOY BEN</v>
          </cell>
          <cell r="L32">
            <v>3309030.04</v>
          </cell>
        </row>
        <row r="33">
          <cell r="A33" t="str">
            <v>ACCRD BOOK ARO EXPENSE - SFAS 143</v>
          </cell>
          <cell r="L33">
            <v>387450.09</v>
          </cell>
        </row>
        <row r="34">
          <cell r="A34" t="str">
            <v>SFAS 106 - MEDICARE SUBSIDY - NORM - (PPACA)</v>
          </cell>
          <cell r="L34">
            <v>-2948311.93</v>
          </cell>
        </row>
        <row r="35">
          <cell r="A35" t="str">
            <v>ACCRUED BK REMOVAL COST - ACRS</v>
          </cell>
          <cell r="L35">
            <v>54679917.200000003</v>
          </cell>
        </row>
        <row r="36">
          <cell r="A36" t="str">
            <v>FIN 48 - DEFD STATE INCOME TAXES</v>
          </cell>
          <cell r="L36">
            <v>-4260.8999999999996</v>
          </cell>
        </row>
        <row r="37">
          <cell r="A37" t="str">
            <v>DEFD STATE INCOME TAXES</v>
          </cell>
          <cell r="L37">
            <v>-24828664.699999999</v>
          </cell>
        </row>
        <row r="38">
          <cell r="A38" t="str">
            <v>DEFD STATE INCOME TAXES</v>
          </cell>
          <cell r="L38">
            <v>24828664.699999999</v>
          </cell>
        </row>
        <row r="39">
          <cell r="A39" t="str">
            <v>DEFD STATE INCOME TAXES</v>
          </cell>
          <cell r="L39">
            <v>-3865531.25</v>
          </cell>
        </row>
        <row r="40">
          <cell r="A40" t="str">
            <v>DEFD STATE INCOME TAXES</v>
          </cell>
          <cell r="L40">
            <v>8113286.2199999997</v>
          </cell>
        </row>
        <row r="41">
          <cell r="A41" t="str">
            <v>ACCRD SIT/FRANCHISE TAX RESERVE</v>
          </cell>
          <cell r="L41">
            <v>-315488.34999999998</v>
          </cell>
        </row>
        <row r="42">
          <cell r="A42" t="str">
            <v>ACCRD SIT/FRANCHISE TAX RESERVE</v>
          </cell>
          <cell r="L42">
            <v>125403</v>
          </cell>
        </row>
        <row r="43">
          <cell r="A43" t="str">
            <v>ACCRUED SALES &amp; USE TAX RESERVE</v>
          </cell>
          <cell r="L43">
            <v>149485</v>
          </cell>
        </row>
        <row r="44">
          <cell r="A44" t="str">
            <v>ACCRUED SALES &amp; USE TAX RESERVE</v>
          </cell>
          <cell r="L44">
            <v>40600</v>
          </cell>
        </row>
        <row r="45">
          <cell r="A45" t="str">
            <v>ACCRD SIT TX RESERVE-LNG-TERM-FIN 48</v>
          </cell>
          <cell r="L45">
            <v>-674785.3</v>
          </cell>
        </row>
        <row r="46">
          <cell r="A46" t="str">
            <v>ACCRD SIT TX RESERVE-LNG-TERM-FIN 48</v>
          </cell>
          <cell r="L46">
            <v>766576</v>
          </cell>
        </row>
        <row r="47">
          <cell r="A47" t="str">
            <v>ACCRD SIT TX RESERVE-SHRT-TERM-FIN 48</v>
          </cell>
          <cell r="L47">
            <v>3250.8</v>
          </cell>
        </row>
        <row r="48">
          <cell r="A48" t="str">
            <v>1991-1996 IRS AUDIT SETTLEMENT</v>
          </cell>
          <cell r="L48">
            <v>89807.5</v>
          </cell>
        </row>
        <row r="49">
          <cell r="A49" t="str">
            <v>1997-2003 IRS AUDIT SETTLEMENT</v>
          </cell>
          <cell r="L49">
            <v>1336186.8</v>
          </cell>
        </row>
        <row r="50">
          <cell r="A50" t="str">
            <v>IRS CAPITALIZATION ADJUSTMENT</v>
          </cell>
          <cell r="L50">
            <v>381546.89</v>
          </cell>
        </row>
        <row r="51">
          <cell r="A51" t="str">
            <v>AMT CREDIT - DEFERRED</v>
          </cell>
          <cell r="L51">
            <v>230013</v>
          </cell>
        </row>
        <row r="52">
          <cell r="A52" t="str">
            <v>REHAB CREDIT - DEFD TAX ASSET RECLASS</v>
          </cell>
          <cell r="L52">
            <v>4450347.8</v>
          </cell>
        </row>
        <row r="53">
          <cell r="A53" t="str">
            <v>NOL &amp; TAX CREDIT C/F - DEF TAX ASSET</v>
          </cell>
          <cell r="L53">
            <v>-2358853</v>
          </cell>
        </row>
        <row r="54">
          <cell r="A54" t="str">
            <v>NOL &amp; TAX CREDIT C/F - DEF TAX ASSET</v>
          </cell>
          <cell r="L54">
            <v>12902718</v>
          </cell>
        </row>
        <row r="55">
          <cell r="A55" t="str">
            <v>INT EXP CAPITALIZED FOR TAX</v>
          </cell>
          <cell r="L55">
            <v>70594982.109999999</v>
          </cell>
        </row>
        <row r="56">
          <cell r="A56" t="str">
            <v>INT EXP CAPITALIZED FOR TAX</v>
          </cell>
          <cell r="L56">
            <v>-17321211</v>
          </cell>
        </row>
        <row r="57">
          <cell r="A57" t="str">
            <v>SW-OVER RECOVERY FUEL COST</v>
          </cell>
          <cell r="L57">
            <v>0</v>
          </cell>
        </row>
        <row r="58">
          <cell r="A58" t="str">
            <v>PROVS POSS REV REFDS</v>
          </cell>
          <cell r="L58">
            <v>370376.47</v>
          </cell>
        </row>
        <row r="59">
          <cell r="A59" t="str">
            <v>MARK &amp; SPREAD-DEFL-190-A/L</v>
          </cell>
          <cell r="L59">
            <v>-1257397.75</v>
          </cell>
        </row>
        <row r="60">
          <cell r="A60" t="str">
            <v>PROV WORKER'S COMP</v>
          </cell>
          <cell r="L60">
            <v>86213.8</v>
          </cell>
        </row>
        <row r="61">
          <cell r="A61" t="str">
            <v>SUPPLEMENTAL EXECUTIVE RETIREMENT PLAN</v>
          </cell>
          <cell r="L61">
            <v>237</v>
          </cell>
        </row>
        <row r="62">
          <cell r="A62" t="str">
            <v>ACCRD SUP EXEC RETIR PLAN COSTS-SFAS 158</v>
          </cell>
          <cell r="L62">
            <v>-68.95</v>
          </cell>
        </row>
        <row r="63">
          <cell r="A63" t="str">
            <v>ACCRD BK SUP. SAVINGS PLAN EXP</v>
          </cell>
          <cell r="L63">
            <v>59972.05</v>
          </cell>
        </row>
        <row r="64">
          <cell r="A64" t="str">
            <v>ACCRUED PSI PLAN EXP</v>
          </cell>
          <cell r="L64">
            <v>100699.21</v>
          </cell>
        </row>
        <row r="65">
          <cell r="A65" t="str">
            <v>BK PROV UNCOLL ACCTS</v>
          </cell>
          <cell r="L65">
            <v>-342671.35</v>
          </cell>
        </row>
        <row r="66">
          <cell r="A66" t="str">
            <v>PROV-TRADING CREDIT RISK - A/L</v>
          </cell>
          <cell r="L66">
            <v>24916.85</v>
          </cell>
        </row>
        <row r="67">
          <cell r="A67" t="str">
            <v>PROV-FAS 157 - A/L</v>
          </cell>
          <cell r="L67">
            <v>-2114.35</v>
          </cell>
        </row>
        <row r="68">
          <cell r="A68" t="str">
            <v>ACCRD COMPANYWIDE INCENTV PLAN</v>
          </cell>
          <cell r="L68">
            <v>2451200.27</v>
          </cell>
        </row>
        <row r="69">
          <cell r="A69" t="str">
            <v>ACCRUED BOOK VACATION PAY</v>
          </cell>
          <cell r="L69">
            <v>1121790.3999999999</v>
          </cell>
        </row>
        <row r="70">
          <cell r="A70" t="str">
            <v>(ICDP)-INCENTIVE COMP DEFERRAL PLAN</v>
          </cell>
          <cell r="L70">
            <v>13792.72</v>
          </cell>
        </row>
        <row r="71">
          <cell r="A71" t="str">
            <v>ACCRUED BK SEVERANCE BENEFITS</v>
          </cell>
          <cell r="L71">
            <v>1094235.1399999999</v>
          </cell>
        </row>
        <row r="72">
          <cell r="A72" t="str">
            <v>ACCRUED INTEREST-LONG-TERM - FIN 48</v>
          </cell>
          <cell r="L72">
            <v>-1025218.6</v>
          </cell>
        </row>
        <row r="73">
          <cell r="A73" t="str">
            <v>ACCRUED INTEREST-LONG-TERM - FIN 48</v>
          </cell>
          <cell r="L73">
            <v>415953</v>
          </cell>
        </row>
        <row r="74">
          <cell r="A74" t="str">
            <v>BK DFL RAIL TRANS REV/EXP</v>
          </cell>
          <cell r="L74">
            <v>-177579.36</v>
          </cell>
        </row>
        <row r="75">
          <cell r="A75" t="str">
            <v>PROV LOSS-CAR CHG-PURCHASD EMA</v>
          </cell>
          <cell r="L75">
            <v>182467</v>
          </cell>
        </row>
        <row r="76">
          <cell r="A76" t="str">
            <v>DEFD EQUITY CARRYING CHRGS-ENVIRON COMP COSTS</v>
          </cell>
          <cell r="L76">
            <v>0</v>
          </cell>
        </row>
        <row r="77">
          <cell r="A77" t="str">
            <v>FEDERAL MITIGATION PROGRAMS</v>
          </cell>
          <cell r="L77">
            <v>2141898.06</v>
          </cell>
        </row>
        <row r="78">
          <cell r="A78" t="str">
            <v xml:space="preserve">STATE MITIGATION PROGRAMS </v>
          </cell>
          <cell r="L78">
            <v>-0.19</v>
          </cell>
        </row>
        <row r="79">
          <cell r="A79" t="str">
            <v>FK BK WRITE-OFF BLUE RDGE EASE</v>
          </cell>
          <cell r="L79">
            <v>13422</v>
          </cell>
        </row>
        <row r="80">
          <cell r="A80" t="str">
            <v>FR BK WRITE-OFF BLUE RDGE EASE</v>
          </cell>
          <cell r="L80">
            <v>15660</v>
          </cell>
        </row>
        <row r="81">
          <cell r="A81" t="str">
            <v>SV BK WRITE-OFF BLUE RDGE EASE</v>
          </cell>
          <cell r="L81">
            <v>99325</v>
          </cell>
        </row>
        <row r="82">
          <cell r="A82" t="str">
            <v>CV BK WRITE-OFF BLUE RDGE EASE</v>
          </cell>
          <cell r="L82">
            <v>6218</v>
          </cell>
        </row>
        <row r="83">
          <cell r="A83" t="str">
            <v>TAX &gt; BOOK BASIS - EMA-A/C 190</v>
          </cell>
          <cell r="L83">
            <v>160441</v>
          </cell>
        </row>
        <row r="84">
          <cell r="A84" t="str">
            <v>DEFD TX LOSS-INTERCO SALE-EMA</v>
          </cell>
          <cell r="L84">
            <v>380022.85</v>
          </cell>
        </row>
        <row r="85">
          <cell r="A85" t="str">
            <v>DEFD BOOK GAIN-EPA AUCTION</v>
          </cell>
          <cell r="L85">
            <v>-125145</v>
          </cell>
        </row>
        <row r="86">
          <cell r="A86" t="str">
            <v>REG LIAB-UNREAL MTM GAIN-DEFL</v>
          </cell>
          <cell r="L86">
            <v>2927476.6</v>
          </cell>
        </row>
        <row r="87">
          <cell r="A87" t="str">
            <v>SECURITIZATION DEFD EQUITY INCOME - LONG-TERM</v>
          </cell>
          <cell r="L87">
            <v>1385418.65</v>
          </cell>
        </row>
        <row r="88">
          <cell r="A88" t="str">
            <v>CAPITALIZED SOFTWARE COSTS-TAX</v>
          </cell>
          <cell r="L88">
            <v>1525.4</v>
          </cell>
        </row>
        <row r="89">
          <cell r="A89" t="str">
            <v>ACCRD SFAS 106 PST RETIRE EXP</v>
          </cell>
          <cell r="L89">
            <v>-1920866.93</v>
          </cell>
        </row>
        <row r="90">
          <cell r="A90" t="str">
            <v>SFAS 106 PST RETIRE EXP - NON-DEDUCT CONT</v>
          </cell>
          <cell r="L90">
            <v>5813426.5</v>
          </cell>
        </row>
        <row r="91">
          <cell r="A91" t="str">
            <v>ACCRD OPEB COSTS - SFAS 158</v>
          </cell>
          <cell r="L91">
            <v>-190438.76</v>
          </cell>
        </row>
        <row r="92">
          <cell r="A92" t="str">
            <v>ACCRD SFAS 112 PST EMPLOY BEN</v>
          </cell>
          <cell r="L92">
            <v>3064052.38</v>
          </cell>
        </row>
        <row r="93">
          <cell r="A93" t="str">
            <v>ACCRD BOOK ARO EXPENSE - SFAS 143</v>
          </cell>
          <cell r="L93">
            <v>44658522.789999999</v>
          </cell>
        </row>
        <row r="94">
          <cell r="A94" t="str">
            <v>ACCRD BK ARO EXP - MTNR CARBON CAPTURE</v>
          </cell>
          <cell r="L94">
            <v>4071513.35</v>
          </cell>
        </row>
        <row r="95">
          <cell r="A95" t="str">
            <v>SFAS 106 - MEDICARE SUBSIDY - NORM - (PPACA)</v>
          </cell>
          <cell r="L95">
            <v>-2430799.54</v>
          </cell>
        </row>
        <row r="96">
          <cell r="A96" t="str">
            <v>GROSS RECEIPTS- TAX EXPENSE</v>
          </cell>
          <cell r="L96">
            <v>121212.84</v>
          </cell>
        </row>
        <row r="97">
          <cell r="A97" t="str">
            <v>ACCRUED BK REMOVAL COST - ACRS</v>
          </cell>
          <cell r="L97">
            <v>14651399.6</v>
          </cell>
        </row>
        <row r="98">
          <cell r="A98" t="str">
            <v>FIN 48 - DEFD STATE INCOME TAXES</v>
          </cell>
          <cell r="L98">
            <v>-1005.55</v>
          </cell>
        </row>
        <row r="99">
          <cell r="A99" t="str">
            <v>DEFD STATE INCOME TAXES</v>
          </cell>
          <cell r="L99">
            <v>5315496.9000000004</v>
          </cell>
        </row>
        <row r="100">
          <cell r="A100" t="str">
            <v>DEFD STATE INCOME TAXES</v>
          </cell>
          <cell r="L100">
            <v>-139415.24</v>
          </cell>
        </row>
        <row r="101">
          <cell r="A101" t="str">
            <v>DEFD STATE INCOME TAXES</v>
          </cell>
          <cell r="L101">
            <v>-15756626.9</v>
          </cell>
        </row>
        <row r="102">
          <cell r="A102" t="str">
            <v>DEFD STATE INCOME TAXES</v>
          </cell>
          <cell r="L102">
            <v>127011.5</v>
          </cell>
        </row>
        <row r="103">
          <cell r="A103" t="str">
            <v>DEFD STATE INCOME TAXES</v>
          </cell>
          <cell r="L103">
            <v>2699262.3</v>
          </cell>
        </row>
        <row r="104">
          <cell r="A104" t="str">
            <v>DEFD STATE INCOME TAXES</v>
          </cell>
          <cell r="L104">
            <v>20243065.899999999</v>
          </cell>
        </row>
        <row r="105">
          <cell r="A105" t="str">
            <v>ACCRD SIT/FRANCHISE TAX RESERVE</v>
          </cell>
          <cell r="L105">
            <v>-962030.65</v>
          </cell>
        </row>
        <row r="106">
          <cell r="A106" t="str">
            <v>ACCRD SIT/FRANCHISE TAX RESERVE</v>
          </cell>
          <cell r="L106">
            <v>368795</v>
          </cell>
        </row>
        <row r="107">
          <cell r="A107" t="str">
            <v>ACCRUED SALES &amp; USE TAX RESERVE</v>
          </cell>
          <cell r="L107">
            <v>-40600</v>
          </cell>
        </row>
        <row r="108">
          <cell r="A108" t="str">
            <v>ACCRUED SALES &amp; USE TAX RESERVE</v>
          </cell>
          <cell r="L108">
            <v>40600</v>
          </cell>
        </row>
        <row r="109">
          <cell r="A109" t="str">
            <v>ACCRD SIT TX RESERVE-LNG-TERM-FIN 48</v>
          </cell>
          <cell r="L109">
            <v>-369030.2</v>
          </cell>
        </row>
        <row r="110">
          <cell r="A110" t="str">
            <v>ACCRD SIT TX RESERVE-LNG-TERM-FIN 48</v>
          </cell>
          <cell r="L110">
            <v>369030.6</v>
          </cell>
        </row>
        <row r="111">
          <cell r="A111" t="str">
            <v>ACCRD SIT TX RESERVE-SHRT-TERM-FIN 48</v>
          </cell>
          <cell r="L111">
            <v>-49069.3</v>
          </cell>
        </row>
        <row r="112">
          <cell r="A112" t="str">
            <v>VALUATION ALLOWANCE-REALIZED CAP LOSS</v>
          </cell>
          <cell r="L112">
            <v>-520487.45</v>
          </cell>
        </row>
        <row r="113">
          <cell r="A113" t="str">
            <v>REALIZED CAPITAL LOSS</v>
          </cell>
          <cell r="L113">
            <v>520487.45</v>
          </cell>
        </row>
        <row r="114">
          <cell r="A114" t="str">
            <v>DEFD STATE INCOME TAXES</v>
          </cell>
          <cell r="L114">
            <v>1832501.7</v>
          </cell>
        </row>
        <row r="115">
          <cell r="A115" t="str">
            <v>IRS CAPITALIZATION ADJUSTMENT</v>
          </cell>
          <cell r="L115">
            <v>1442669.29</v>
          </cell>
        </row>
        <row r="116">
          <cell r="A116" t="str">
            <v>AMT CREDIT - DEFERRED</v>
          </cell>
          <cell r="L116">
            <v>2856949</v>
          </cell>
        </row>
        <row r="117">
          <cell r="A117" t="str">
            <v>NOL &amp; TAX CREDIT C/F - DEF TAX ASSET</v>
          </cell>
          <cell r="L117">
            <v>21948</v>
          </cell>
        </row>
        <row r="118">
          <cell r="A118" t="str">
            <v>INT EXP CAPITALIZED FOR TAX</v>
          </cell>
          <cell r="L118">
            <v>24235153.600000001</v>
          </cell>
        </row>
        <row r="119">
          <cell r="A119" t="str">
            <v>INT EXP CAPITALIZED FOR TAX</v>
          </cell>
          <cell r="L119">
            <v>-6898633</v>
          </cell>
        </row>
        <row r="120">
          <cell r="A120" t="str">
            <v>CIAC - BOOK RECEIPTS-DISTR -SV</v>
          </cell>
          <cell r="L120">
            <v>199643.3</v>
          </cell>
        </row>
        <row r="121">
          <cell r="A121" t="str">
            <v>CIAC - BOOK RECEIPTS-TRANS</v>
          </cell>
          <cell r="L121">
            <v>484357.47</v>
          </cell>
        </row>
        <row r="122">
          <cell r="A122" t="str">
            <v>CIAC - BOOK RECEIPTS-DISTR -SW</v>
          </cell>
          <cell r="L122">
            <v>112988.6</v>
          </cell>
        </row>
        <row r="123">
          <cell r="A123" t="str">
            <v>PROVS POSS REV REFDS</v>
          </cell>
          <cell r="L123">
            <v>1648034.91</v>
          </cell>
        </row>
        <row r="124">
          <cell r="A124" t="str">
            <v>PROV WORKER'S COMP</v>
          </cell>
          <cell r="L124">
            <v>9083.5400000000009</v>
          </cell>
        </row>
        <row r="125">
          <cell r="A125" t="str">
            <v>BK PROV UNCOLL ACCTS</v>
          </cell>
          <cell r="L125">
            <v>776.99</v>
          </cell>
        </row>
        <row r="126">
          <cell r="A126" t="str">
            <v>ACCRD COMPANYWIDE INCENTV PLAN</v>
          </cell>
          <cell r="L126">
            <v>-177048.37</v>
          </cell>
        </row>
        <row r="127">
          <cell r="A127" t="str">
            <v>ACCRUED BOOK VACATION PAY</v>
          </cell>
          <cell r="L127">
            <v>-159743.99</v>
          </cell>
        </row>
        <row r="128">
          <cell r="A128" t="str">
            <v>ACCRUED INTEREST-LONG-TERM - FIN 48</v>
          </cell>
          <cell r="L128">
            <v>-164806.25</v>
          </cell>
        </row>
        <row r="129">
          <cell r="A129" t="str">
            <v>ACCRUED INTEREST-LONG-TERM - FIN 48</v>
          </cell>
          <cell r="L129">
            <v>166370</v>
          </cell>
        </row>
        <row r="130">
          <cell r="A130" t="str">
            <v>ACCRUED STATE INCOME TAX EXP</v>
          </cell>
          <cell r="L130">
            <v>-240348.5</v>
          </cell>
        </row>
        <row r="131">
          <cell r="A131" t="str">
            <v>DEFD BK CONTRACT REVENUE</v>
          </cell>
          <cell r="L131">
            <v>371202.52</v>
          </cell>
        </row>
        <row r="132">
          <cell r="A132" t="str">
            <v>DEFERRED BOOK RENTS</v>
          </cell>
          <cell r="L132">
            <v>451167.98</v>
          </cell>
        </row>
        <row r="133">
          <cell r="A133" t="str">
            <v>CAPITALIZED SOFTWARE COSTS-TAX</v>
          </cell>
          <cell r="L133">
            <v>-360.9</v>
          </cell>
        </row>
        <row r="134">
          <cell r="A134" t="str">
            <v>CAPITALIZED ADVERTISING EXP-TX</v>
          </cell>
          <cell r="L134">
            <v>1385626.93</v>
          </cell>
        </row>
        <row r="135">
          <cell r="A135" t="str">
            <v>ACCRD SFAS 106 PST RETIRE EXP</v>
          </cell>
          <cell r="L135">
            <v>-346402.17</v>
          </cell>
        </row>
        <row r="136">
          <cell r="A136" t="str">
            <v>SFAS 106 PST RETIRE EXP - NON-DEDUCT CONT</v>
          </cell>
          <cell r="L136">
            <v>523254.55</v>
          </cell>
        </row>
        <row r="137">
          <cell r="A137" t="str">
            <v>ACCRD OPEB COSTS - SFAS 158</v>
          </cell>
          <cell r="L137">
            <v>104325.35</v>
          </cell>
        </row>
        <row r="138">
          <cell r="A138" t="str">
            <v>ACCRD SFAS 112 PST EMPLOY BEN</v>
          </cell>
          <cell r="L138">
            <v>521215.01</v>
          </cell>
        </row>
        <row r="139">
          <cell r="A139" t="str">
            <v>ACCRD BOOK ARO EXPENSE - SFAS 143</v>
          </cell>
          <cell r="L139">
            <v>7676.9</v>
          </cell>
        </row>
        <row r="140">
          <cell r="A140" t="str">
            <v>SFAS 106 - MEDICARE SUBSIDY - NORM - (PPACA)</v>
          </cell>
          <cell r="L140">
            <v>-350341.9</v>
          </cell>
        </row>
        <row r="141">
          <cell r="A141" t="str">
            <v>ACCRUED BK REMOVAL COST - ACRS</v>
          </cell>
          <cell r="L141">
            <v>29695808.550000001</v>
          </cell>
        </row>
        <row r="142">
          <cell r="A142" t="str">
            <v>FIN 48 - DEFD STATE INCOME TAXES</v>
          </cell>
          <cell r="L142">
            <v>-12447.75</v>
          </cell>
        </row>
        <row r="143">
          <cell r="A143" t="str">
            <v>DEFD STATE INCOME TAXES</v>
          </cell>
          <cell r="L143">
            <v>-3151505</v>
          </cell>
        </row>
        <row r="144">
          <cell r="A144" t="str">
            <v>DEFD STATE INCOME TAXES</v>
          </cell>
          <cell r="L144">
            <v>6266334.3700000001</v>
          </cell>
        </row>
        <row r="145">
          <cell r="A145" t="str">
            <v>ACCRD SIT TX RESERVE-LNG-TERM-FIN 48</v>
          </cell>
          <cell r="L145">
            <v>-468155.8</v>
          </cell>
        </row>
        <row r="146">
          <cell r="A146" t="str">
            <v>ACCRD SIT TX RESERVE-LNG-TERM-FIN 48</v>
          </cell>
          <cell r="L146">
            <v>468156</v>
          </cell>
        </row>
        <row r="147">
          <cell r="A147" t="str">
            <v>ACCRD SIT TX RESERVE-SHRT-TERM-FIN 48</v>
          </cell>
          <cell r="L147">
            <v>9496.9</v>
          </cell>
        </row>
        <row r="148">
          <cell r="A148" t="str">
            <v>IRS CAPITALIZATION ADJUSTMENT</v>
          </cell>
          <cell r="L148">
            <v>1088964.1000000001</v>
          </cell>
        </row>
        <row r="149">
          <cell r="A149" t="str">
            <v>AMT CREDIT - DEFERRED</v>
          </cell>
          <cell r="L149">
            <v>87795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I28"/>
  <sheetViews>
    <sheetView showGridLines="0" zoomScaleNormal="100" workbookViewId="0">
      <selection activeCell="D14" sqref="D14"/>
    </sheetView>
  </sheetViews>
  <sheetFormatPr defaultColWidth="9.109375" defaultRowHeight="13.2"/>
  <cols>
    <col min="1" max="1" width="23.5546875" style="1" customWidth="1"/>
    <col min="2" max="2" width="8.44140625" style="1" customWidth="1"/>
    <col min="3" max="3" width="11" style="1" customWidth="1"/>
    <col min="4" max="4" width="15.5546875" style="1" customWidth="1"/>
    <col min="5" max="5" width="15" style="1" customWidth="1"/>
    <col min="6" max="16384" width="9.109375" style="1"/>
  </cols>
  <sheetData>
    <row r="1" spans="1:9">
      <c r="A1" s="552"/>
      <c r="B1" s="298" t="s">
        <v>113</v>
      </c>
      <c r="C1" s="552"/>
      <c r="D1" s="552"/>
      <c r="E1" s="552"/>
      <c r="F1" s="297" t="s">
        <v>607</v>
      </c>
      <c r="G1" s="552"/>
      <c r="H1" s="552"/>
    </row>
    <row r="2" spans="1:9">
      <c r="A2" s="661" t="s">
        <v>626</v>
      </c>
      <c r="B2" s="661"/>
      <c r="C2" s="661"/>
      <c r="D2" s="661"/>
      <c r="E2" s="661"/>
      <c r="F2" s="661"/>
      <c r="G2" s="661"/>
      <c r="H2" s="552"/>
    </row>
    <row r="3" spans="1:9">
      <c r="A3" s="666" t="s">
        <v>606</v>
      </c>
      <c r="B3" s="666"/>
      <c r="C3" s="666"/>
      <c r="D3" s="666"/>
      <c r="E3" s="666"/>
      <c r="F3" s="666"/>
      <c r="G3" s="666"/>
      <c r="H3" s="552"/>
    </row>
    <row r="4" spans="1:9">
      <c r="A4" s="661" t="s">
        <v>608</v>
      </c>
      <c r="B4" s="661"/>
      <c r="C4" s="661"/>
      <c r="D4" s="661"/>
      <c r="E4" s="661"/>
      <c r="F4" s="661"/>
      <c r="G4" s="661"/>
      <c r="H4" s="552"/>
    </row>
    <row r="5" spans="1:9">
      <c r="A5" s="673" t="s">
        <v>989</v>
      </c>
      <c r="B5" s="673"/>
      <c r="C5" s="673"/>
      <c r="D5" s="673"/>
      <c r="E5" s="661"/>
      <c r="F5" s="661"/>
      <c r="G5" s="661"/>
      <c r="H5" s="552"/>
    </row>
    <row r="6" spans="1:9">
      <c r="A6" s="552"/>
      <c r="B6" s="552"/>
      <c r="C6" s="552"/>
      <c r="D6" s="552"/>
      <c r="E6" s="552"/>
      <c r="F6" s="552"/>
      <c r="G6" s="552"/>
      <c r="H6" s="552"/>
    </row>
    <row r="7" spans="1:9" ht="15">
      <c r="A7" s="742"/>
      <c r="B7" s="742"/>
      <c r="C7" s="743" t="s">
        <v>562</v>
      </c>
      <c r="D7" s="742"/>
      <c r="E7" s="742"/>
      <c r="F7" s="552"/>
      <c r="G7" s="552"/>
      <c r="H7" s="552"/>
    </row>
    <row r="8" spans="1:9" ht="17.399999999999999">
      <c r="A8" s="601" t="s">
        <v>108</v>
      </c>
      <c r="B8" s="743" t="s">
        <v>384</v>
      </c>
      <c r="C8" s="743" t="s">
        <v>533</v>
      </c>
      <c r="D8" s="743" t="s">
        <v>550</v>
      </c>
      <c r="E8" s="744" t="s">
        <v>990</v>
      </c>
      <c r="F8" s="552"/>
      <c r="G8" s="552"/>
      <c r="H8" s="552"/>
    </row>
    <row r="9" spans="1:9" ht="15">
      <c r="A9" s="745" t="s">
        <v>573</v>
      </c>
      <c r="B9" s="746">
        <v>20</v>
      </c>
      <c r="C9" s="747">
        <v>1700</v>
      </c>
      <c r="D9" s="748">
        <v>5608.0619999999999</v>
      </c>
      <c r="E9" s="749" t="s">
        <v>278</v>
      </c>
      <c r="F9" s="552"/>
      <c r="G9" s="552"/>
      <c r="H9" s="552"/>
      <c r="I9" s="274"/>
    </row>
    <row r="10" spans="1:9" ht="15">
      <c r="A10" s="745" t="s">
        <v>573</v>
      </c>
      <c r="B10" s="746">
        <v>28</v>
      </c>
      <c r="C10" s="747">
        <v>1700</v>
      </c>
      <c r="D10" s="748">
        <v>5554.0690000000004</v>
      </c>
      <c r="E10" s="742"/>
      <c r="F10" s="552"/>
      <c r="G10" s="552"/>
      <c r="H10" s="552"/>
      <c r="I10" s="274"/>
    </row>
    <row r="11" spans="1:9" ht="15">
      <c r="A11" s="745" t="s">
        <v>573</v>
      </c>
      <c r="B11" s="746">
        <v>29</v>
      </c>
      <c r="C11" s="747">
        <v>1700</v>
      </c>
      <c r="D11" s="748">
        <v>5430.78</v>
      </c>
      <c r="E11" s="742"/>
      <c r="F11" s="552"/>
      <c r="G11" s="552"/>
      <c r="H11" s="552"/>
      <c r="I11" s="274"/>
    </row>
    <row r="12" spans="1:9" ht="15">
      <c r="A12" s="745" t="s">
        <v>1237</v>
      </c>
      <c r="B12" s="746">
        <v>17</v>
      </c>
      <c r="C12" s="747">
        <v>1500</v>
      </c>
      <c r="D12" s="748">
        <v>5330.1610000000001</v>
      </c>
      <c r="E12" s="742"/>
      <c r="F12" s="552"/>
      <c r="G12" s="552"/>
      <c r="H12" s="552"/>
      <c r="I12" s="274"/>
    </row>
    <row r="13" spans="1:9" ht="15">
      <c r="A13" s="745" t="s">
        <v>988</v>
      </c>
      <c r="B13" s="746">
        <v>3</v>
      </c>
      <c r="C13" s="747">
        <v>1700</v>
      </c>
      <c r="D13" s="748">
        <v>5203.6899999999996</v>
      </c>
      <c r="E13" s="742"/>
      <c r="F13" s="552"/>
      <c r="G13" s="552"/>
      <c r="H13" s="552"/>
      <c r="I13" s="274"/>
    </row>
    <row r="14" spans="1:9" ht="15">
      <c r="A14" s="742"/>
      <c r="B14" s="742"/>
      <c r="C14" s="742"/>
      <c r="D14" s="750"/>
      <c r="E14" s="742"/>
      <c r="F14" s="552"/>
      <c r="G14" s="552"/>
      <c r="H14" s="552"/>
      <c r="I14" s="274"/>
    </row>
    <row r="15" spans="1:9" ht="15">
      <c r="A15" s="742" t="s">
        <v>385</v>
      </c>
      <c r="B15" s="742"/>
      <c r="C15" s="742"/>
      <c r="D15" s="751">
        <f>ROUND(AVERAGE(D9:D13),1)</f>
        <v>5425.4</v>
      </c>
      <c r="E15" s="742"/>
      <c r="F15" s="552"/>
      <c r="G15" s="552"/>
      <c r="H15" s="552"/>
      <c r="I15" s="274"/>
    </row>
    <row r="16" spans="1:9" ht="15">
      <c r="A16" s="742"/>
      <c r="B16" s="742"/>
      <c r="C16" s="742"/>
      <c r="D16" s="752"/>
      <c r="E16" s="742"/>
      <c r="F16" s="552"/>
      <c r="G16" s="552"/>
      <c r="H16" s="552"/>
      <c r="I16" s="274"/>
    </row>
    <row r="17" spans="1:9" ht="15">
      <c r="A17" s="742"/>
      <c r="B17" s="742"/>
      <c r="C17" s="742"/>
      <c r="D17" s="750"/>
      <c r="E17" s="742"/>
      <c r="F17" s="552"/>
      <c r="G17" s="552"/>
      <c r="H17" s="552"/>
      <c r="I17" s="274"/>
    </row>
    <row r="18" spans="1:9" ht="15">
      <c r="A18" s="742" t="s">
        <v>101</v>
      </c>
      <c r="B18" s="742"/>
      <c r="C18" s="742"/>
      <c r="D18" s="751">
        <f>+D15</f>
        <v>5425.4</v>
      </c>
      <c r="E18" s="742"/>
      <c r="F18" s="552"/>
      <c r="G18" s="552"/>
      <c r="H18" s="552"/>
      <c r="I18" s="274"/>
    </row>
    <row r="19" spans="1:9">
      <c r="A19" s="552"/>
      <c r="B19" s="552"/>
      <c r="C19" s="552"/>
      <c r="D19" s="552"/>
      <c r="E19" s="552"/>
      <c r="F19" s="552"/>
      <c r="G19" s="552"/>
      <c r="H19" s="552"/>
      <c r="I19" s="274"/>
    </row>
    <row r="20" spans="1:9">
      <c r="A20" s="552"/>
      <c r="B20" s="552"/>
      <c r="C20" s="552"/>
      <c r="D20" s="552"/>
      <c r="E20" s="552"/>
      <c r="F20" s="552"/>
      <c r="G20" s="552"/>
      <c r="H20" s="552"/>
      <c r="I20" s="274"/>
    </row>
    <row r="21" spans="1:9">
      <c r="A21" s="87" t="s">
        <v>547</v>
      </c>
      <c r="B21" s="552"/>
      <c r="C21" s="552"/>
      <c r="D21" s="552"/>
      <c r="E21" s="552"/>
      <c r="F21" s="552"/>
      <c r="G21" s="552"/>
      <c r="H21" s="552"/>
      <c r="I21" s="274"/>
    </row>
    <row r="22" spans="1:9">
      <c r="A22" s="87" t="s">
        <v>113</v>
      </c>
      <c r="B22" s="552"/>
      <c r="C22" s="552"/>
      <c r="D22" s="552"/>
      <c r="E22" s="552"/>
      <c r="F22" s="552"/>
      <c r="G22" s="552"/>
      <c r="H22" s="552"/>
      <c r="I22" s="274"/>
    </row>
    <row r="23" spans="1:9">
      <c r="A23" s="193" t="s">
        <v>279</v>
      </c>
      <c r="B23" s="552"/>
      <c r="C23" s="552"/>
      <c r="D23" s="552"/>
      <c r="E23" s="552"/>
      <c r="F23" s="552"/>
      <c r="G23" s="552"/>
      <c r="H23" s="552"/>
      <c r="I23" s="274"/>
    </row>
    <row r="24" spans="1:9" ht="15.6">
      <c r="A24" s="195" t="s">
        <v>280</v>
      </c>
      <c r="B24" s="552"/>
      <c r="C24" s="552"/>
      <c r="D24" s="552"/>
      <c r="E24" s="552"/>
      <c r="F24" s="552"/>
      <c r="G24" s="552"/>
      <c r="H24" s="552"/>
      <c r="I24" s="274"/>
    </row>
    <row r="25" spans="1:9">
      <c r="A25" s="552"/>
      <c r="B25" s="552"/>
      <c r="C25" s="552"/>
      <c r="D25" s="552"/>
      <c r="E25" s="552"/>
      <c r="F25" s="552"/>
      <c r="G25" s="552"/>
      <c r="H25" s="552"/>
      <c r="I25" s="274"/>
    </row>
    <row r="26" spans="1:9">
      <c r="A26" s="552"/>
      <c r="B26" s="552"/>
      <c r="C26" s="552"/>
      <c r="D26" s="552"/>
      <c r="E26" s="552"/>
      <c r="F26" s="552"/>
      <c r="G26" s="552"/>
      <c r="H26" s="552"/>
    </row>
    <row r="27" spans="1:9">
      <c r="A27" s="552"/>
      <c r="B27" s="552"/>
      <c r="C27" s="552"/>
      <c r="D27" s="552"/>
      <c r="E27" s="552"/>
      <c r="F27" s="552"/>
      <c r="G27" s="552"/>
      <c r="H27" s="552"/>
    </row>
    <row r="28" spans="1:9">
      <c r="A28" s="552" t="s">
        <v>113</v>
      </c>
      <c r="B28" s="552"/>
      <c r="C28" s="552"/>
      <c r="D28" s="552"/>
      <c r="E28" s="552"/>
      <c r="F28" s="552"/>
      <c r="G28" s="552"/>
      <c r="H28" s="552"/>
    </row>
  </sheetData>
  <mergeCells count="4">
    <mergeCell ref="A2:G2"/>
    <mergeCell ref="A4:G4"/>
    <mergeCell ref="A5:G5"/>
    <mergeCell ref="A3:G3"/>
  </mergeCells>
  <phoneticPr fontId="2" type="noConversion"/>
  <pageMargins left="0.5" right="0.5" top="0.5" bottom="0.5" header="0.5" footer="0.25"/>
  <pageSetup orientation="portrait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I50"/>
  <sheetViews>
    <sheetView showGridLines="0" view="pageBreakPreview" zoomScale="60" zoomScaleNormal="100" workbookViewId="0">
      <selection activeCell="C46" sqref="C46"/>
    </sheetView>
  </sheetViews>
  <sheetFormatPr defaultColWidth="9.109375" defaultRowHeight="13.2"/>
  <cols>
    <col min="1" max="1" width="37.88671875" style="1" customWidth="1"/>
    <col min="2" max="2" width="15.88671875" style="1" customWidth="1"/>
    <col min="3" max="3" width="20" style="1" customWidth="1"/>
    <col min="4" max="4" width="12.5546875" style="1" customWidth="1"/>
    <col min="5" max="5" width="16.88671875" style="1" customWidth="1"/>
    <col min="6" max="16384" width="9.109375" style="1"/>
  </cols>
  <sheetData>
    <row r="1" spans="1:9">
      <c r="D1" s="297" t="s">
        <v>113</v>
      </c>
    </row>
    <row r="2" spans="1:9">
      <c r="A2" s="661" t="s">
        <v>626</v>
      </c>
      <c r="B2" s="661"/>
      <c r="C2" s="661"/>
      <c r="D2" s="297" t="s">
        <v>113</v>
      </c>
    </row>
    <row r="3" spans="1:9">
      <c r="A3" s="680" t="s">
        <v>615</v>
      </c>
      <c r="B3" s="664"/>
      <c r="C3" s="664"/>
      <c r="D3" s="308"/>
      <c r="E3" s="308"/>
      <c r="F3" s="308"/>
      <c r="G3" s="308"/>
      <c r="H3" s="308"/>
      <c r="I3" s="308"/>
    </row>
    <row r="4" spans="1:9">
      <c r="A4" s="661" t="s">
        <v>618</v>
      </c>
      <c r="B4" s="661"/>
      <c r="C4" s="661"/>
      <c r="D4" s="107"/>
    </row>
    <row r="5" spans="1:9">
      <c r="A5" s="697" t="s">
        <v>1117</v>
      </c>
      <c r="B5" s="697"/>
      <c r="C5" s="697"/>
      <c r="D5" s="242"/>
    </row>
    <row r="7" spans="1:9">
      <c r="A7" s="110" t="s">
        <v>114</v>
      </c>
      <c r="B7" s="18" t="s">
        <v>117</v>
      </c>
      <c r="C7" s="240">
        <v>42004</v>
      </c>
      <c r="D7" s="240"/>
    </row>
    <row r="8" spans="1:9">
      <c r="A8" s="318" t="s">
        <v>64</v>
      </c>
    </row>
    <row r="9" spans="1:9">
      <c r="A9" s="1" t="s">
        <v>69</v>
      </c>
      <c r="B9" s="107">
        <v>301</v>
      </c>
      <c r="C9" s="143">
        <v>133394</v>
      </c>
      <c r="D9" s="248"/>
    </row>
    <row r="10" spans="1:9">
      <c r="B10" s="107"/>
      <c r="C10" s="143"/>
      <c r="D10" s="248"/>
    </row>
    <row r="11" spans="1:9">
      <c r="A11" s="1" t="s">
        <v>70</v>
      </c>
      <c r="B11" s="107">
        <v>302</v>
      </c>
      <c r="C11" s="143">
        <v>15486445</v>
      </c>
      <c r="D11" s="248"/>
    </row>
    <row r="12" spans="1:9">
      <c r="B12" s="107"/>
      <c r="C12" s="327"/>
      <c r="D12" s="248"/>
    </row>
    <row r="13" spans="1:9">
      <c r="A13" s="1" t="s">
        <v>71</v>
      </c>
      <c r="B13" s="107">
        <v>303</v>
      </c>
      <c r="C13" s="143">
        <v>67416614</v>
      </c>
      <c r="D13" s="248"/>
    </row>
    <row r="14" spans="1:9">
      <c r="B14" s="107"/>
      <c r="C14" s="248"/>
      <c r="D14" s="248"/>
    </row>
    <row r="15" spans="1:9">
      <c r="A15" s="1" t="s">
        <v>72</v>
      </c>
      <c r="C15" s="249">
        <f>SUM(C9:C13)</f>
        <v>83036453</v>
      </c>
      <c r="D15" s="249"/>
    </row>
    <row r="17" spans="1:4">
      <c r="A17" s="318" t="s">
        <v>951</v>
      </c>
      <c r="C17" s="6"/>
      <c r="D17" s="6"/>
    </row>
    <row r="18" spans="1:4">
      <c r="A18" s="1" t="s">
        <v>119</v>
      </c>
      <c r="B18" s="107">
        <v>389</v>
      </c>
      <c r="C18" s="3">
        <v>15052410</v>
      </c>
      <c r="D18" s="3"/>
    </row>
    <row r="19" spans="1:4">
      <c r="B19" s="107"/>
      <c r="C19" s="6"/>
      <c r="D19" s="6"/>
    </row>
    <row r="20" spans="1:4">
      <c r="A20" s="1" t="s">
        <v>120</v>
      </c>
      <c r="B20" s="107">
        <v>390</v>
      </c>
      <c r="C20" s="3">
        <v>114422309</v>
      </c>
      <c r="D20" s="3"/>
    </row>
    <row r="21" spans="1:4">
      <c r="C21" s="6"/>
      <c r="D21" s="6"/>
    </row>
    <row r="22" spans="1:4">
      <c r="A22" s="1" t="s">
        <v>121</v>
      </c>
      <c r="B22" s="107">
        <v>391</v>
      </c>
      <c r="C22" s="3">
        <v>6900393</v>
      </c>
      <c r="D22" s="3"/>
    </row>
    <row r="23" spans="1:4">
      <c r="B23" s="107"/>
      <c r="C23" s="6"/>
      <c r="D23" s="6"/>
    </row>
    <row r="24" spans="1:4">
      <c r="A24" s="1" t="s">
        <v>122</v>
      </c>
      <c r="B24" s="107">
        <v>392</v>
      </c>
      <c r="C24" s="3">
        <v>445</v>
      </c>
      <c r="D24" s="3"/>
    </row>
    <row r="25" spans="1:4">
      <c r="B25" s="107"/>
      <c r="C25" s="11"/>
      <c r="D25" s="11"/>
    </row>
    <row r="26" spans="1:4">
      <c r="A26" s="1" t="s">
        <v>123</v>
      </c>
      <c r="B26" s="107">
        <v>393</v>
      </c>
      <c r="C26" s="3">
        <v>1414724</v>
      </c>
      <c r="D26" s="3"/>
    </row>
    <row r="27" spans="1:4">
      <c r="B27" s="107"/>
      <c r="C27" s="11"/>
      <c r="D27" s="11"/>
    </row>
    <row r="28" spans="1:4">
      <c r="B28" s="107"/>
      <c r="C28" s="11"/>
      <c r="D28" s="11"/>
    </row>
    <row r="29" spans="1:4">
      <c r="A29" s="1" t="s">
        <v>124</v>
      </c>
      <c r="B29" s="107">
        <v>394</v>
      </c>
      <c r="C29" s="3">
        <v>27955826</v>
      </c>
      <c r="D29" s="3"/>
    </row>
    <row r="30" spans="1:4">
      <c r="B30" s="107"/>
      <c r="C30" s="11"/>
      <c r="D30" s="11"/>
    </row>
    <row r="31" spans="1:4">
      <c r="A31" s="1" t="s">
        <v>125</v>
      </c>
      <c r="B31" s="107">
        <v>395</v>
      </c>
      <c r="C31" s="3">
        <v>2737066</v>
      </c>
      <c r="D31" s="3"/>
    </row>
    <row r="32" spans="1:4">
      <c r="B32" s="107"/>
      <c r="C32" s="11"/>
      <c r="D32" s="11"/>
    </row>
    <row r="33" spans="1:4">
      <c r="A33" s="1" t="s">
        <v>126</v>
      </c>
      <c r="B33" s="107">
        <v>396</v>
      </c>
      <c r="C33" s="3">
        <v>0</v>
      </c>
      <c r="D33" s="3"/>
    </row>
    <row r="34" spans="1:4">
      <c r="B34" s="107"/>
      <c r="C34" s="11"/>
      <c r="D34" s="11"/>
    </row>
    <row r="35" spans="1:4">
      <c r="A35" s="1" t="s">
        <v>127</v>
      </c>
      <c r="B35" s="107">
        <v>397</v>
      </c>
      <c r="C35" s="3">
        <v>33360799</v>
      </c>
      <c r="D35" s="3"/>
    </row>
    <row r="36" spans="1:4">
      <c r="B36" s="107"/>
      <c r="C36" s="11"/>
      <c r="D36" s="11"/>
    </row>
    <row r="37" spans="1:4">
      <c r="A37" s="1" t="s">
        <v>128</v>
      </c>
      <c r="B37" s="107">
        <v>398</v>
      </c>
      <c r="C37" s="3">
        <v>6621552</v>
      </c>
      <c r="D37" s="3"/>
    </row>
    <row r="38" spans="1:4">
      <c r="B38" s="107"/>
      <c r="C38" s="11"/>
      <c r="D38" s="11"/>
    </row>
    <row r="39" spans="1:4">
      <c r="A39" s="1" t="s">
        <v>634</v>
      </c>
      <c r="B39" s="107">
        <v>399</v>
      </c>
      <c r="C39" s="11">
        <v>0</v>
      </c>
      <c r="D39" s="11"/>
    </row>
    <row r="40" spans="1:4">
      <c r="B40" s="107"/>
      <c r="C40" s="11"/>
      <c r="D40" s="11"/>
    </row>
    <row r="41" spans="1:4">
      <c r="C41" s="6"/>
      <c r="D41" s="6"/>
    </row>
    <row r="42" spans="1:4">
      <c r="A42" s="1" t="s">
        <v>210</v>
      </c>
      <c r="C42" s="6">
        <f>SUM(C18:C39)</f>
        <v>208465524</v>
      </c>
      <c r="D42" s="6"/>
    </row>
    <row r="43" spans="1:4">
      <c r="A43" s="318" t="s">
        <v>65</v>
      </c>
      <c r="C43" s="6"/>
      <c r="D43" s="6"/>
    </row>
    <row r="44" spans="1:4">
      <c r="A44" s="267" t="s">
        <v>546</v>
      </c>
      <c r="B44" s="267"/>
      <c r="C44" s="295">
        <f>+C42+C15</f>
        <v>291501977</v>
      </c>
      <c r="D44" s="249"/>
    </row>
    <row r="45" spans="1:4">
      <c r="C45" s="249"/>
      <c r="D45" s="249"/>
    </row>
    <row r="46" spans="1:4">
      <c r="A46" s="1" t="s">
        <v>548</v>
      </c>
      <c r="B46" s="27" t="s">
        <v>601</v>
      </c>
      <c r="C46" s="249">
        <f>+C44+811747</f>
        <v>292313724</v>
      </c>
      <c r="D46" s="249"/>
    </row>
    <row r="47" spans="1:4">
      <c r="C47" s="181"/>
      <c r="D47" s="181"/>
    </row>
    <row r="48" spans="1:4">
      <c r="A48" s="7" t="s">
        <v>549</v>
      </c>
    </row>
    <row r="49" spans="1:1">
      <c r="A49" s="296" t="s">
        <v>552</v>
      </c>
    </row>
    <row r="50" spans="1:1">
      <c r="A50" s="296" t="s">
        <v>553</v>
      </c>
    </row>
  </sheetData>
  <mergeCells count="4">
    <mergeCell ref="A2:C2"/>
    <mergeCell ref="A4:C4"/>
    <mergeCell ref="A5:C5"/>
    <mergeCell ref="A3:C3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I23"/>
  <sheetViews>
    <sheetView showGridLines="0" view="pageBreakPreview" zoomScale="60" zoomScaleNormal="100" workbookViewId="0">
      <selection activeCell="B21" sqref="B21"/>
    </sheetView>
  </sheetViews>
  <sheetFormatPr defaultColWidth="11" defaultRowHeight="13.2"/>
  <cols>
    <col min="1" max="1" width="45.109375" style="67" customWidth="1"/>
    <col min="2" max="3" width="14.6640625" style="67" customWidth="1"/>
    <col min="4" max="4" width="8.5546875" style="67" customWidth="1"/>
    <col min="5" max="5" width="18.6640625" style="67" customWidth="1"/>
    <col min="6" max="10" width="9.109375" style="67" customWidth="1"/>
    <col min="11" max="11" width="10.6640625" style="67" customWidth="1"/>
    <col min="12" max="16384" width="11" style="67"/>
  </cols>
  <sheetData>
    <row r="1" spans="1:9">
      <c r="E1" s="309" t="s">
        <v>113</v>
      </c>
    </row>
    <row r="2" spans="1:9">
      <c r="A2" s="698" t="s">
        <v>626</v>
      </c>
      <c r="B2" s="662"/>
      <c r="C2" s="662"/>
      <c r="D2" s="662"/>
      <c r="E2" s="241"/>
      <c r="F2" s="241"/>
    </row>
    <row r="3" spans="1:9">
      <c r="A3" s="680" t="s">
        <v>606</v>
      </c>
      <c r="B3" s="671"/>
      <c r="C3" s="671"/>
      <c r="D3" s="671"/>
      <c r="E3" s="387"/>
      <c r="F3" s="387"/>
    </row>
    <row r="4" spans="1:9">
      <c r="A4" s="698" t="s">
        <v>905</v>
      </c>
      <c r="B4" s="662"/>
      <c r="C4" s="662"/>
      <c r="D4" s="662"/>
      <c r="E4" s="241"/>
      <c r="F4" s="241"/>
    </row>
    <row r="5" spans="1:9">
      <c r="A5" s="699" t="s">
        <v>1117</v>
      </c>
      <c r="B5" s="662"/>
      <c r="C5" s="662"/>
      <c r="D5" s="662"/>
      <c r="E5" s="241"/>
      <c r="F5" s="241"/>
    </row>
    <row r="6" spans="1:9">
      <c r="B6" s="188"/>
      <c r="C6" s="188"/>
      <c r="D6" s="188"/>
      <c r="E6" s="188"/>
    </row>
    <row r="7" spans="1:9">
      <c r="B7" s="67" t="s">
        <v>113</v>
      </c>
      <c r="C7" s="67" t="s">
        <v>113</v>
      </c>
    </row>
    <row r="8" spans="1:9">
      <c r="A8" s="328" t="s">
        <v>762</v>
      </c>
      <c r="B8" s="279" t="s">
        <v>296</v>
      </c>
      <c r="C8" s="280" t="s">
        <v>359</v>
      </c>
    </row>
    <row r="9" spans="1:9">
      <c r="A9" s="278" t="s">
        <v>360</v>
      </c>
      <c r="B9" s="281">
        <v>175176949</v>
      </c>
      <c r="C9" s="282" t="s">
        <v>952</v>
      </c>
      <c r="E9" s="66"/>
      <c r="G9" s="66"/>
    </row>
    <row r="10" spans="1:9">
      <c r="A10" s="278" t="s">
        <v>758</v>
      </c>
      <c r="B10" s="281">
        <v>2890929</v>
      </c>
      <c r="C10" s="282" t="s">
        <v>759</v>
      </c>
      <c r="D10" s="68"/>
      <c r="E10" s="68"/>
      <c r="G10" s="68"/>
      <c r="H10" s="68"/>
      <c r="I10" s="68"/>
    </row>
    <row r="11" spans="1:9">
      <c r="A11" s="278" t="s">
        <v>757</v>
      </c>
      <c r="B11" s="281">
        <v>2388232</v>
      </c>
      <c r="C11" s="282" t="s">
        <v>760</v>
      </c>
      <c r="D11" s="68"/>
      <c r="E11" s="68"/>
      <c r="G11" s="68"/>
      <c r="H11" s="68"/>
      <c r="I11" s="68"/>
    </row>
    <row r="12" spans="1:9">
      <c r="A12" s="278" t="s">
        <v>635</v>
      </c>
      <c r="B12" s="281">
        <v>14813806</v>
      </c>
      <c r="C12" s="282" t="s">
        <v>636</v>
      </c>
      <c r="D12" s="68"/>
      <c r="E12" s="68"/>
      <c r="G12" s="68"/>
      <c r="H12" s="68"/>
      <c r="I12" s="68"/>
    </row>
    <row r="13" spans="1:9">
      <c r="A13" s="278" t="s">
        <v>110</v>
      </c>
      <c r="B13" s="281">
        <v>37558327</v>
      </c>
      <c r="C13" s="283" t="s">
        <v>361</v>
      </c>
      <c r="D13" s="72"/>
      <c r="E13" s="69"/>
      <c r="G13" s="69"/>
      <c r="H13" s="70"/>
      <c r="I13" s="71"/>
    </row>
    <row r="14" spans="1:9">
      <c r="A14" s="278" t="s">
        <v>111</v>
      </c>
      <c r="B14" s="284">
        <v>121892372</v>
      </c>
      <c r="C14" s="285" t="s">
        <v>362</v>
      </c>
    </row>
    <row r="15" spans="1:9">
      <c r="A15" s="286" t="s">
        <v>131</v>
      </c>
      <c r="B15" s="281">
        <f>3932121+58714</f>
        <v>3990835</v>
      </c>
      <c r="C15" s="283" t="s">
        <v>569</v>
      </c>
      <c r="D15" s="73"/>
      <c r="G15" s="69"/>
      <c r="H15" s="70"/>
      <c r="I15" s="71"/>
    </row>
    <row r="16" spans="1:9">
      <c r="A16" s="287" t="s">
        <v>363</v>
      </c>
      <c r="B16" s="288">
        <v>18746783</v>
      </c>
      <c r="C16" s="289" t="s">
        <v>709</v>
      </c>
    </row>
    <row r="17" spans="1:8">
      <c r="A17" s="389" t="s">
        <v>207</v>
      </c>
      <c r="B17" s="290">
        <f>SUM(B9:B16)</f>
        <v>377458233</v>
      </c>
      <c r="C17" s="388" t="s">
        <v>761</v>
      </c>
      <c r="H17" s="67" t="s">
        <v>113</v>
      </c>
    </row>
    <row r="18" spans="1:8">
      <c r="A18" s="278"/>
      <c r="B18" s="290"/>
      <c r="C18" s="285"/>
    </row>
    <row r="19" spans="1:8">
      <c r="A19" s="390" t="s">
        <v>364</v>
      </c>
      <c r="B19" s="288">
        <v>6375693</v>
      </c>
      <c r="C19" s="289" t="s">
        <v>365</v>
      </c>
    </row>
    <row r="20" spans="1:8">
      <c r="A20" s="278"/>
      <c r="B20" s="290"/>
      <c r="C20" s="285"/>
    </row>
    <row r="21" spans="1:8">
      <c r="A21" s="67" t="s">
        <v>892</v>
      </c>
      <c r="B21" s="37">
        <f>+B17+B19</f>
        <v>383833926</v>
      </c>
      <c r="C21" s="388" t="s">
        <v>366</v>
      </c>
    </row>
    <row r="23" spans="1:8" ht="15.6">
      <c r="A23" s="393" t="s">
        <v>113</v>
      </c>
    </row>
  </sheetData>
  <mergeCells count="4">
    <mergeCell ref="A2:D2"/>
    <mergeCell ref="A3:D3"/>
    <mergeCell ref="A4:D4"/>
    <mergeCell ref="A5:D5"/>
  </mergeCells>
  <phoneticPr fontId="2" type="noConversion"/>
  <conditionalFormatting sqref="H15 H13">
    <cfRule type="cellIs" dxfId="6" priority="1" stopIfTrue="1" operator="equal">
      <formula>FALSE</formula>
    </cfRule>
  </conditionalFormatting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"/>
  <sheetViews>
    <sheetView view="pageBreakPreview" zoomScale="60" zoomScaleNormal="100" workbookViewId="0">
      <selection activeCell="L9" sqref="L9"/>
    </sheetView>
  </sheetViews>
  <sheetFormatPr defaultRowHeight="13.2"/>
  <sheetData>
    <row r="1" spans="1:8">
      <c r="A1" s="662" t="s">
        <v>630</v>
      </c>
      <c r="B1" s="662"/>
      <c r="C1" s="662"/>
      <c r="D1" s="662"/>
      <c r="E1" s="662"/>
      <c r="F1" s="662"/>
      <c r="G1" s="662"/>
      <c r="H1" s="662"/>
    </row>
    <row r="2" spans="1:8">
      <c r="A2" s="669" t="s">
        <v>606</v>
      </c>
      <c r="B2" s="662"/>
      <c r="C2" s="662"/>
      <c r="D2" s="662"/>
      <c r="E2" s="662"/>
      <c r="F2" s="662"/>
      <c r="G2" s="662"/>
      <c r="H2" s="662"/>
    </row>
    <row r="3" spans="1:8">
      <c r="A3" s="662" t="s">
        <v>66</v>
      </c>
      <c r="B3" s="662"/>
      <c r="C3" s="662"/>
      <c r="D3" s="662"/>
      <c r="E3" s="662"/>
      <c r="F3" s="662"/>
      <c r="G3" s="662"/>
      <c r="H3" s="662"/>
    </row>
    <row r="7" spans="1:8">
      <c r="B7" t="s">
        <v>620</v>
      </c>
    </row>
  </sheetData>
  <mergeCells count="3">
    <mergeCell ref="A1:H1"/>
    <mergeCell ref="A2:H2"/>
    <mergeCell ref="A3:H3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S220"/>
  <sheetViews>
    <sheetView showOutlineSymbols="0" view="pageBreakPreview" zoomScale="60" zoomScaleNormal="87" workbookViewId="0">
      <selection activeCell="M73" sqref="M73"/>
    </sheetView>
  </sheetViews>
  <sheetFormatPr defaultColWidth="12.6640625" defaultRowHeight="13.2"/>
  <cols>
    <col min="1" max="1" width="4.5546875" style="433" customWidth="1"/>
    <col min="2" max="2" width="56.109375" style="426" customWidth="1"/>
    <col min="3" max="3" width="20.5546875" style="426" customWidth="1"/>
    <col min="4" max="4" width="20.5546875" style="426" hidden="1" customWidth="1"/>
    <col min="5" max="5" width="23.44140625" style="426" customWidth="1"/>
    <col min="6" max="6" width="19.88671875" style="426" hidden="1" customWidth="1"/>
    <col min="7" max="7" width="16.6640625" style="426" hidden="1" customWidth="1"/>
    <col min="8" max="8" width="4.109375" style="426" hidden="1" customWidth="1"/>
    <col min="9" max="9" width="14" style="426" hidden="1" customWidth="1"/>
    <col min="10" max="10" width="15.88671875" style="426" hidden="1" customWidth="1"/>
    <col min="11" max="11" width="15.109375" style="426" hidden="1" customWidth="1"/>
    <col min="12" max="12" width="2.5546875" style="426" hidden="1" customWidth="1"/>
    <col min="13" max="13" width="23.33203125" style="426" customWidth="1"/>
    <col min="14" max="14" width="22" style="426" customWidth="1"/>
    <col min="15" max="15" width="25.109375" style="426" customWidth="1"/>
    <col min="16" max="16" width="12.6640625" hidden="1" customWidth="1"/>
    <col min="17" max="17" width="22" hidden="1" customWidth="1"/>
    <col min="18" max="18" width="19.44140625" style="426" hidden="1" customWidth="1"/>
    <col min="19" max="19" width="16" style="426" hidden="1" customWidth="1"/>
    <col min="20" max="21" width="0" style="426" hidden="1" customWidth="1"/>
    <col min="22" max="252" width="12.6640625" style="426"/>
    <col min="253" max="253" width="4.5546875" style="426" customWidth="1"/>
    <col min="254" max="254" width="56.109375" style="426" customWidth="1"/>
    <col min="255" max="255" width="14.5546875" style="426" customWidth="1"/>
    <col min="256" max="256" width="14.6640625" style="426" bestFit="1" customWidth="1"/>
    <col min="257" max="257" width="14.44140625" style="426" customWidth="1"/>
    <col min="258" max="258" width="17" style="426" customWidth="1"/>
    <col min="259" max="259" width="16.6640625" style="426" customWidth="1"/>
    <col min="260" max="260" width="3.88671875" style="426" customWidth="1"/>
    <col min="261" max="263" width="16.6640625" style="426" customWidth="1"/>
    <col min="264" max="264" width="4.109375" style="426" customWidth="1"/>
    <col min="265" max="265" width="14" style="426" customWidth="1"/>
    <col min="266" max="266" width="15.88671875" style="426" customWidth="1"/>
    <col min="267" max="267" width="15.109375" style="426" customWidth="1"/>
    <col min="268" max="268" width="2.5546875" style="426" customWidth="1"/>
    <col min="269" max="269" width="14" style="426" bestFit="1" customWidth="1"/>
    <col min="270" max="270" width="15.88671875" style="426" bestFit="1" customWidth="1"/>
    <col min="271" max="271" width="16.88671875" style="426" customWidth="1"/>
    <col min="272" max="508" width="12.6640625" style="426"/>
    <col min="509" max="509" width="4.5546875" style="426" customWidth="1"/>
    <col min="510" max="510" width="56.109375" style="426" customWidth="1"/>
    <col min="511" max="511" width="14.5546875" style="426" customWidth="1"/>
    <col min="512" max="512" width="14.6640625" style="426" bestFit="1" customWidth="1"/>
    <col min="513" max="513" width="14.44140625" style="426" customWidth="1"/>
    <col min="514" max="514" width="17" style="426" customWidth="1"/>
    <col min="515" max="515" width="16.6640625" style="426" customWidth="1"/>
    <col min="516" max="516" width="3.88671875" style="426" customWidth="1"/>
    <col min="517" max="519" width="16.6640625" style="426" customWidth="1"/>
    <col min="520" max="520" width="4.109375" style="426" customWidth="1"/>
    <col min="521" max="521" width="14" style="426" customWidth="1"/>
    <col min="522" max="522" width="15.88671875" style="426" customWidth="1"/>
    <col min="523" max="523" width="15.109375" style="426" customWidth="1"/>
    <col min="524" max="524" width="2.5546875" style="426" customWidth="1"/>
    <col min="525" max="525" width="14" style="426" bestFit="1" customWidth="1"/>
    <col min="526" max="526" width="15.88671875" style="426" bestFit="1" customWidth="1"/>
    <col min="527" max="527" width="16.88671875" style="426" customWidth="1"/>
    <col min="528" max="764" width="12.6640625" style="426"/>
    <col min="765" max="765" width="4.5546875" style="426" customWidth="1"/>
    <col min="766" max="766" width="56.109375" style="426" customWidth="1"/>
    <col min="767" max="767" width="14.5546875" style="426" customWidth="1"/>
    <col min="768" max="768" width="14.6640625" style="426" bestFit="1" customWidth="1"/>
    <col min="769" max="769" width="14.44140625" style="426" customWidth="1"/>
    <col min="770" max="770" width="17" style="426" customWidth="1"/>
    <col min="771" max="771" width="16.6640625" style="426" customWidth="1"/>
    <col min="772" max="772" width="3.88671875" style="426" customWidth="1"/>
    <col min="773" max="775" width="16.6640625" style="426" customWidth="1"/>
    <col min="776" max="776" width="4.109375" style="426" customWidth="1"/>
    <col min="777" max="777" width="14" style="426" customWidth="1"/>
    <col min="778" max="778" width="15.88671875" style="426" customWidth="1"/>
    <col min="779" max="779" width="15.109375" style="426" customWidth="1"/>
    <col min="780" max="780" width="2.5546875" style="426" customWidth="1"/>
    <col min="781" max="781" width="14" style="426" bestFit="1" customWidth="1"/>
    <col min="782" max="782" width="15.88671875" style="426" bestFit="1" customWidth="1"/>
    <col min="783" max="783" width="16.88671875" style="426" customWidth="1"/>
    <col min="784" max="1020" width="12.6640625" style="426"/>
    <col min="1021" max="1021" width="4.5546875" style="426" customWidth="1"/>
    <col min="1022" max="1022" width="56.109375" style="426" customWidth="1"/>
    <col min="1023" max="1023" width="14.5546875" style="426" customWidth="1"/>
    <col min="1024" max="1024" width="14.6640625" style="426" bestFit="1" customWidth="1"/>
    <col min="1025" max="1025" width="14.44140625" style="426" customWidth="1"/>
    <col min="1026" max="1026" width="17" style="426" customWidth="1"/>
    <col min="1027" max="1027" width="16.6640625" style="426" customWidth="1"/>
    <col min="1028" max="1028" width="3.88671875" style="426" customWidth="1"/>
    <col min="1029" max="1031" width="16.6640625" style="426" customWidth="1"/>
    <col min="1032" max="1032" width="4.109375" style="426" customWidth="1"/>
    <col min="1033" max="1033" width="14" style="426" customWidth="1"/>
    <col min="1034" max="1034" width="15.88671875" style="426" customWidth="1"/>
    <col min="1035" max="1035" width="15.109375" style="426" customWidth="1"/>
    <col min="1036" max="1036" width="2.5546875" style="426" customWidth="1"/>
    <col min="1037" max="1037" width="14" style="426" bestFit="1" customWidth="1"/>
    <col min="1038" max="1038" width="15.88671875" style="426" bestFit="1" customWidth="1"/>
    <col min="1039" max="1039" width="16.88671875" style="426" customWidth="1"/>
    <col min="1040" max="1276" width="12.6640625" style="426"/>
    <col min="1277" max="1277" width="4.5546875" style="426" customWidth="1"/>
    <col min="1278" max="1278" width="56.109375" style="426" customWidth="1"/>
    <col min="1279" max="1279" width="14.5546875" style="426" customWidth="1"/>
    <col min="1280" max="1280" width="14.6640625" style="426" bestFit="1" customWidth="1"/>
    <col min="1281" max="1281" width="14.44140625" style="426" customWidth="1"/>
    <col min="1282" max="1282" width="17" style="426" customWidth="1"/>
    <col min="1283" max="1283" width="16.6640625" style="426" customWidth="1"/>
    <col min="1284" max="1284" width="3.88671875" style="426" customWidth="1"/>
    <col min="1285" max="1287" width="16.6640625" style="426" customWidth="1"/>
    <col min="1288" max="1288" width="4.109375" style="426" customWidth="1"/>
    <col min="1289" max="1289" width="14" style="426" customWidth="1"/>
    <col min="1290" max="1290" width="15.88671875" style="426" customWidth="1"/>
    <col min="1291" max="1291" width="15.109375" style="426" customWidth="1"/>
    <col min="1292" max="1292" width="2.5546875" style="426" customWidth="1"/>
    <col min="1293" max="1293" width="14" style="426" bestFit="1" customWidth="1"/>
    <col min="1294" max="1294" width="15.88671875" style="426" bestFit="1" customWidth="1"/>
    <col min="1295" max="1295" width="16.88671875" style="426" customWidth="1"/>
    <col min="1296" max="1532" width="12.6640625" style="426"/>
    <col min="1533" max="1533" width="4.5546875" style="426" customWidth="1"/>
    <col min="1534" max="1534" width="56.109375" style="426" customWidth="1"/>
    <col min="1535" max="1535" width="14.5546875" style="426" customWidth="1"/>
    <col min="1536" max="1536" width="14.6640625" style="426" bestFit="1" customWidth="1"/>
    <col min="1537" max="1537" width="14.44140625" style="426" customWidth="1"/>
    <col min="1538" max="1538" width="17" style="426" customWidth="1"/>
    <col min="1539" max="1539" width="16.6640625" style="426" customWidth="1"/>
    <col min="1540" max="1540" width="3.88671875" style="426" customWidth="1"/>
    <col min="1541" max="1543" width="16.6640625" style="426" customWidth="1"/>
    <col min="1544" max="1544" width="4.109375" style="426" customWidth="1"/>
    <col min="1545" max="1545" width="14" style="426" customWidth="1"/>
    <col min="1546" max="1546" width="15.88671875" style="426" customWidth="1"/>
    <col min="1547" max="1547" width="15.109375" style="426" customWidth="1"/>
    <col min="1548" max="1548" width="2.5546875" style="426" customWidth="1"/>
    <col min="1549" max="1549" width="14" style="426" bestFit="1" customWidth="1"/>
    <col min="1550" max="1550" width="15.88671875" style="426" bestFit="1" customWidth="1"/>
    <col min="1551" max="1551" width="16.88671875" style="426" customWidth="1"/>
    <col min="1552" max="1788" width="12.6640625" style="426"/>
    <col min="1789" max="1789" width="4.5546875" style="426" customWidth="1"/>
    <col min="1790" max="1790" width="56.109375" style="426" customWidth="1"/>
    <col min="1791" max="1791" width="14.5546875" style="426" customWidth="1"/>
    <col min="1792" max="1792" width="14.6640625" style="426" bestFit="1" customWidth="1"/>
    <col min="1793" max="1793" width="14.44140625" style="426" customWidth="1"/>
    <col min="1794" max="1794" width="17" style="426" customWidth="1"/>
    <col min="1795" max="1795" width="16.6640625" style="426" customWidth="1"/>
    <col min="1796" max="1796" width="3.88671875" style="426" customWidth="1"/>
    <col min="1797" max="1799" width="16.6640625" style="426" customWidth="1"/>
    <col min="1800" max="1800" width="4.109375" style="426" customWidth="1"/>
    <col min="1801" max="1801" width="14" style="426" customWidth="1"/>
    <col min="1802" max="1802" width="15.88671875" style="426" customWidth="1"/>
    <col min="1803" max="1803" width="15.109375" style="426" customWidth="1"/>
    <col min="1804" max="1804" width="2.5546875" style="426" customWidth="1"/>
    <col min="1805" max="1805" width="14" style="426" bestFit="1" customWidth="1"/>
    <col min="1806" max="1806" width="15.88671875" style="426" bestFit="1" customWidth="1"/>
    <col min="1807" max="1807" width="16.88671875" style="426" customWidth="1"/>
    <col min="1808" max="2044" width="12.6640625" style="426"/>
    <col min="2045" max="2045" width="4.5546875" style="426" customWidth="1"/>
    <col min="2046" max="2046" width="56.109375" style="426" customWidth="1"/>
    <col min="2047" max="2047" width="14.5546875" style="426" customWidth="1"/>
    <col min="2048" max="2048" width="14.6640625" style="426" bestFit="1" customWidth="1"/>
    <col min="2049" max="2049" width="14.44140625" style="426" customWidth="1"/>
    <col min="2050" max="2050" width="17" style="426" customWidth="1"/>
    <col min="2051" max="2051" width="16.6640625" style="426" customWidth="1"/>
    <col min="2052" max="2052" width="3.88671875" style="426" customWidth="1"/>
    <col min="2053" max="2055" width="16.6640625" style="426" customWidth="1"/>
    <col min="2056" max="2056" width="4.109375" style="426" customWidth="1"/>
    <col min="2057" max="2057" width="14" style="426" customWidth="1"/>
    <col min="2058" max="2058" width="15.88671875" style="426" customWidth="1"/>
    <col min="2059" max="2059" width="15.109375" style="426" customWidth="1"/>
    <col min="2060" max="2060" width="2.5546875" style="426" customWidth="1"/>
    <col min="2061" max="2061" width="14" style="426" bestFit="1" customWidth="1"/>
    <col min="2062" max="2062" width="15.88671875" style="426" bestFit="1" customWidth="1"/>
    <col min="2063" max="2063" width="16.88671875" style="426" customWidth="1"/>
    <col min="2064" max="2300" width="12.6640625" style="426"/>
    <col min="2301" max="2301" width="4.5546875" style="426" customWidth="1"/>
    <col min="2302" max="2302" width="56.109375" style="426" customWidth="1"/>
    <col min="2303" max="2303" width="14.5546875" style="426" customWidth="1"/>
    <col min="2304" max="2304" width="14.6640625" style="426" bestFit="1" customWidth="1"/>
    <col min="2305" max="2305" width="14.44140625" style="426" customWidth="1"/>
    <col min="2306" max="2306" width="17" style="426" customWidth="1"/>
    <col min="2307" max="2307" width="16.6640625" style="426" customWidth="1"/>
    <col min="2308" max="2308" width="3.88671875" style="426" customWidth="1"/>
    <col min="2309" max="2311" width="16.6640625" style="426" customWidth="1"/>
    <col min="2312" max="2312" width="4.109375" style="426" customWidth="1"/>
    <col min="2313" max="2313" width="14" style="426" customWidth="1"/>
    <col min="2314" max="2314" width="15.88671875" style="426" customWidth="1"/>
    <col min="2315" max="2315" width="15.109375" style="426" customWidth="1"/>
    <col min="2316" max="2316" width="2.5546875" style="426" customWidth="1"/>
    <col min="2317" max="2317" width="14" style="426" bestFit="1" customWidth="1"/>
    <col min="2318" max="2318" width="15.88671875" style="426" bestFit="1" customWidth="1"/>
    <col min="2319" max="2319" width="16.88671875" style="426" customWidth="1"/>
    <col min="2320" max="2556" width="12.6640625" style="426"/>
    <col min="2557" max="2557" width="4.5546875" style="426" customWidth="1"/>
    <col min="2558" max="2558" width="56.109375" style="426" customWidth="1"/>
    <col min="2559" max="2559" width="14.5546875" style="426" customWidth="1"/>
    <col min="2560" max="2560" width="14.6640625" style="426" bestFit="1" customWidth="1"/>
    <col min="2561" max="2561" width="14.44140625" style="426" customWidth="1"/>
    <col min="2562" max="2562" width="17" style="426" customWidth="1"/>
    <col min="2563" max="2563" width="16.6640625" style="426" customWidth="1"/>
    <col min="2564" max="2564" width="3.88671875" style="426" customWidth="1"/>
    <col min="2565" max="2567" width="16.6640625" style="426" customWidth="1"/>
    <col min="2568" max="2568" width="4.109375" style="426" customWidth="1"/>
    <col min="2569" max="2569" width="14" style="426" customWidth="1"/>
    <col min="2570" max="2570" width="15.88671875" style="426" customWidth="1"/>
    <col min="2571" max="2571" width="15.109375" style="426" customWidth="1"/>
    <col min="2572" max="2572" width="2.5546875" style="426" customWidth="1"/>
    <col min="2573" max="2573" width="14" style="426" bestFit="1" customWidth="1"/>
    <col min="2574" max="2574" width="15.88671875" style="426" bestFit="1" customWidth="1"/>
    <col min="2575" max="2575" width="16.88671875" style="426" customWidth="1"/>
    <col min="2576" max="2812" width="12.6640625" style="426"/>
    <col min="2813" max="2813" width="4.5546875" style="426" customWidth="1"/>
    <col min="2814" max="2814" width="56.109375" style="426" customWidth="1"/>
    <col min="2815" max="2815" width="14.5546875" style="426" customWidth="1"/>
    <col min="2816" max="2816" width="14.6640625" style="426" bestFit="1" customWidth="1"/>
    <col min="2817" max="2817" width="14.44140625" style="426" customWidth="1"/>
    <col min="2818" max="2818" width="17" style="426" customWidth="1"/>
    <col min="2819" max="2819" width="16.6640625" style="426" customWidth="1"/>
    <col min="2820" max="2820" width="3.88671875" style="426" customWidth="1"/>
    <col min="2821" max="2823" width="16.6640625" style="426" customWidth="1"/>
    <col min="2824" max="2824" width="4.109375" style="426" customWidth="1"/>
    <col min="2825" max="2825" width="14" style="426" customWidth="1"/>
    <col min="2826" max="2826" width="15.88671875" style="426" customWidth="1"/>
    <col min="2827" max="2827" width="15.109375" style="426" customWidth="1"/>
    <col min="2828" max="2828" width="2.5546875" style="426" customWidth="1"/>
    <col min="2829" max="2829" width="14" style="426" bestFit="1" customWidth="1"/>
    <col min="2830" max="2830" width="15.88671875" style="426" bestFit="1" customWidth="1"/>
    <col min="2831" max="2831" width="16.88671875" style="426" customWidth="1"/>
    <col min="2832" max="3068" width="12.6640625" style="426"/>
    <col min="3069" max="3069" width="4.5546875" style="426" customWidth="1"/>
    <col min="3070" max="3070" width="56.109375" style="426" customWidth="1"/>
    <col min="3071" max="3071" width="14.5546875" style="426" customWidth="1"/>
    <col min="3072" max="3072" width="14.6640625" style="426" bestFit="1" customWidth="1"/>
    <col min="3073" max="3073" width="14.44140625" style="426" customWidth="1"/>
    <col min="3074" max="3074" width="17" style="426" customWidth="1"/>
    <col min="3075" max="3075" width="16.6640625" style="426" customWidth="1"/>
    <col min="3076" max="3076" width="3.88671875" style="426" customWidth="1"/>
    <col min="3077" max="3079" width="16.6640625" style="426" customWidth="1"/>
    <col min="3080" max="3080" width="4.109375" style="426" customWidth="1"/>
    <col min="3081" max="3081" width="14" style="426" customWidth="1"/>
    <col min="3082" max="3082" width="15.88671875" style="426" customWidth="1"/>
    <col min="3083" max="3083" width="15.109375" style="426" customWidth="1"/>
    <col min="3084" max="3084" width="2.5546875" style="426" customWidth="1"/>
    <col min="3085" max="3085" width="14" style="426" bestFit="1" customWidth="1"/>
    <col min="3086" max="3086" width="15.88671875" style="426" bestFit="1" customWidth="1"/>
    <col min="3087" max="3087" width="16.88671875" style="426" customWidth="1"/>
    <col min="3088" max="3324" width="12.6640625" style="426"/>
    <col min="3325" max="3325" width="4.5546875" style="426" customWidth="1"/>
    <col min="3326" max="3326" width="56.109375" style="426" customWidth="1"/>
    <col min="3327" max="3327" width="14.5546875" style="426" customWidth="1"/>
    <col min="3328" max="3328" width="14.6640625" style="426" bestFit="1" customWidth="1"/>
    <col min="3329" max="3329" width="14.44140625" style="426" customWidth="1"/>
    <col min="3330" max="3330" width="17" style="426" customWidth="1"/>
    <col min="3331" max="3331" width="16.6640625" style="426" customWidth="1"/>
    <col min="3332" max="3332" width="3.88671875" style="426" customWidth="1"/>
    <col min="3333" max="3335" width="16.6640625" style="426" customWidth="1"/>
    <col min="3336" max="3336" width="4.109375" style="426" customWidth="1"/>
    <col min="3337" max="3337" width="14" style="426" customWidth="1"/>
    <col min="3338" max="3338" width="15.88671875" style="426" customWidth="1"/>
    <col min="3339" max="3339" width="15.109375" style="426" customWidth="1"/>
    <col min="3340" max="3340" width="2.5546875" style="426" customWidth="1"/>
    <col min="3341" max="3341" width="14" style="426" bestFit="1" customWidth="1"/>
    <col min="3342" max="3342" width="15.88671875" style="426" bestFit="1" customWidth="1"/>
    <col min="3343" max="3343" width="16.88671875" style="426" customWidth="1"/>
    <col min="3344" max="3580" width="12.6640625" style="426"/>
    <col min="3581" max="3581" width="4.5546875" style="426" customWidth="1"/>
    <col min="3582" max="3582" width="56.109375" style="426" customWidth="1"/>
    <col min="3583" max="3583" width="14.5546875" style="426" customWidth="1"/>
    <col min="3584" max="3584" width="14.6640625" style="426" bestFit="1" customWidth="1"/>
    <col min="3585" max="3585" width="14.44140625" style="426" customWidth="1"/>
    <col min="3586" max="3586" width="17" style="426" customWidth="1"/>
    <col min="3587" max="3587" width="16.6640625" style="426" customWidth="1"/>
    <col min="3588" max="3588" width="3.88671875" style="426" customWidth="1"/>
    <col min="3589" max="3591" width="16.6640625" style="426" customWidth="1"/>
    <col min="3592" max="3592" width="4.109375" style="426" customWidth="1"/>
    <col min="3593" max="3593" width="14" style="426" customWidth="1"/>
    <col min="3594" max="3594" width="15.88671875" style="426" customWidth="1"/>
    <col min="3595" max="3595" width="15.109375" style="426" customWidth="1"/>
    <col min="3596" max="3596" width="2.5546875" style="426" customWidth="1"/>
    <col min="3597" max="3597" width="14" style="426" bestFit="1" customWidth="1"/>
    <col min="3598" max="3598" width="15.88671875" style="426" bestFit="1" customWidth="1"/>
    <col min="3599" max="3599" width="16.88671875" style="426" customWidth="1"/>
    <col min="3600" max="3836" width="12.6640625" style="426"/>
    <col min="3837" max="3837" width="4.5546875" style="426" customWidth="1"/>
    <col min="3838" max="3838" width="56.109375" style="426" customWidth="1"/>
    <col min="3839" max="3839" width="14.5546875" style="426" customWidth="1"/>
    <col min="3840" max="3840" width="14.6640625" style="426" bestFit="1" customWidth="1"/>
    <col min="3841" max="3841" width="14.44140625" style="426" customWidth="1"/>
    <col min="3842" max="3842" width="17" style="426" customWidth="1"/>
    <col min="3843" max="3843" width="16.6640625" style="426" customWidth="1"/>
    <col min="3844" max="3844" width="3.88671875" style="426" customWidth="1"/>
    <col min="3845" max="3847" width="16.6640625" style="426" customWidth="1"/>
    <col min="3848" max="3848" width="4.109375" style="426" customWidth="1"/>
    <col min="3849" max="3849" width="14" style="426" customWidth="1"/>
    <col min="3850" max="3850" width="15.88671875" style="426" customWidth="1"/>
    <col min="3851" max="3851" width="15.109375" style="426" customWidth="1"/>
    <col min="3852" max="3852" width="2.5546875" style="426" customWidth="1"/>
    <col min="3853" max="3853" width="14" style="426" bestFit="1" customWidth="1"/>
    <col min="3854" max="3854" width="15.88671875" style="426" bestFit="1" customWidth="1"/>
    <col min="3855" max="3855" width="16.88671875" style="426" customWidth="1"/>
    <col min="3856" max="4092" width="12.6640625" style="426"/>
    <col min="4093" max="4093" width="4.5546875" style="426" customWidth="1"/>
    <col min="4094" max="4094" width="56.109375" style="426" customWidth="1"/>
    <col min="4095" max="4095" width="14.5546875" style="426" customWidth="1"/>
    <col min="4096" max="4096" width="14.6640625" style="426" bestFit="1" customWidth="1"/>
    <col min="4097" max="4097" width="14.44140625" style="426" customWidth="1"/>
    <col min="4098" max="4098" width="17" style="426" customWidth="1"/>
    <col min="4099" max="4099" width="16.6640625" style="426" customWidth="1"/>
    <col min="4100" max="4100" width="3.88671875" style="426" customWidth="1"/>
    <col min="4101" max="4103" width="16.6640625" style="426" customWidth="1"/>
    <col min="4104" max="4104" width="4.109375" style="426" customWidth="1"/>
    <col min="4105" max="4105" width="14" style="426" customWidth="1"/>
    <col min="4106" max="4106" width="15.88671875" style="426" customWidth="1"/>
    <col min="4107" max="4107" width="15.109375" style="426" customWidth="1"/>
    <col min="4108" max="4108" width="2.5546875" style="426" customWidth="1"/>
    <col min="4109" max="4109" width="14" style="426" bestFit="1" customWidth="1"/>
    <col min="4110" max="4110" width="15.88671875" style="426" bestFit="1" customWidth="1"/>
    <col min="4111" max="4111" width="16.88671875" style="426" customWidth="1"/>
    <col min="4112" max="4348" width="12.6640625" style="426"/>
    <col min="4349" max="4349" width="4.5546875" style="426" customWidth="1"/>
    <col min="4350" max="4350" width="56.109375" style="426" customWidth="1"/>
    <col min="4351" max="4351" width="14.5546875" style="426" customWidth="1"/>
    <col min="4352" max="4352" width="14.6640625" style="426" bestFit="1" customWidth="1"/>
    <col min="4353" max="4353" width="14.44140625" style="426" customWidth="1"/>
    <col min="4354" max="4354" width="17" style="426" customWidth="1"/>
    <col min="4355" max="4355" width="16.6640625" style="426" customWidth="1"/>
    <col min="4356" max="4356" width="3.88671875" style="426" customWidth="1"/>
    <col min="4357" max="4359" width="16.6640625" style="426" customWidth="1"/>
    <col min="4360" max="4360" width="4.109375" style="426" customWidth="1"/>
    <col min="4361" max="4361" width="14" style="426" customWidth="1"/>
    <col min="4362" max="4362" width="15.88671875" style="426" customWidth="1"/>
    <col min="4363" max="4363" width="15.109375" style="426" customWidth="1"/>
    <col min="4364" max="4364" width="2.5546875" style="426" customWidth="1"/>
    <col min="4365" max="4365" width="14" style="426" bestFit="1" customWidth="1"/>
    <col min="4366" max="4366" width="15.88671875" style="426" bestFit="1" customWidth="1"/>
    <col min="4367" max="4367" width="16.88671875" style="426" customWidth="1"/>
    <col min="4368" max="4604" width="12.6640625" style="426"/>
    <col min="4605" max="4605" width="4.5546875" style="426" customWidth="1"/>
    <col min="4606" max="4606" width="56.109375" style="426" customWidth="1"/>
    <col min="4607" max="4607" width="14.5546875" style="426" customWidth="1"/>
    <col min="4608" max="4608" width="14.6640625" style="426" bestFit="1" customWidth="1"/>
    <col min="4609" max="4609" width="14.44140625" style="426" customWidth="1"/>
    <col min="4610" max="4610" width="17" style="426" customWidth="1"/>
    <col min="4611" max="4611" width="16.6640625" style="426" customWidth="1"/>
    <col min="4612" max="4612" width="3.88671875" style="426" customWidth="1"/>
    <col min="4613" max="4615" width="16.6640625" style="426" customWidth="1"/>
    <col min="4616" max="4616" width="4.109375" style="426" customWidth="1"/>
    <col min="4617" max="4617" width="14" style="426" customWidth="1"/>
    <col min="4618" max="4618" width="15.88671875" style="426" customWidth="1"/>
    <col min="4619" max="4619" width="15.109375" style="426" customWidth="1"/>
    <col min="4620" max="4620" width="2.5546875" style="426" customWidth="1"/>
    <col min="4621" max="4621" width="14" style="426" bestFit="1" customWidth="1"/>
    <col min="4622" max="4622" width="15.88671875" style="426" bestFit="1" customWidth="1"/>
    <col min="4623" max="4623" width="16.88671875" style="426" customWidth="1"/>
    <col min="4624" max="4860" width="12.6640625" style="426"/>
    <col min="4861" max="4861" width="4.5546875" style="426" customWidth="1"/>
    <col min="4862" max="4862" width="56.109375" style="426" customWidth="1"/>
    <col min="4863" max="4863" width="14.5546875" style="426" customWidth="1"/>
    <col min="4864" max="4864" width="14.6640625" style="426" bestFit="1" customWidth="1"/>
    <col min="4865" max="4865" width="14.44140625" style="426" customWidth="1"/>
    <col min="4866" max="4866" width="17" style="426" customWidth="1"/>
    <col min="4867" max="4867" width="16.6640625" style="426" customWidth="1"/>
    <col min="4868" max="4868" width="3.88671875" style="426" customWidth="1"/>
    <col min="4869" max="4871" width="16.6640625" style="426" customWidth="1"/>
    <col min="4872" max="4872" width="4.109375" style="426" customWidth="1"/>
    <col min="4873" max="4873" width="14" style="426" customWidth="1"/>
    <col min="4874" max="4874" width="15.88671875" style="426" customWidth="1"/>
    <col min="4875" max="4875" width="15.109375" style="426" customWidth="1"/>
    <col min="4876" max="4876" width="2.5546875" style="426" customWidth="1"/>
    <col min="4877" max="4877" width="14" style="426" bestFit="1" customWidth="1"/>
    <col min="4878" max="4878" width="15.88671875" style="426" bestFit="1" customWidth="1"/>
    <col min="4879" max="4879" width="16.88671875" style="426" customWidth="1"/>
    <col min="4880" max="5116" width="12.6640625" style="426"/>
    <col min="5117" max="5117" width="4.5546875" style="426" customWidth="1"/>
    <col min="5118" max="5118" width="56.109375" style="426" customWidth="1"/>
    <col min="5119" max="5119" width="14.5546875" style="426" customWidth="1"/>
    <col min="5120" max="5120" width="14.6640625" style="426" bestFit="1" customWidth="1"/>
    <col min="5121" max="5121" width="14.44140625" style="426" customWidth="1"/>
    <col min="5122" max="5122" width="17" style="426" customWidth="1"/>
    <col min="5123" max="5123" width="16.6640625" style="426" customWidth="1"/>
    <col min="5124" max="5124" width="3.88671875" style="426" customWidth="1"/>
    <col min="5125" max="5127" width="16.6640625" style="426" customWidth="1"/>
    <col min="5128" max="5128" width="4.109375" style="426" customWidth="1"/>
    <col min="5129" max="5129" width="14" style="426" customWidth="1"/>
    <col min="5130" max="5130" width="15.88671875" style="426" customWidth="1"/>
    <col min="5131" max="5131" width="15.109375" style="426" customWidth="1"/>
    <col min="5132" max="5132" width="2.5546875" style="426" customWidth="1"/>
    <col min="5133" max="5133" width="14" style="426" bestFit="1" customWidth="1"/>
    <col min="5134" max="5134" width="15.88671875" style="426" bestFit="1" customWidth="1"/>
    <col min="5135" max="5135" width="16.88671875" style="426" customWidth="1"/>
    <col min="5136" max="5372" width="12.6640625" style="426"/>
    <col min="5373" max="5373" width="4.5546875" style="426" customWidth="1"/>
    <col min="5374" max="5374" width="56.109375" style="426" customWidth="1"/>
    <col min="5375" max="5375" width="14.5546875" style="426" customWidth="1"/>
    <col min="5376" max="5376" width="14.6640625" style="426" bestFit="1" customWidth="1"/>
    <col min="5377" max="5377" width="14.44140625" style="426" customWidth="1"/>
    <col min="5378" max="5378" width="17" style="426" customWidth="1"/>
    <col min="5379" max="5379" width="16.6640625" style="426" customWidth="1"/>
    <col min="5380" max="5380" width="3.88671875" style="426" customWidth="1"/>
    <col min="5381" max="5383" width="16.6640625" style="426" customWidth="1"/>
    <col min="5384" max="5384" width="4.109375" style="426" customWidth="1"/>
    <col min="5385" max="5385" width="14" style="426" customWidth="1"/>
    <col min="5386" max="5386" width="15.88671875" style="426" customWidth="1"/>
    <col min="5387" max="5387" width="15.109375" style="426" customWidth="1"/>
    <col min="5388" max="5388" width="2.5546875" style="426" customWidth="1"/>
    <col min="5389" max="5389" width="14" style="426" bestFit="1" customWidth="1"/>
    <col min="5390" max="5390" width="15.88671875" style="426" bestFit="1" customWidth="1"/>
    <col min="5391" max="5391" width="16.88671875" style="426" customWidth="1"/>
    <col min="5392" max="5628" width="12.6640625" style="426"/>
    <col min="5629" max="5629" width="4.5546875" style="426" customWidth="1"/>
    <col min="5630" max="5630" width="56.109375" style="426" customWidth="1"/>
    <col min="5631" max="5631" width="14.5546875" style="426" customWidth="1"/>
    <col min="5632" max="5632" width="14.6640625" style="426" bestFit="1" customWidth="1"/>
    <col min="5633" max="5633" width="14.44140625" style="426" customWidth="1"/>
    <col min="5634" max="5634" width="17" style="426" customWidth="1"/>
    <col min="5635" max="5635" width="16.6640625" style="426" customWidth="1"/>
    <col min="5636" max="5636" width="3.88671875" style="426" customWidth="1"/>
    <col min="5637" max="5639" width="16.6640625" style="426" customWidth="1"/>
    <col min="5640" max="5640" width="4.109375" style="426" customWidth="1"/>
    <col min="5641" max="5641" width="14" style="426" customWidth="1"/>
    <col min="5642" max="5642" width="15.88671875" style="426" customWidth="1"/>
    <col min="5643" max="5643" width="15.109375" style="426" customWidth="1"/>
    <col min="5644" max="5644" width="2.5546875" style="426" customWidth="1"/>
    <col min="5645" max="5645" width="14" style="426" bestFit="1" customWidth="1"/>
    <col min="5646" max="5646" width="15.88671875" style="426" bestFit="1" customWidth="1"/>
    <col min="5647" max="5647" width="16.88671875" style="426" customWidth="1"/>
    <col min="5648" max="5884" width="12.6640625" style="426"/>
    <col min="5885" max="5885" width="4.5546875" style="426" customWidth="1"/>
    <col min="5886" max="5886" width="56.109375" style="426" customWidth="1"/>
    <col min="5887" max="5887" width="14.5546875" style="426" customWidth="1"/>
    <col min="5888" max="5888" width="14.6640625" style="426" bestFit="1" customWidth="1"/>
    <col min="5889" max="5889" width="14.44140625" style="426" customWidth="1"/>
    <col min="5890" max="5890" width="17" style="426" customWidth="1"/>
    <col min="5891" max="5891" width="16.6640625" style="426" customWidth="1"/>
    <col min="5892" max="5892" width="3.88671875" style="426" customWidth="1"/>
    <col min="5893" max="5895" width="16.6640625" style="426" customWidth="1"/>
    <col min="5896" max="5896" width="4.109375" style="426" customWidth="1"/>
    <col min="5897" max="5897" width="14" style="426" customWidth="1"/>
    <col min="5898" max="5898" width="15.88671875" style="426" customWidth="1"/>
    <col min="5899" max="5899" width="15.109375" style="426" customWidth="1"/>
    <col min="5900" max="5900" width="2.5546875" style="426" customWidth="1"/>
    <col min="5901" max="5901" width="14" style="426" bestFit="1" customWidth="1"/>
    <col min="5902" max="5902" width="15.88671875" style="426" bestFit="1" customWidth="1"/>
    <col min="5903" max="5903" width="16.88671875" style="426" customWidth="1"/>
    <col min="5904" max="6140" width="12.6640625" style="426"/>
    <col min="6141" max="6141" width="4.5546875" style="426" customWidth="1"/>
    <col min="6142" max="6142" width="56.109375" style="426" customWidth="1"/>
    <col min="6143" max="6143" width="14.5546875" style="426" customWidth="1"/>
    <col min="6144" max="6144" width="14.6640625" style="426" bestFit="1" customWidth="1"/>
    <col min="6145" max="6145" width="14.44140625" style="426" customWidth="1"/>
    <col min="6146" max="6146" width="17" style="426" customWidth="1"/>
    <col min="6147" max="6147" width="16.6640625" style="426" customWidth="1"/>
    <col min="6148" max="6148" width="3.88671875" style="426" customWidth="1"/>
    <col min="6149" max="6151" width="16.6640625" style="426" customWidth="1"/>
    <col min="6152" max="6152" width="4.109375" style="426" customWidth="1"/>
    <col min="6153" max="6153" width="14" style="426" customWidth="1"/>
    <col min="6154" max="6154" width="15.88671875" style="426" customWidth="1"/>
    <col min="6155" max="6155" width="15.109375" style="426" customWidth="1"/>
    <col min="6156" max="6156" width="2.5546875" style="426" customWidth="1"/>
    <col min="6157" max="6157" width="14" style="426" bestFit="1" customWidth="1"/>
    <col min="6158" max="6158" width="15.88671875" style="426" bestFit="1" customWidth="1"/>
    <col min="6159" max="6159" width="16.88671875" style="426" customWidth="1"/>
    <col min="6160" max="6396" width="12.6640625" style="426"/>
    <col min="6397" max="6397" width="4.5546875" style="426" customWidth="1"/>
    <col min="6398" max="6398" width="56.109375" style="426" customWidth="1"/>
    <col min="6399" max="6399" width="14.5546875" style="426" customWidth="1"/>
    <col min="6400" max="6400" width="14.6640625" style="426" bestFit="1" customWidth="1"/>
    <col min="6401" max="6401" width="14.44140625" style="426" customWidth="1"/>
    <col min="6402" max="6402" width="17" style="426" customWidth="1"/>
    <col min="6403" max="6403" width="16.6640625" style="426" customWidth="1"/>
    <col min="6404" max="6404" width="3.88671875" style="426" customWidth="1"/>
    <col min="6405" max="6407" width="16.6640625" style="426" customWidth="1"/>
    <col min="6408" max="6408" width="4.109375" style="426" customWidth="1"/>
    <col min="6409" max="6409" width="14" style="426" customWidth="1"/>
    <col min="6410" max="6410" width="15.88671875" style="426" customWidth="1"/>
    <col min="6411" max="6411" width="15.109375" style="426" customWidth="1"/>
    <col min="6412" max="6412" width="2.5546875" style="426" customWidth="1"/>
    <col min="6413" max="6413" width="14" style="426" bestFit="1" customWidth="1"/>
    <col min="6414" max="6414" width="15.88671875" style="426" bestFit="1" customWidth="1"/>
    <col min="6415" max="6415" width="16.88671875" style="426" customWidth="1"/>
    <col min="6416" max="6652" width="12.6640625" style="426"/>
    <col min="6653" max="6653" width="4.5546875" style="426" customWidth="1"/>
    <col min="6654" max="6654" width="56.109375" style="426" customWidth="1"/>
    <col min="6655" max="6655" width="14.5546875" style="426" customWidth="1"/>
    <col min="6656" max="6656" width="14.6640625" style="426" bestFit="1" customWidth="1"/>
    <col min="6657" max="6657" width="14.44140625" style="426" customWidth="1"/>
    <col min="6658" max="6658" width="17" style="426" customWidth="1"/>
    <col min="6659" max="6659" width="16.6640625" style="426" customWidth="1"/>
    <col min="6660" max="6660" width="3.88671875" style="426" customWidth="1"/>
    <col min="6661" max="6663" width="16.6640625" style="426" customWidth="1"/>
    <col min="6664" max="6664" width="4.109375" style="426" customWidth="1"/>
    <col min="6665" max="6665" width="14" style="426" customWidth="1"/>
    <col min="6666" max="6666" width="15.88671875" style="426" customWidth="1"/>
    <col min="6667" max="6667" width="15.109375" style="426" customWidth="1"/>
    <col min="6668" max="6668" width="2.5546875" style="426" customWidth="1"/>
    <col min="6669" max="6669" width="14" style="426" bestFit="1" customWidth="1"/>
    <col min="6670" max="6670" width="15.88671875" style="426" bestFit="1" customWidth="1"/>
    <col min="6671" max="6671" width="16.88671875" style="426" customWidth="1"/>
    <col min="6672" max="6908" width="12.6640625" style="426"/>
    <col min="6909" max="6909" width="4.5546875" style="426" customWidth="1"/>
    <col min="6910" max="6910" width="56.109375" style="426" customWidth="1"/>
    <col min="6911" max="6911" width="14.5546875" style="426" customWidth="1"/>
    <col min="6912" max="6912" width="14.6640625" style="426" bestFit="1" customWidth="1"/>
    <col min="6913" max="6913" width="14.44140625" style="426" customWidth="1"/>
    <col min="6914" max="6914" width="17" style="426" customWidth="1"/>
    <col min="6915" max="6915" width="16.6640625" style="426" customWidth="1"/>
    <col min="6916" max="6916" width="3.88671875" style="426" customWidth="1"/>
    <col min="6917" max="6919" width="16.6640625" style="426" customWidth="1"/>
    <col min="6920" max="6920" width="4.109375" style="426" customWidth="1"/>
    <col min="6921" max="6921" width="14" style="426" customWidth="1"/>
    <col min="6922" max="6922" width="15.88671875" style="426" customWidth="1"/>
    <col min="6923" max="6923" width="15.109375" style="426" customWidth="1"/>
    <col min="6924" max="6924" width="2.5546875" style="426" customWidth="1"/>
    <col min="6925" max="6925" width="14" style="426" bestFit="1" customWidth="1"/>
    <col min="6926" max="6926" width="15.88671875" style="426" bestFit="1" customWidth="1"/>
    <col min="6927" max="6927" width="16.88671875" style="426" customWidth="1"/>
    <col min="6928" max="7164" width="12.6640625" style="426"/>
    <col min="7165" max="7165" width="4.5546875" style="426" customWidth="1"/>
    <col min="7166" max="7166" width="56.109375" style="426" customWidth="1"/>
    <col min="7167" max="7167" width="14.5546875" style="426" customWidth="1"/>
    <col min="7168" max="7168" width="14.6640625" style="426" bestFit="1" customWidth="1"/>
    <col min="7169" max="7169" width="14.44140625" style="426" customWidth="1"/>
    <col min="7170" max="7170" width="17" style="426" customWidth="1"/>
    <col min="7171" max="7171" width="16.6640625" style="426" customWidth="1"/>
    <col min="7172" max="7172" width="3.88671875" style="426" customWidth="1"/>
    <col min="7173" max="7175" width="16.6640625" style="426" customWidth="1"/>
    <col min="7176" max="7176" width="4.109375" style="426" customWidth="1"/>
    <col min="7177" max="7177" width="14" style="426" customWidth="1"/>
    <col min="7178" max="7178" width="15.88671875" style="426" customWidth="1"/>
    <col min="7179" max="7179" width="15.109375" style="426" customWidth="1"/>
    <col min="7180" max="7180" width="2.5546875" style="426" customWidth="1"/>
    <col min="7181" max="7181" width="14" style="426" bestFit="1" customWidth="1"/>
    <col min="7182" max="7182" width="15.88671875" style="426" bestFit="1" customWidth="1"/>
    <col min="7183" max="7183" width="16.88671875" style="426" customWidth="1"/>
    <col min="7184" max="7420" width="12.6640625" style="426"/>
    <col min="7421" max="7421" width="4.5546875" style="426" customWidth="1"/>
    <col min="7422" max="7422" width="56.109375" style="426" customWidth="1"/>
    <col min="7423" max="7423" width="14.5546875" style="426" customWidth="1"/>
    <col min="7424" max="7424" width="14.6640625" style="426" bestFit="1" customWidth="1"/>
    <col min="7425" max="7425" width="14.44140625" style="426" customWidth="1"/>
    <col min="7426" max="7426" width="17" style="426" customWidth="1"/>
    <col min="7427" max="7427" width="16.6640625" style="426" customWidth="1"/>
    <col min="7428" max="7428" width="3.88671875" style="426" customWidth="1"/>
    <col min="7429" max="7431" width="16.6640625" style="426" customWidth="1"/>
    <col min="7432" max="7432" width="4.109375" style="426" customWidth="1"/>
    <col min="7433" max="7433" width="14" style="426" customWidth="1"/>
    <col min="7434" max="7434" width="15.88671875" style="426" customWidth="1"/>
    <col min="7435" max="7435" width="15.109375" style="426" customWidth="1"/>
    <col min="7436" max="7436" width="2.5546875" style="426" customWidth="1"/>
    <col min="7437" max="7437" width="14" style="426" bestFit="1" customWidth="1"/>
    <col min="7438" max="7438" width="15.88671875" style="426" bestFit="1" customWidth="1"/>
    <col min="7439" max="7439" width="16.88671875" style="426" customWidth="1"/>
    <col min="7440" max="7676" width="12.6640625" style="426"/>
    <col min="7677" max="7677" width="4.5546875" style="426" customWidth="1"/>
    <col min="7678" max="7678" width="56.109375" style="426" customWidth="1"/>
    <col min="7679" max="7679" width="14.5546875" style="426" customWidth="1"/>
    <col min="7680" max="7680" width="14.6640625" style="426" bestFit="1" customWidth="1"/>
    <col min="7681" max="7681" width="14.44140625" style="426" customWidth="1"/>
    <col min="7682" max="7682" width="17" style="426" customWidth="1"/>
    <col min="7683" max="7683" width="16.6640625" style="426" customWidth="1"/>
    <col min="7684" max="7684" width="3.88671875" style="426" customWidth="1"/>
    <col min="7685" max="7687" width="16.6640625" style="426" customWidth="1"/>
    <col min="7688" max="7688" width="4.109375" style="426" customWidth="1"/>
    <col min="7689" max="7689" width="14" style="426" customWidth="1"/>
    <col min="7690" max="7690" width="15.88671875" style="426" customWidth="1"/>
    <col min="7691" max="7691" width="15.109375" style="426" customWidth="1"/>
    <col min="7692" max="7692" width="2.5546875" style="426" customWidth="1"/>
    <col min="7693" max="7693" width="14" style="426" bestFit="1" customWidth="1"/>
    <col min="7694" max="7694" width="15.88671875" style="426" bestFit="1" customWidth="1"/>
    <col min="7695" max="7695" width="16.88671875" style="426" customWidth="1"/>
    <col min="7696" max="7932" width="12.6640625" style="426"/>
    <col min="7933" max="7933" width="4.5546875" style="426" customWidth="1"/>
    <col min="7934" max="7934" width="56.109375" style="426" customWidth="1"/>
    <col min="7935" max="7935" width="14.5546875" style="426" customWidth="1"/>
    <col min="7936" max="7936" width="14.6640625" style="426" bestFit="1" customWidth="1"/>
    <col min="7937" max="7937" width="14.44140625" style="426" customWidth="1"/>
    <col min="7938" max="7938" width="17" style="426" customWidth="1"/>
    <col min="7939" max="7939" width="16.6640625" style="426" customWidth="1"/>
    <col min="7940" max="7940" width="3.88671875" style="426" customWidth="1"/>
    <col min="7941" max="7943" width="16.6640625" style="426" customWidth="1"/>
    <col min="7944" max="7944" width="4.109375" style="426" customWidth="1"/>
    <col min="7945" max="7945" width="14" style="426" customWidth="1"/>
    <col min="7946" max="7946" width="15.88671875" style="426" customWidth="1"/>
    <col min="7947" max="7947" width="15.109375" style="426" customWidth="1"/>
    <col min="7948" max="7948" width="2.5546875" style="426" customWidth="1"/>
    <col min="7949" max="7949" width="14" style="426" bestFit="1" customWidth="1"/>
    <col min="7950" max="7950" width="15.88671875" style="426" bestFit="1" customWidth="1"/>
    <col min="7951" max="7951" width="16.88671875" style="426" customWidth="1"/>
    <col min="7952" max="8188" width="12.6640625" style="426"/>
    <col min="8189" max="8189" width="4.5546875" style="426" customWidth="1"/>
    <col min="8190" max="8190" width="56.109375" style="426" customWidth="1"/>
    <col min="8191" max="8191" width="14.5546875" style="426" customWidth="1"/>
    <col min="8192" max="8192" width="14.6640625" style="426" bestFit="1" customWidth="1"/>
    <col min="8193" max="8193" width="14.44140625" style="426" customWidth="1"/>
    <col min="8194" max="8194" width="17" style="426" customWidth="1"/>
    <col min="8195" max="8195" width="16.6640625" style="426" customWidth="1"/>
    <col min="8196" max="8196" width="3.88671875" style="426" customWidth="1"/>
    <col min="8197" max="8199" width="16.6640625" style="426" customWidth="1"/>
    <col min="8200" max="8200" width="4.109375" style="426" customWidth="1"/>
    <col min="8201" max="8201" width="14" style="426" customWidth="1"/>
    <col min="8202" max="8202" width="15.88671875" style="426" customWidth="1"/>
    <col min="8203" max="8203" width="15.109375" style="426" customWidth="1"/>
    <col min="8204" max="8204" width="2.5546875" style="426" customWidth="1"/>
    <col min="8205" max="8205" width="14" style="426" bestFit="1" customWidth="1"/>
    <col min="8206" max="8206" width="15.88671875" style="426" bestFit="1" customWidth="1"/>
    <col min="8207" max="8207" width="16.88671875" style="426" customWidth="1"/>
    <col min="8208" max="8444" width="12.6640625" style="426"/>
    <col min="8445" max="8445" width="4.5546875" style="426" customWidth="1"/>
    <col min="8446" max="8446" width="56.109375" style="426" customWidth="1"/>
    <col min="8447" max="8447" width="14.5546875" style="426" customWidth="1"/>
    <col min="8448" max="8448" width="14.6640625" style="426" bestFit="1" customWidth="1"/>
    <col min="8449" max="8449" width="14.44140625" style="426" customWidth="1"/>
    <col min="8450" max="8450" width="17" style="426" customWidth="1"/>
    <col min="8451" max="8451" width="16.6640625" style="426" customWidth="1"/>
    <col min="8452" max="8452" width="3.88671875" style="426" customWidth="1"/>
    <col min="8453" max="8455" width="16.6640625" style="426" customWidth="1"/>
    <col min="8456" max="8456" width="4.109375" style="426" customWidth="1"/>
    <col min="8457" max="8457" width="14" style="426" customWidth="1"/>
    <col min="8458" max="8458" width="15.88671875" style="426" customWidth="1"/>
    <col min="8459" max="8459" width="15.109375" style="426" customWidth="1"/>
    <col min="8460" max="8460" width="2.5546875" style="426" customWidth="1"/>
    <col min="8461" max="8461" width="14" style="426" bestFit="1" customWidth="1"/>
    <col min="8462" max="8462" width="15.88671875" style="426" bestFit="1" customWidth="1"/>
    <col min="8463" max="8463" width="16.88671875" style="426" customWidth="1"/>
    <col min="8464" max="8700" width="12.6640625" style="426"/>
    <col min="8701" max="8701" width="4.5546875" style="426" customWidth="1"/>
    <col min="8702" max="8702" width="56.109375" style="426" customWidth="1"/>
    <col min="8703" max="8703" width="14.5546875" style="426" customWidth="1"/>
    <col min="8704" max="8704" width="14.6640625" style="426" bestFit="1" customWidth="1"/>
    <col min="8705" max="8705" width="14.44140625" style="426" customWidth="1"/>
    <col min="8706" max="8706" width="17" style="426" customWidth="1"/>
    <col min="8707" max="8707" width="16.6640625" style="426" customWidth="1"/>
    <col min="8708" max="8708" width="3.88671875" style="426" customWidth="1"/>
    <col min="8709" max="8711" width="16.6640625" style="426" customWidth="1"/>
    <col min="8712" max="8712" width="4.109375" style="426" customWidth="1"/>
    <col min="8713" max="8713" width="14" style="426" customWidth="1"/>
    <col min="8714" max="8714" width="15.88671875" style="426" customWidth="1"/>
    <col min="8715" max="8715" width="15.109375" style="426" customWidth="1"/>
    <col min="8716" max="8716" width="2.5546875" style="426" customWidth="1"/>
    <col min="8717" max="8717" width="14" style="426" bestFit="1" customWidth="1"/>
    <col min="8718" max="8718" width="15.88671875" style="426" bestFit="1" customWidth="1"/>
    <col min="8719" max="8719" width="16.88671875" style="426" customWidth="1"/>
    <col min="8720" max="8956" width="12.6640625" style="426"/>
    <col min="8957" max="8957" width="4.5546875" style="426" customWidth="1"/>
    <col min="8958" max="8958" width="56.109375" style="426" customWidth="1"/>
    <col min="8959" max="8959" width="14.5546875" style="426" customWidth="1"/>
    <col min="8960" max="8960" width="14.6640625" style="426" bestFit="1" customWidth="1"/>
    <col min="8961" max="8961" width="14.44140625" style="426" customWidth="1"/>
    <col min="8962" max="8962" width="17" style="426" customWidth="1"/>
    <col min="8963" max="8963" width="16.6640625" style="426" customWidth="1"/>
    <col min="8964" max="8964" width="3.88671875" style="426" customWidth="1"/>
    <col min="8965" max="8967" width="16.6640625" style="426" customWidth="1"/>
    <col min="8968" max="8968" width="4.109375" style="426" customWidth="1"/>
    <col min="8969" max="8969" width="14" style="426" customWidth="1"/>
    <col min="8970" max="8970" width="15.88671875" style="426" customWidth="1"/>
    <col min="8971" max="8971" width="15.109375" style="426" customWidth="1"/>
    <col min="8972" max="8972" width="2.5546875" style="426" customWidth="1"/>
    <col min="8973" max="8973" width="14" style="426" bestFit="1" customWidth="1"/>
    <col min="8974" max="8974" width="15.88671875" style="426" bestFit="1" customWidth="1"/>
    <col min="8975" max="8975" width="16.88671875" style="426" customWidth="1"/>
    <col min="8976" max="9212" width="12.6640625" style="426"/>
    <col min="9213" max="9213" width="4.5546875" style="426" customWidth="1"/>
    <col min="9214" max="9214" width="56.109375" style="426" customWidth="1"/>
    <col min="9215" max="9215" width="14.5546875" style="426" customWidth="1"/>
    <col min="9216" max="9216" width="14.6640625" style="426" bestFit="1" customWidth="1"/>
    <col min="9217" max="9217" width="14.44140625" style="426" customWidth="1"/>
    <col min="9218" max="9218" width="17" style="426" customWidth="1"/>
    <col min="9219" max="9219" width="16.6640625" style="426" customWidth="1"/>
    <col min="9220" max="9220" width="3.88671875" style="426" customWidth="1"/>
    <col min="9221" max="9223" width="16.6640625" style="426" customWidth="1"/>
    <col min="9224" max="9224" width="4.109375" style="426" customWidth="1"/>
    <col min="9225" max="9225" width="14" style="426" customWidth="1"/>
    <col min="9226" max="9226" width="15.88671875" style="426" customWidth="1"/>
    <col min="9227" max="9227" width="15.109375" style="426" customWidth="1"/>
    <col min="9228" max="9228" width="2.5546875" style="426" customWidth="1"/>
    <col min="9229" max="9229" width="14" style="426" bestFit="1" customWidth="1"/>
    <col min="9230" max="9230" width="15.88671875" style="426" bestFit="1" customWidth="1"/>
    <col min="9231" max="9231" width="16.88671875" style="426" customWidth="1"/>
    <col min="9232" max="9468" width="12.6640625" style="426"/>
    <col min="9469" max="9469" width="4.5546875" style="426" customWidth="1"/>
    <col min="9470" max="9470" width="56.109375" style="426" customWidth="1"/>
    <col min="9471" max="9471" width="14.5546875" style="426" customWidth="1"/>
    <col min="9472" max="9472" width="14.6640625" style="426" bestFit="1" customWidth="1"/>
    <col min="9473" max="9473" width="14.44140625" style="426" customWidth="1"/>
    <col min="9474" max="9474" width="17" style="426" customWidth="1"/>
    <col min="9475" max="9475" width="16.6640625" style="426" customWidth="1"/>
    <col min="9476" max="9476" width="3.88671875" style="426" customWidth="1"/>
    <col min="9477" max="9479" width="16.6640625" style="426" customWidth="1"/>
    <col min="9480" max="9480" width="4.109375" style="426" customWidth="1"/>
    <col min="9481" max="9481" width="14" style="426" customWidth="1"/>
    <col min="9482" max="9482" width="15.88671875" style="426" customWidth="1"/>
    <col min="9483" max="9483" width="15.109375" style="426" customWidth="1"/>
    <col min="9484" max="9484" width="2.5546875" style="426" customWidth="1"/>
    <col min="9485" max="9485" width="14" style="426" bestFit="1" customWidth="1"/>
    <col min="9486" max="9486" width="15.88671875" style="426" bestFit="1" customWidth="1"/>
    <col min="9487" max="9487" width="16.88671875" style="426" customWidth="1"/>
    <col min="9488" max="9724" width="12.6640625" style="426"/>
    <col min="9725" max="9725" width="4.5546875" style="426" customWidth="1"/>
    <col min="9726" max="9726" width="56.109375" style="426" customWidth="1"/>
    <col min="9727" max="9727" width="14.5546875" style="426" customWidth="1"/>
    <col min="9728" max="9728" width="14.6640625" style="426" bestFit="1" customWidth="1"/>
    <col min="9729" max="9729" width="14.44140625" style="426" customWidth="1"/>
    <col min="9730" max="9730" width="17" style="426" customWidth="1"/>
    <col min="9731" max="9731" width="16.6640625" style="426" customWidth="1"/>
    <col min="9732" max="9732" width="3.88671875" style="426" customWidth="1"/>
    <col min="9733" max="9735" width="16.6640625" style="426" customWidth="1"/>
    <col min="9736" max="9736" width="4.109375" style="426" customWidth="1"/>
    <col min="9737" max="9737" width="14" style="426" customWidth="1"/>
    <col min="9738" max="9738" width="15.88671875" style="426" customWidth="1"/>
    <col min="9739" max="9739" width="15.109375" style="426" customWidth="1"/>
    <col min="9740" max="9740" width="2.5546875" style="426" customWidth="1"/>
    <col min="9741" max="9741" width="14" style="426" bestFit="1" customWidth="1"/>
    <col min="9742" max="9742" width="15.88671875" style="426" bestFit="1" customWidth="1"/>
    <col min="9743" max="9743" width="16.88671875" style="426" customWidth="1"/>
    <col min="9744" max="9980" width="12.6640625" style="426"/>
    <col min="9981" max="9981" width="4.5546875" style="426" customWidth="1"/>
    <col min="9982" max="9982" width="56.109375" style="426" customWidth="1"/>
    <col min="9983" max="9983" width="14.5546875" style="426" customWidth="1"/>
    <col min="9984" max="9984" width="14.6640625" style="426" bestFit="1" customWidth="1"/>
    <col min="9985" max="9985" width="14.44140625" style="426" customWidth="1"/>
    <col min="9986" max="9986" width="17" style="426" customWidth="1"/>
    <col min="9987" max="9987" width="16.6640625" style="426" customWidth="1"/>
    <col min="9988" max="9988" width="3.88671875" style="426" customWidth="1"/>
    <col min="9989" max="9991" width="16.6640625" style="426" customWidth="1"/>
    <col min="9992" max="9992" width="4.109375" style="426" customWidth="1"/>
    <col min="9993" max="9993" width="14" style="426" customWidth="1"/>
    <col min="9994" max="9994" width="15.88671875" style="426" customWidth="1"/>
    <col min="9995" max="9995" width="15.109375" style="426" customWidth="1"/>
    <col min="9996" max="9996" width="2.5546875" style="426" customWidth="1"/>
    <col min="9997" max="9997" width="14" style="426" bestFit="1" customWidth="1"/>
    <col min="9998" max="9998" width="15.88671875" style="426" bestFit="1" customWidth="1"/>
    <col min="9999" max="9999" width="16.88671875" style="426" customWidth="1"/>
    <col min="10000" max="10236" width="12.6640625" style="426"/>
    <col min="10237" max="10237" width="4.5546875" style="426" customWidth="1"/>
    <col min="10238" max="10238" width="56.109375" style="426" customWidth="1"/>
    <col min="10239" max="10239" width="14.5546875" style="426" customWidth="1"/>
    <col min="10240" max="10240" width="14.6640625" style="426" bestFit="1" customWidth="1"/>
    <col min="10241" max="10241" width="14.44140625" style="426" customWidth="1"/>
    <col min="10242" max="10242" width="17" style="426" customWidth="1"/>
    <col min="10243" max="10243" width="16.6640625" style="426" customWidth="1"/>
    <col min="10244" max="10244" width="3.88671875" style="426" customWidth="1"/>
    <col min="10245" max="10247" width="16.6640625" style="426" customWidth="1"/>
    <col min="10248" max="10248" width="4.109375" style="426" customWidth="1"/>
    <col min="10249" max="10249" width="14" style="426" customWidth="1"/>
    <col min="10250" max="10250" width="15.88671875" style="426" customWidth="1"/>
    <col min="10251" max="10251" width="15.109375" style="426" customWidth="1"/>
    <col min="10252" max="10252" width="2.5546875" style="426" customWidth="1"/>
    <col min="10253" max="10253" width="14" style="426" bestFit="1" customWidth="1"/>
    <col min="10254" max="10254" width="15.88671875" style="426" bestFit="1" customWidth="1"/>
    <col min="10255" max="10255" width="16.88671875" style="426" customWidth="1"/>
    <col min="10256" max="10492" width="12.6640625" style="426"/>
    <col min="10493" max="10493" width="4.5546875" style="426" customWidth="1"/>
    <col min="10494" max="10494" width="56.109375" style="426" customWidth="1"/>
    <col min="10495" max="10495" width="14.5546875" style="426" customWidth="1"/>
    <col min="10496" max="10496" width="14.6640625" style="426" bestFit="1" customWidth="1"/>
    <col min="10497" max="10497" width="14.44140625" style="426" customWidth="1"/>
    <col min="10498" max="10498" width="17" style="426" customWidth="1"/>
    <col min="10499" max="10499" width="16.6640625" style="426" customWidth="1"/>
    <col min="10500" max="10500" width="3.88671875" style="426" customWidth="1"/>
    <col min="10501" max="10503" width="16.6640625" style="426" customWidth="1"/>
    <col min="10504" max="10504" width="4.109375" style="426" customWidth="1"/>
    <col min="10505" max="10505" width="14" style="426" customWidth="1"/>
    <col min="10506" max="10506" width="15.88671875" style="426" customWidth="1"/>
    <col min="10507" max="10507" width="15.109375" style="426" customWidth="1"/>
    <col min="10508" max="10508" width="2.5546875" style="426" customWidth="1"/>
    <col min="10509" max="10509" width="14" style="426" bestFit="1" customWidth="1"/>
    <col min="10510" max="10510" width="15.88671875" style="426" bestFit="1" customWidth="1"/>
    <col min="10511" max="10511" width="16.88671875" style="426" customWidth="1"/>
    <col min="10512" max="10748" width="12.6640625" style="426"/>
    <col min="10749" max="10749" width="4.5546875" style="426" customWidth="1"/>
    <col min="10750" max="10750" width="56.109375" style="426" customWidth="1"/>
    <col min="10751" max="10751" width="14.5546875" style="426" customWidth="1"/>
    <col min="10752" max="10752" width="14.6640625" style="426" bestFit="1" customWidth="1"/>
    <col min="10753" max="10753" width="14.44140625" style="426" customWidth="1"/>
    <col min="10754" max="10754" width="17" style="426" customWidth="1"/>
    <col min="10755" max="10755" width="16.6640625" style="426" customWidth="1"/>
    <col min="10756" max="10756" width="3.88671875" style="426" customWidth="1"/>
    <col min="10757" max="10759" width="16.6640625" style="426" customWidth="1"/>
    <col min="10760" max="10760" width="4.109375" style="426" customWidth="1"/>
    <col min="10761" max="10761" width="14" style="426" customWidth="1"/>
    <col min="10762" max="10762" width="15.88671875" style="426" customWidth="1"/>
    <col min="10763" max="10763" width="15.109375" style="426" customWidth="1"/>
    <col min="10764" max="10764" width="2.5546875" style="426" customWidth="1"/>
    <col min="10765" max="10765" width="14" style="426" bestFit="1" customWidth="1"/>
    <col min="10766" max="10766" width="15.88671875" style="426" bestFit="1" customWidth="1"/>
    <col min="10767" max="10767" width="16.88671875" style="426" customWidth="1"/>
    <col min="10768" max="11004" width="12.6640625" style="426"/>
    <col min="11005" max="11005" width="4.5546875" style="426" customWidth="1"/>
    <col min="11006" max="11006" width="56.109375" style="426" customWidth="1"/>
    <col min="11007" max="11007" width="14.5546875" style="426" customWidth="1"/>
    <col min="11008" max="11008" width="14.6640625" style="426" bestFit="1" customWidth="1"/>
    <col min="11009" max="11009" width="14.44140625" style="426" customWidth="1"/>
    <col min="11010" max="11010" width="17" style="426" customWidth="1"/>
    <col min="11011" max="11011" width="16.6640625" style="426" customWidth="1"/>
    <col min="11012" max="11012" width="3.88671875" style="426" customWidth="1"/>
    <col min="11013" max="11015" width="16.6640625" style="426" customWidth="1"/>
    <col min="11016" max="11016" width="4.109375" style="426" customWidth="1"/>
    <col min="11017" max="11017" width="14" style="426" customWidth="1"/>
    <col min="11018" max="11018" width="15.88671875" style="426" customWidth="1"/>
    <col min="11019" max="11019" width="15.109375" style="426" customWidth="1"/>
    <col min="11020" max="11020" width="2.5546875" style="426" customWidth="1"/>
    <col min="11021" max="11021" width="14" style="426" bestFit="1" customWidth="1"/>
    <col min="11022" max="11022" width="15.88671875" style="426" bestFit="1" customWidth="1"/>
    <col min="11023" max="11023" width="16.88671875" style="426" customWidth="1"/>
    <col min="11024" max="11260" width="12.6640625" style="426"/>
    <col min="11261" max="11261" width="4.5546875" style="426" customWidth="1"/>
    <col min="11262" max="11262" width="56.109375" style="426" customWidth="1"/>
    <col min="11263" max="11263" width="14.5546875" style="426" customWidth="1"/>
    <col min="11264" max="11264" width="14.6640625" style="426" bestFit="1" customWidth="1"/>
    <col min="11265" max="11265" width="14.44140625" style="426" customWidth="1"/>
    <col min="11266" max="11266" width="17" style="426" customWidth="1"/>
    <col min="11267" max="11267" width="16.6640625" style="426" customWidth="1"/>
    <col min="11268" max="11268" width="3.88671875" style="426" customWidth="1"/>
    <col min="11269" max="11271" width="16.6640625" style="426" customWidth="1"/>
    <col min="11272" max="11272" width="4.109375" style="426" customWidth="1"/>
    <col min="11273" max="11273" width="14" style="426" customWidth="1"/>
    <col min="11274" max="11274" width="15.88671875" style="426" customWidth="1"/>
    <col min="11275" max="11275" width="15.109375" style="426" customWidth="1"/>
    <col min="11276" max="11276" width="2.5546875" style="426" customWidth="1"/>
    <col min="11277" max="11277" width="14" style="426" bestFit="1" customWidth="1"/>
    <col min="11278" max="11278" width="15.88671875" style="426" bestFit="1" customWidth="1"/>
    <col min="11279" max="11279" width="16.88671875" style="426" customWidth="1"/>
    <col min="11280" max="11516" width="12.6640625" style="426"/>
    <col min="11517" max="11517" width="4.5546875" style="426" customWidth="1"/>
    <col min="11518" max="11518" width="56.109375" style="426" customWidth="1"/>
    <col min="11519" max="11519" width="14.5546875" style="426" customWidth="1"/>
    <col min="11520" max="11520" width="14.6640625" style="426" bestFit="1" customWidth="1"/>
    <col min="11521" max="11521" width="14.44140625" style="426" customWidth="1"/>
    <col min="11522" max="11522" width="17" style="426" customWidth="1"/>
    <col min="11523" max="11523" width="16.6640625" style="426" customWidth="1"/>
    <col min="11524" max="11524" width="3.88671875" style="426" customWidth="1"/>
    <col min="11525" max="11527" width="16.6640625" style="426" customWidth="1"/>
    <col min="11528" max="11528" width="4.109375" style="426" customWidth="1"/>
    <col min="11529" max="11529" width="14" style="426" customWidth="1"/>
    <col min="11530" max="11530" width="15.88671875" style="426" customWidth="1"/>
    <col min="11531" max="11531" width="15.109375" style="426" customWidth="1"/>
    <col min="11532" max="11532" width="2.5546875" style="426" customWidth="1"/>
    <col min="11533" max="11533" width="14" style="426" bestFit="1" customWidth="1"/>
    <col min="11534" max="11534" width="15.88671875" style="426" bestFit="1" customWidth="1"/>
    <col min="11535" max="11535" width="16.88671875" style="426" customWidth="1"/>
    <col min="11536" max="11772" width="12.6640625" style="426"/>
    <col min="11773" max="11773" width="4.5546875" style="426" customWidth="1"/>
    <col min="11774" max="11774" width="56.109375" style="426" customWidth="1"/>
    <col min="11775" max="11775" width="14.5546875" style="426" customWidth="1"/>
    <col min="11776" max="11776" width="14.6640625" style="426" bestFit="1" customWidth="1"/>
    <col min="11777" max="11777" width="14.44140625" style="426" customWidth="1"/>
    <col min="11778" max="11778" width="17" style="426" customWidth="1"/>
    <col min="11779" max="11779" width="16.6640625" style="426" customWidth="1"/>
    <col min="11780" max="11780" width="3.88671875" style="426" customWidth="1"/>
    <col min="11781" max="11783" width="16.6640625" style="426" customWidth="1"/>
    <col min="11784" max="11784" width="4.109375" style="426" customWidth="1"/>
    <col min="11785" max="11785" width="14" style="426" customWidth="1"/>
    <col min="11786" max="11786" width="15.88671875" style="426" customWidth="1"/>
    <col min="11787" max="11787" width="15.109375" style="426" customWidth="1"/>
    <col min="11788" max="11788" width="2.5546875" style="426" customWidth="1"/>
    <col min="11789" max="11789" width="14" style="426" bestFit="1" customWidth="1"/>
    <col min="11790" max="11790" width="15.88671875" style="426" bestFit="1" customWidth="1"/>
    <col min="11791" max="11791" width="16.88671875" style="426" customWidth="1"/>
    <col min="11792" max="12028" width="12.6640625" style="426"/>
    <col min="12029" max="12029" width="4.5546875" style="426" customWidth="1"/>
    <col min="12030" max="12030" width="56.109375" style="426" customWidth="1"/>
    <col min="12031" max="12031" width="14.5546875" style="426" customWidth="1"/>
    <col min="12032" max="12032" width="14.6640625" style="426" bestFit="1" customWidth="1"/>
    <col min="12033" max="12033" width="14.44140625" style="426" customWidth="1"/>
    <col min="12034" max="12034" width="17" style="426" customWidth="1"/>
    <col min="12035" max="12035" width="16.6640625" style="426" customWidth="1"/>
    <col min="12036" max="12036" width="3.88671875" style="426" customWidth="1"/>
    <col min="12037" max="12039" width="16.6640625" style="426" customWidth="1"/>
    <col min="12040" max="12040" width="4.109375" style="426" customWidth="1"/>
    <col min="12041" max="12041" width="14" style="426" customWidth="1"/>
    <col min="12042" max="12042" width="15.88671875" style="426" customWidth="1"/>
    <col min="12043" max="12043" width="15.109375" style="426" customWidth="1"/>
    <col min="12044" max="12044" width="2.5546875" style="426" customWidth="1"/>
    <col min="12045" max="12045" width="14" style="426" bestFit="1" customWidth="1"/>
    <col min="12046" max="12046" width="15.88671875" style="426" bestFit="1" customWidth="1"/>
    <col min="12047" max="12047" width="16.88671875" style="426" customWidth="1"/>
    <col min="12048" max="12284" width="12.6640625" style="426"/>
    <col min="12285" max="12285" width="4.5546875" style="426" customWidth="1"/>
    <col min="12286" max="12286" width="56.109375" style="426" customWidth="1"/>
    <col min="12287" max="12287" width="14.5546875" style="426" customWidth="1"/>
    <col min="12288" max="12288" width="14.6640625" style="426" bestFit="1" customWidth="1"/>
    <col min="12289" max="12289" width="14.44140625" style="426" customWidth="1"/>
    <col min="12290" max="12290" width="17" style="426" customWidth="1"/>
    <col min="12291" max="12291" width="16.6640625" style="426" customWidth="1"/>
    <col min="12292" max="12292" width="3.88671875" style="426" customWidth="1"/>
    <col min="12293" max="12295" width="16.6640625" style="426" customWidth="1"/>
    <col min="12296" max="12296" width="4.109375" style="426" customWidth="1"/>
    <col min="12297" max="12297" width="14" style="426" customWidth="1"/>
    <col min="12298" max="12298" width="15.88671875" style="426" customWidth="1"/>
    <col min="12299" max="12299" width="15.109375" style="426" customWidth="1"/>
    <col min="12300" max="12300" width="2.5546875" style="426" customWidth="1"/>
    <col min="12301" max="12301" width="14" style="426" bestFit="1" customWidth="1"/>
    <col min="12302" max="12302" width="15.88671875" style="426" bestFit="1" customWidth="1"/>
    <col min="12303" max="12303" width="16.88671875" style="426" customWidth="1"/>
    <col min="12304" max="12540" width="12.6640625" style="426"/>
    <col min="12541" max="12541" width="4.5546875" style="426" customWidth="1"/>
    <col min="12542" max="12542" width="56.109375" style="426" customWidth="1"/>
    <col min="12543" max="12543" width="14.5546875" style="426" customWidth="1"/>
    <col min="12544" max="12544" width="14.6640625" style="426" bestFit="1" customWidth="1"/>
    <col min="12545" max="12545" width="14.44140625" style="426" customWidth="1"/>
    <col min="12546" max="12546" width="17" style="426" customWidth="1"/>
    <col min="12547" max="12547" width="16.6640625" style="426" customWidth="1"/>
    <col min="12548" max="12548" width="3.88671875" style="426" customWidth="1"/>
    <col min="12549" max="12551" width="16.6640625" style="426" customWidth="1"/>
    <col min="12552" max="12552" width="4.109375" style="426" customWidth="1"/>
    <col min="12553" max="12553" width="14" style="426" customWidth="1"/>
    <col min="12554" max="12554" width="15.88671875" style="426" customWidth="1"/>
    <col min="12555" max="12555" width="15.109375" style="426" customWidth="1"/>
    <col min="12556" max="12556" width="2.5546875" style="426" customWidth="1"/>
    <col min="12557" max="12557" width="14" style="426" bestFit="1" customWidth="1"/>
    <col min="12558" max="12558" width="15.88671875" style="426" bestFit="1" customWidth="1"/>
    <col min="12559" max="12559" width="16.88671875" style="426" customWidth="1"/>
    <col min="12560" max="12796" width="12.6640625" style="426"/>
    <col min="12797" max="12797" width="4.5546875" style="426" customWidth="1"/>
    <col min="12798" max="12798" width="56.109375" style="426" customWidth="1"/>
    <col min="12799" max="12799" width="14.5546875" style="426" customWidth="1"/>
    <col min="12800" max="12800" width="14.6640625" style="426" bestFit="1" customWidth="1"/>
    <col min="12801" max="12801" width="14.44140625" style="426" customWidth="1"/>
    <col min="12802" max="12802" width="17" style="426" customWidth="1"/>
    <col min="12803" max="12803" width="16.6640625" style="426" customWidth="1"/>
    <col min="12804" max="12804" width="3.88671875" style="426" customWidth="1"/>
    <col min="12805" max="12807" width="16.6640625" style="426" customWidth="1"/>
    <col min="12808" max="12808" width="4.109375" style="426" customWidth="1"/>
    <col min="12809" max="12809" width="14" style="426" customWidth="1"/>
    <col min="12810" max="12810" width="15.88671875" style="426" customWidth="1"/>
    <col min="12811" max="12811" width="15.109375" style="426" customWidth="1"/>
    <col min="12812" max="12812" width="2.5546875" style="426" customWidth="1"/>
    <col min="12813" max="12813" width="14" style="426" bestFit="1" customWidth="1"/>
    <col min="12814" max="12814" width="15.88671875" style="426" bestFit="1" customWidth="1"/>
    <col min="12815" max="12815" width="16.88671875" style="426" customWidth="1"/>
    <col min="12816" max="13052" width="12.6640625" style="426"/>
    <col min="13053" max="13053" width="4.5546875" style="426" customWidth="1"/>
    <col min="13054" max="13054" width="56.109375" style="426" customWidth="1"/>
    <col min="13055" max="13055" width="14.5546875" style="426" customWidth="1"/>
    <col min="13056" max="13056" width="14.6640625" style="426" bestFit="1" customWidth="1"/>
    <col min="13057" max="13057" width="14.44140625" style="426" customWidth="1"/>
    <col min="13058" max="13058" width="17" style="426" customWidth="1"/>
    <col min="13059" max="13059" width="16.6640625" style="426" customWidth="1"/>
    <col min="13060" max="13060" width="3.88671875" style="426" customWidth="1"/>
    <col min="13061" max="13063" width="16.6640625" style="426" customWidth="1"/>
    <col min="13064" max="13064" width="4.109375" style="426" customWidth="1"/>
    <col min="13065" max="13065" width="14" style="426" customWidth="1"/>
    <col min="13066" max="13066" width="15.88671875" style="426" customWidth="1"/>
    <col min="13067" max="13067" width="15.109375" style="426" customWidth="1"/>
    <col min="13068" max="13068" width="2.5546875" style="426" customWidth="1"/>
    <col min="13069" max="13069" width="14" style="426" bestFit="1" customWidth="1"/>
    <col min="13070" max="13070" width="15.88671875" style="426" bestFit="1" customWidth="1"/>
    <col min="13071" max="13071" width="16.88671875" style="426" customWidth="1"/>
    <col min="13072" max="13308" width="12.6640625" style="426"/>
    <col min="13309" max="13309" width="4.5546875" style="426" customWidth="1"/>
    <col min="13310" max="13310" width="56.109375" style="426" customWidth="1"/>
    <col min="13311" max="13311" width="14.5546875" style="426" customWidth="1"/>
    <col min="13312" max="13312" width="14.6640625" style="426" bestFit="1" customWidth="1"/>
    <col min="13313" max="13313" width="14.44140625" style="426" customWidth="1"/>
    <col min="13314" max="13314" width="17" style="426" customWidth="1"/>
    <col min="13315" max="13315" width="16.6640625" style="426" customWidth="1"/>
    <col min="13316" max="13316" width="3.88671875" style="426" customWidth="1"/>
    <col min="13317" max="13319" width="16.6640625" style="426" customWidth="1"/>
    <col min="13320" max="13320" width="4.109375" style="426" customWidth="1"/>
    <col min="13321" max="13321" width="14" style="426" customWidth="1"/>
    <col min="13322" max="13322" width="15.88671875" style="426" customWidth="1"/>
    <col min="13323" max="13323" width="15.109375" style="426" customWidth="1"/>
    <col min="13324" max="13324" width="2.5546875" style="426" customWidth="1"/>
    <col min="13325" max="13325" width="14" style="426" bestFit="1" customWidth="1"/>
    <col min="13326" max="13326" width="15.88671875" style="426" bestFit="1" customWidth="1"/>
    <col min="13327" max="13327" width="16.88671875" style="426" customWidth="1"/>
    <col min="13328" max="13564" width="12.6640625" style="426"/>
    <col min="13565" max="13565" width="4.5546875" style="426" customWidth="1"/>
    <col min="13566" max="13566" width="56.109375" style="426" customWidth="1"/>
    <col min="13567" max="13567" width="14.5546875" style="426" customWidth="1"/>
    <col min="13568" max="13568" width="14.6640625" style="426" bestFit="1" customWidth="1"/>
    <col min="13569" max="13569" width="14.44140625" style="426" customWidth="1"/>
    <col min="13570" max="13570" width="17" style="426" customWidth="1"/>
    <col min="13571" max="13571" width="16.6640625" style="426" customWidth="1"/>
    <col min="13572" max="13572" width="3.88671875" style="426" customWidth="1"/>
    <col min="13573" max="13575" width="16.6640625" style="426" customWidth="1"/>
    <col min="13576" max="13576" width="4.109375" style="426" customWidth="1"/>
    <col min="13577" max="13577" width="14" style="426" customWidth="1"/>
    <col min="13578" max="13578" width="15.88671875" style="426" customWidth="1"/>
    <col min="13579" max="13579" width="15.109375" style="426" customWidth="1"/>
    <col min="13580" max="13580" width="2.5546875" style="426" customWidth="1"/>
    <col min="13581" max="13581" width="14" style="426" bestFit="1" customWidth="1"/>
    <col min="13582" max="13582" width="15.88671875" style="426" bestFit="1" customWidth="1"/>
    <col min="13583" max="13583" width="16.88671875" style="426" customWidth="1"/>
    <col min="13584" max="13820" width="12.6640625" style="426"/>
    <col min="13821" max="13821" width="4.5546875" style="426" customWidth="1"/>
    <col min="13822" max="13822" width="56.109375" style="426" customWidth="1"/>
    <col min="13823" max="13823" width="14.5546875" style="426" customWidth="1"/>
    <col min="13824" max="13824" width="14.6640625" style="426" bestFit="1" customWidth="1"/>
    <col min="13825" max="13825" width="14.44140625" style="426" customWidth="1"/>
    <col min="13826" max="13826" width="17" style="426" customWidth="1"/>
    <col min="13827" max="13827" width="16.6640625" style="426" customWidth="1"/>
    <col min="13828" max="13828" width="3.88671875" style="426" customWidth="1"/>
    <col min="13829" max="13831" width="16.6640625" style="426" customWidth="1"/>
    <col min="13832" max="13832" width="4.109375" style="426" customWidth="1"/>
    <col min="13833" max="13833" width="14" style="426" customWidth="1"/>
    <col min="13834" max="13834" width="15.88671875" style="426" customWidth="1"/>
    <col min="13835" max="13835" width="15.109375" style="426" customWidth="1"/>
    <col min="13836" max="13836" width="2.5546875" style="426" customWidth="1"/>
    <col min="13837" max="13837" width="14" style="426" bestFit="1" customWidth="1"/>
    <col min="13838" max="13838" width="15.88671875" style="426" bestFit="1" customWidth="1"/>
    <col min="13839" max="13839" width="16.88671875" style="426" customWidth="1"/>
    <col min="13840" max="14076" width="12.6640625" style="426"/>
    <col min="14077" max="14077" width="4.5546875" style="426" customWidth="1"/>
    <col min="14078" max="14078" width="56.109375" style="426" customWidth="1"/>
    <col min="14079" max="14079" width="14.5546875" style="426" customWidth="1"/>
    <col min="14080" max="14080" width="14.6640625" style="426" bestFit="1" customWidth="1"/>
    <col min="14081" max="14081" width="14.44140625" style="426" customWidth="1"/>
    <col min="14082" max="14082" width="17" style="426" customWidth="1"/>
    <col min="14083" max="14083" width="16.6640625" style="426" customWidth="1"/>
    <col min="14084" max="14084" width="3.88671875" style="426" customWidth="1"/>
    <col min="14085" max="14087" width="16.6640625" style="426" customWidth="1"/>
    <col min="14088" max="14088" width="4.109375" style="426" customWidth="1"/>
    <col min="14089" max="14089" width="14" style="426" customWidth="1"/>
    <col min="14090" max="14090" width="15.88671875" style="426" customWidth="1"/>
    <col min="14091" max="14091" width="15.109375" style="426" customWidth="1"/>
    <col min="14092" max="14092" width="2.5546875" style="426" customWidth="1"/>
    <col min="14093" max="14093" width="14" style="426" bestFit="1" customWidth="1"/>
    <col min="14094" max="14094" width="15.88671875" style="426" bestFit="1" customWidth="1"/>
    <col min="14095" max="14095" width="16.88671875" style="426" customWidth="1"/>
    <col min="14096" max="14332" width="12.6640625" style="426"/>
    <col min="14333" max="14333" width="4.5546875" style="426" customWidth="1"/>
    <col min="14334" max="14334" width="56.109375" style="426" customWidth="1"/>
    <col min="14335" max="14335" width="14.5546875" style="426" customWidth="1"/>
    <col min="14336" max="14336" width="14.6640625" style="426" bestFit="1" customWidth="1"/>
    <col min="14337" max="14337" width="14.44140625" style="426" customWidth="1"/>
    <col min="14338" max="14338" width="17" style="426" customWidth="1"/>
    <col min="14339" max="14339" width="16.6640625" style="426" customWidth="1"/>
    <col min="14340" max="14340" width="3.88671875" style="426" customWidth="1"/>
    <col min="14341" max="14343" width="16.6640625" style="426" customWidth="1"/>
    <col min="14344" max="14344" width="4.109375" style="426" customWidth="1"/>
    <col min="14345" max="14345" width="14" style="426" customWidth="1"/>
    <col min="14346" max="14346" width="15.88671875" style="426" customWidth="1"/>
    <col min="14347" max="14347" width="15.109375" style="426" customWidth="1"/>
    <col min="14348" max="14348" width="2.5546875" style="426" customWidth="1"/>
    <col min="14349" max="14349" width="14" style="426" bestFit="1" customWidth="1"/>
    <col min="14350" max="14350" width="15.88671875" style="426" bestFit="1" customWidth="1"/>
    <col min="14351" max="14351" width="16.88671875" style="426" customWidth="1"/>
    <col min="14352" max="14588" width="12.6640625" style="426"/>
    <col min="14589" max="14589" width="4.5546875" style="426" customWidth="1"/>
    <col min="14590" max="14590" width="56.109375" style="426" customWidth="1"/>
    <col min="14591" max="14591" width="14.5546875" style="426" customWidth="1"/>
    <col min="14592" max="14592" width="14.6640625" style="426" bestFit="1" customWidth="1"/>
    <col min="14593" max="14593" width="14.44140625" style="426" customWidth="1"/>
    <col min="14594" max="14594" width="17" style="426" customWidth="1"/>
    <col min="14595" max="14595" width="16.6640625" style="426" customWidth="1"/>
    <col min="14596" max="14596" width="3.88671875" style="426" customWidth="1"/>
    <col min="14597" max="14599" width="16.6640625" style="426" customWidth="1"/>
    <col min="14600" max="14600" width="4.109375" style="426" customWidth="1"/>
    <col min="14601" max="14601" width="14" style="426" customWidth="1"/>
    <col min="14602" max="14602" width="15.88671875" style="426" customWidth="1"/>
    <col min="14603" max="14603" width="15.109375" style="426" customWidth="1"/>
    <col min="14604" max="14604" width="2.5546875" style="426" customWidth="1"/>
    <col min="14605" max="14605" width="14" style="426" bestFit="1" customWidth="1"/>
    <col min="14606" max="14606" width="15.88671875" style="426" bestFit="1" customWidth="1"/>
    <col min="14607" max="14607" width="16.88671875" style="426" customWidth="1"/>
    <col min="14608" max="14844" width="12.6640625" style="426"/>
    <col min="14845" max="14845" width="4.5546875" style="426" customWidth="1"/>
    <col min="14846" max="14846" width="56.109375" style="426" customWidth="1"/>
    <col min="14847" max="14847" width="14.5546875" style="426" customWidth="1"/>
    <col min="14848" max="14848" width="14.6640625" style="426" bestFit="1" customWidth="1"/>
    <col min="14849" max="14849" width="14.44140625" style="426" customWidth="1"/>
    <col min="14850" max="14850" width="17" style="426" customWidth="1"/>
    <col min="14851" max="14851" width="16.6640625" style="426" customWidth="1"/>
    <col min="14852" max="14852" width="3.88671875" style="426" customWidth="1"/>
    <col min="14853" max="14855" width="16.6640625" style="426" customWidth="1"/>
    <col min="14856" max="14856" width="4.109375" style="426" customWidth="1"/>
    <col min="14857" max="14857" width="14" style="426" customWidth="1"/>
    <col min="14858" max="14858" width="15.88671875" style="426" customWidth="1"/>
    <col min="14859" max="14859" width="15.109375" style="426" customWidth="1"/>
    <col min="14860" max="14860" width="2.5546875" style="426" customWidth="1"/>
    <col min="14861" max="14861" width="14" style="426" bestFit="1" customWidth="1"/>
    <col min="14862" max="14862" width="15.88671875" style="426" bestFit="1" customWidth="1"/>
    <col min="14863" max="14863" width="16.88671875" style="426" customWidth="1"/>
    <col min="14864" max="15100" width="12.6640625" style="426"/>
    <col min="15101" max="15101" width="4.5546875" style="426" customWidth="1"/>
    <col min="15102" max="15102" width="56.109375" style="426" customWidth="1"/>
    <col min="15103" max="15103" width="14.5546875" style="426" customWidth="1"/>
    <col min="15104" max="15104" width="14.6640625" style="426" bestFit="1" customWidth="1"/>
    <col min="15105" max="15105" width="14.44140625" style="426" customWidth="1"/>
    <col min="15106" max="15106" width="17" style="426" customWidth="1"/>
    <col min="15107" max="15107" width="16.6640625" style="426" customWidth="1"/>
    <col min="15108" max="15108" width="3.88671875" style="426" customWidth="1"/>
    <col min="15109" max="15111" width="16.6640625" style="426" customWidth="1"/>
    <col min="15112" max="15112" width="4.109375" style="426" customWidth="1"/>
    <col min="15113" max="15113" width="14" style="426" customWidth="1"/>
    <col min="15114" max="15114" width="15.88671875" style="426" customWidth="1"/>
    <col min="15115" max="15115" width="15.109375" style="426" customWidth="1"/>
    <col min="15116" max="15116" width="2.5546875" style="426" customWidth="1"/>
    <col min="15117" max="15117" width="14" style="426" bestFit="1" customWidth="1"/>
    <col min="15118" max="15118" width="15.88671875" style="426" bestFit="1" customWidth="1"/>
    <col min="15119" max="15119" width="16.88671875" style="426" customWidth="1"/>
    <col min="15120" max="15356" width="12.6640625" style="426"/>
    <col min="15357" max="15357" width="4.5546875" style="426" customWidth="1"/>
    <col min="15358" max="15358" width="56.109375" style="426" customWidth="1"/>
    <col min="15359" max="15359" width="14.5546875" style="426" customWidth="1"/>
    <col min="15360" max="15360" width="14.6640625" style="426" bestFit="1" customWidth="1"/>
    <col min="15361" max="15361" width="14.44140625" style="426" customWidth="1"/>
    <col min="15362" max="15362" width="17" style="426" customWidth="1"/>
    <col min="15363" max="15363" width="16.6640625" style="426" customWidth="1"/>
    <col min="15364" max="15364" width="3.88671875" style="426" customWidth="1"/>
    <col min="15365" max="15367" width="16.6640625" style="426" customWidth="1"/>
    <col min="15368" max="15368" width="4.109375" style="426" customWidth="1"/>
    <col min="15369" max="15369" width="14" style="426" customWidth="1"/>
    <col min="15370" max="15370" width="15.88671875" style="426" customWidth="1"/>
    <col min="15371" max="15371" width="15.109375" style="426" customWidth="1"/>
    <col min="15372" max="15372" width="2.5546875" style="426" customWidth="1"/>
    <col min="15373" max="15373" width="14" style="426" bestFit="1" customWidth="1"/>
    <col min="15374" max="15374" width="15.88671875" style="426" bestFit="1" customWidth="1"/>
    <col min="15375" max="15375" width="16.88671875" style="426" customWidth="1"/>
    <col min="15376" max="15612" width="12.6640625" style="426"/>
    <col min="15613" max="15613" width="4.5546875" style="426" customWidth="1"/>
    <col min="15614" max="15614" width="56.109375" style="426" customWidth="1"/>
    <col min="15615" max="15615" width="14.5546875" style="426" customWidth="1"/>
    <col min="15616" max="15616" width="14.6640625" style="426" bestFit="1" customWidth="1"/>
    <col min="15617" max="15617" width="14.44140625" style="426" customWidth="1"/>
    <col min="15618" max="15618" width="17" style="426" customWidth="1"/>
    <col min="15619" max="15619" width="16.6640625" style="426" customWidth="1"/>
    <col min="15620" max="15620" width="3.88671875" style="426" customWidth="1"/>
    <col min="15621" max="15623" width="16.6640625" style="426" customWidth="1"/>
    <col min="15624" max="15624" width="4.109375" style="426" customWidth="1"/>
    <col min="15625" max="15625" width="14" style="426" customWidth="1"/>
    <col min="15626" max="15626" width="15.88671875" style="426" customWidth="1"/>
    <col min="15627" max="15627" width="15.109375" style="426" customWidth="1"/>
    <col min="15628" max="15628" width="2.5546875" style="426" customWidth="1"/>
    <col min="15629" max="15629" width="14" style="426" bestFit="1" customWidth="1"/>
    <col min="15630" max="15630" width="15.88671875" style="426" bestFit="1" customWidth="1"/>
    <col min="15631" max="15631" width="16.88671875" style="426" customWidth="1"/>
    <col min="15632" max="15868" width="12.6640625" style="426"/>
    <col min="15869" max="15869" width="4.5546875" style="426" customWidth="1"/>
    <col min="15870" max="15870" width="56.109375" style="426" customWidth="1"/>
    <col min="15871" max="15871" width="14.5546875" style="426" customWidth="1"/>
    <col min="15872" max="15872" width="14.6640625" style="426" bestFit="1" customWidth="1"/>
    <col min="15873" max="15873" width="14.44140625" style="426" customWidth="1"/>
    <col min="15874" max="15874" width="17" style="426" customWidth="1"/>
    <col min="15875" max="15875" width="16.6640625" style="426" customWidth="1"/>
    <col min="15876" max="15876" width="3.88671875" style="426" customWidth="1"/>
    <col min="15877" max="15879" width="16.6640625" style="426" customWidth="1"/>
    <col min="15880" max="15880" width="4.109375" style="426" customWidth="1"/>
    <col min="15881" max="15881" width="14" style="426" customWidth="1"/>
    <col min="15882" max="15882" width="15.88671875" style="426" customWidth="1"/>
    <col min="15883" max="15883" width="15.109375" style="426" customWidth="1"/>
    <col min="15884" max="15884" width="2.5546875" style="426" customWidth="1"/>
    <col min="15885" max="15885" width="14" style="426" bestFit="1" customWidth="1"/>
    <col min="15886" max="15886" width="15.88671875" style="426" bestFit="1" customWidth="1"/>
    <col min="15887" max="15887" width="16.88671875" style="426" customWidth="1"/>
    <col min="15888" max="16124" width="12.6640625" style="426"/>
    <col min="16125" max="16125" width="4.5546875" style="426" customWidth="1"/>
    <col min="16126" max="16126" width="56.109375" style="426" customWidth="1"/>
    <col min="16127" max="16127" width="14.5546875" style="426" customWidth="1"/>
    <col min="16128" max="16128" width="14.6640625" style="426" bestFit="1" customWidth="1"/>
    <col min="16129" max="16129" width="14.44140625" style="426" customWidth="1"/>
    <col min="16130" max="16130" width="17" style="426" customWidth="1"/>
    <col min="16131" max="16131" width="16.6640625" style="426" customWidth="1"/>
    <col min="16132" max="16132" width="3.88671875" style="426" customWidth="1"/>
    <col min="16133" max="16135" width="16.6640625" style="426" customWidth="1"/>
    <col min="16136" max="16136" width="4.109375" style="426" customWidth="1"/>
    <col min="16137" max="16137" width="14" style="426" customWidth="1"/>
    <col min="16138" max="16138" width="15.88671875" style="426" customWidth="1"/>
    <col min="16139" max="16139" width="15.109375" style="426" customWidth="1"/>
    <col min="16140" max="16140" width="2.5546875" style="426" customWidth="1"/>
    <col min="16141" max="16141" width="14" style="426" bestFit="1" customWidth="1"/>
    <col min="16142" max="16142" width="15.88671875" style="426" bestFit="1" customWidth="1"/>
    <col min="16143" max="16143" width="16.88671875" style="426" customWidth="1"/>
    <col min="16144" max="16384" width="12.6640625" style="426"/>
  </cols>
  <sheetData>
    <row r="1" spans="1:19" ht="15">
      <c r="B1" s="601" t="s">
        <v>968</v>
      </c>
      <c r="C1" s="441" t="s">
        <v>113</v>
      </c>
      <c r="E1" s="441"/>
      <c r="F1" s="441"/>
      <c r="G1" s="441"/>
      <c r="H1" s="441"/>
      <c r="I1" s="441"/>
      <c r="J1" s="441"/>
      <c r="K1" s="441"/>
      <c r="O1" s="599" t="s">
        <v>1226</v>
      </c>
      <c r="P1" s="426"/>
      <c r="Q1" s="426"/>
    </row>
    <row r="2" spans="1:19" ht="15">
      <c r="B2" s="601" t="s">
        <v>0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O2" s="427"/>
      <c r="P2" s="426"/>
      <c r="Q2" s="426"/>
    </row>
    <row r="3" spans="1:19" ht="15">
      <c r="B3" s="602" t="s">
        <v>1176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  <c r="P3" s="426"/>
      <c r="Q3" s="426"/>
    </row>
    <row r="4" spans="1:19" ht="15">
      <c r="B4" s="602" t="s">
        <v>706</v>
      </c>
      <c r="C4" s="441"/>
      <c r="D4" s="441"/>
      <c r="E4" s="441"/>
      <c r="F4" s="441"/>
      <c r="G4" s="441"/>
      <c r="H4" s="441"/>
      <c r="I4" s="441"/>
      <c r="J4" s="441"/>
      <c r="K4" s="441"/>
      <c r="L4" s="441"/>
      <c r="P4" s="426"/>
      <c r="Q4" s="426"/>
    </row>
    <row r="5" spans="1:19">
      <c r="B5" s="428"/>
      <c r="P5" s="426"/>
      <c r="Q5" s="426"/>
    </row>
    <row r="6" spans="1:19">
      <c r="P6" s="426"/>
      <c r="Q6" s="426"/>
    </row>
    <row r="7" spans="1:19">
      <c r="A7" s="515"/>
      <c r="B7" s="18" t="s">
        <v>463</v>
      </c>
      <c r="C7" s="18" t="s">
        <v>464</v>
      </c>
      <c r="D7" s="18" t="s">
        <v>465</v>
      </c>
      <c r="E7" s="18" t="s">
        <v>466</v>
      </c>
      <c r="F7" s="18" t="s">
        <v>467</v>
      </c>
      <c r="G7" s="18" t="s">
        <v>468</v>
      </c>
      <c r="H7" s="18"/>
      <c r="I7" s="18" t="s">
        <v>1017</v>
      </c>
      <c r="J7" s="18" t="s">
        <v>1018</v>
      </c>
      <c r="K7" s="18" t="s">
        <v>1019</v>
      </c>
      <c r="L7" s="18"/>
      <c r="M7" s="18" t="s">
        <v>469</v>
      </c>
      <c r="N7" s="18" t="s">
        <v>470</v>
      </c>
      <c r="O7" s="18" t="s">
        <v>471</v>
      </c>
      <c r="P7" s="516"/>
      <c r="Q7" s="18" t="s">
        <v>472</v>
      </c>
      <c r="R7" s="18" t="s">
        <v>473</v>
      </c>
      <c r="S7" s="18" t="s">
        <v>474</v>
      </c>
    </row>
    <row r="8" spans="1:19">
      <c r="A8" s="515"/>
      <c r="B8" s="516"/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</row>
    <row r="9" spans="1:19">
      <c r="A9" s="515"/>
      <c r="B9" s="516"/>
      <c r="C9" s="517" t="s">
        <v>475</v>
      </c>
      <c r="D9" s="517"/>
      <c r="E9" s="518" t="s">
        <v>476</v>
      </c>
      <c r="F9" s="517"/>
      <c r="G9" s="519" t="s">
        <v>477</v>
      </c>
      <c r="H9" s="519"/>
      <c r="I9" s="520" t="s">
        <v>1020</v>
      </c>
      <c r="J9" s="517"/>
      <c r="K9" s="517"/>
      <c r="L9" s="519"/>
      <c r="M9" s="520" t="s">
        <v>1177</v>
      </c>
      <c r="N9" s="517"/>
      <c r="O9" s="517"/>
      <c r="P9" s="516"/>
      <c r="Q9" s="520" t="s">
        <v>1021</v>
      </c>
      <c r="R9" s="517"/>
      <c r="S9" s="517"/>
    </row>
    <row r="10" spans="1:19">
      <c r="A10" s="515"/>
      <c r="B10" s="516"/>
      <c r="C10" s="521"/>
      <c r="D10" s="521"/>
      <c r="E10" s="516"/>
      <c r="F10" s="516"/>
      <c r="G10" s="519" t="s">
        <v>478</v>
      </c>
      <c r="H10" s="519"/>
      <c r="I10" s="521"/>
      <c r="J10" s="521"/>
      <c r="K10" s="521"/>
      <c r="L10" s="519"/>
      <c r="M10" s="521"/>
      <c r="N10" s="521"/>
      <c r="O10" s="521"/>
      <c r="P10" s="516"/>
      <c r="Q10" s="521"/>
      <c r="R10" s="521"/>
      <c r="S10" s="521"/>
    </row>
    <row r="11" spans="1:19">
      <c r="A11" s="515"/>
      <c r="B11" s="516"/>
      <c r="C11" s="519" t="s">
        <v>479</v>
      </c>
      <c r="D11" s="519" t="s">
        <v>479</v>
      </c>
      <c r="E11" s="519" t="s">
        <v>479</v>
      </c>
      <c r="F11" s="519" t="s">
        <v>479</v>
      </c>
      <c r="G11" s="519" t="s">
        <v>480</v>
      </c>
      <c r="H11" s="519"/>
      <c r="I11" s="516"/>
      <c r="J11" s="516"/>
      <c r="K11" s="516"/>
      <c r="L11" s="519"/>
      <c r="M11" s="516"/>
      <c r="N11" s="516"/>
      <c r="O11" s="516"/>
      <c r="P11" s="516"/>
      <c r="Q11" s="516"/>
      <c r="R11" s="516"/>
      <c r="S11" s="516"/>
    </row>
    <row r="12" spans="1:19">
      <c r="A12" s="515"/>
      <c r="B12" s="18" t="s">
        <v>481</v>
      </c>
      <c r="C12" s="18" t="s">
        <v>1178</v>
      </c>
      <c r="D12" s="18" t="s">
        <v>1022</v>
      </c>
      <c r="E12" s="18" t="str">
        <f>C12</f>
        <v>OF 12-31-15</v>
      </c>
      <c r="F12" s="18" t="str">
        <f>D12</f>
        <v>OF 12-31-14</v>
      </c>
      <c r="G12" s="18" t="s">
        <v>482</v>
      </c>
      <c r="H12" s="18"/>
      <c r="I12" s="18" t="s">
        <v>483</v>
      </c>
      <c r="J12" s="18" t="s">
        <v>382</v>
      </c>
      <c r="K12" s="18" t="s">
        <v>383</v>
      </c>
      <c r="L12" s="18"/>
      <c r="M12" s="18" t="s">
        <v>483</v>
      </c>
      <c r="N12" s="18" t="s">
        <v>382</v>
      </c>
      <c r="O12" s="18" t="s">
        <v>383</v>
      </c>
      <c r="P12" s="516"/>
      <c r="Q12" s="18" t="s">
        <v>483</v>
      </c>
      <c r="R12" s="18" t="s">
        <v>382</v>
      </c>
      <c r="S12" s="18" t="s">
        <v>383</v>
      </c>
    </row>
    <row r="13" spans="1:19">
      <c r="A13" s="515"/>
      <c r="B13" s="516"/>
      <c r="C13" s="516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</row>
    <row r="14" spans="1:19">
      <c r="A14" s="525">
        <v>1</v>
      </c>
      <c r="B14" s="182" t="s">
        <v>484</v>
      </c>
      <c r="C14" s="522"/>
      <c r="D14" s="522"/>
      <c r="E14" s="522"/>
      <c r="F14" s="523"/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</row>
    <row r="15" spans="1:19">
      <c r="A15" s="525">
        <f t="shared" ref="A15:A83" si="0">A14+1</f>
        <v>2</v>
      </c>
      <c r="B15" s="524"/>
      <c r="C15" s="522"/>
      <c r="D15" s="522"/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522"/>
      <c r="Q15" s="522"/>
      <c r="R15" s="522"/>
      <c r="S15" s="522"/>
    </row>
    <row r="16" spans="1:19">
      <c r="A16" s="525">
        <f t="shared" si="0"/>
        <v>3</v>
      </c>
      <c r="B16" s="182" t="s">
        <v>570</v>
      </c>
      <c r="C16" s="522">
        <f>SUM(M16:O16)</f>
        <v>317728820.80000001</v>
      </c>
      <c r="D16" s="522">
        <f>SUM(Q16:S16)</f>
        <v>308697316.89999998</v>
      </c>
      <c r="E16" s="522"/>
      <c r="F16" s="522"/>
      <c r="G16" s="522">
        <f t="shared" ref="G16:G20" si="1">ROUND(SUM(C16:F16)/2,0)</f>
        <v>313213069</v>
      </c>
      <c r="H16" s="522"/>
      <c r="I16" s="522">
        <f>(M16+Q16)/2</f>
        <v>313213068.85000002</v>
      </c>
      <c r="J16" s="522">
        <f>(N16+R16)/2</f>
        <v>0</v>
      </c>
      <c r="K16" s="522">
        <f>(O16+S16)/2</f>
        <v>0</v>
      </c>
      <c r="L16" s="522"/>
      <c r="M16" s="526">
        <v>317728820.80000001</v>
      </c>
      <c r="N16" s="526">
        <v>0</v>
      </c>
      <c r="O16" s="526">
        <v>0</v>
      </c>
      <c r="P16" s="522"/>
      <c r="Q16" s="526">
        <v>308697316.89999998</v>
      </c>
      <c r="R16" s="526">
        <v>0</v>
      </c>
      <c r="S16" s="526">
        <v>0</v>
      </c>
    </row>
    <row r="17" spans="1:19">
      <c r="A17" s="525">
        <f t="shared" si="0"/>
        <v>4</v>
      </c>
      <c r="B17" s="524"/>
      <c r="C17" s="522"/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2"/>
      <c r="Q17" s="522"/>
      <c r="R17" s="522"/>
      <c r="S17" s="522"/>
    </row>
    <row r="18" spans="1:19">
      <c r="A18" s="525">
        <f t="shared" si="0"/>
        <v>5</v>
      </c>
      <c r="B18" s="524" t="s">
        <v>485</v>
      </c>
      <c r="C18" s="522">
        <v>0</v>
      </c>
      <c r="D18" s="522">
        <v>0</v>
      </c>
      <c r="E18" s="522">
        <f t="shared" ref="E18:F20" si="2">-C18</f>
        <v>0</v>
      </c>
      <c r="F18" s="522">
        <f t="shared" si="2"/>
        <v>0</v>
      </c>
      <c r="G18" s="522">
        <f t="shared" si="1"/>
        <v>0</v>
      </c>
      <c r="H18" s="522"/>
      <c r="I18" s="522"/>
      <c r="J18" s="522"/>
      <c r="K18" s="522"/>
      <c r="L18" s="522"/>
      <c r="M18" s="522"/>
      <c r="N18" s="522"/>
      <c r="O18" s="522"/>
      <c r="P18" s="522"/>
      <c r="Q18" s="522"/>
      <c r="R18" s="522"/>
      <c r="S18" s="522"/>
    </row>
    <row r="19" spans="1:19">
      <c r="A19" s="525">
        <f t="shared" si="0"/>
        <v>6</v>
      </c>
      <c r="B19" s="524" t="s">
        <v>486</v>
      </c>
      <c r="C19" s="522">
        <v>0</v>
      </c>
      <c r="D19" s="522">
        <v>0</v>
      </c>
      <c r="E19" s="522">
        <f t="shared" si="2"/>
        <v>0</v>
      </c>
      <c r="F19" s="522">
        <f t="shared" si="2"/>
        <v>0</v>
      </c>
      <c r="G19" s="522">
        <f t="shared" si="1"/>
        <v>0</v>
      </c>
      <c r="H19" s="522"/>
      <c r="I19" s="522"/>
      <c r="J19" s="522"/>
      <c r="K19" s="522"/>
      <c r="L19" s="522"/>
      <c r="M19" s="522"/>
      <c r="N19" s="522"/>
      <c r="O19" s="522"/>
      <c r="P19" s="522"/>
      <c r="Q19" s="522"/>
      <c r="R19" s="522"/>
      <c r="S19" s="522"/>
    </row>
    <row r="20" spans="1:19">
      <c r="A20" s="525">
        <f t="shared" si="0"/>
        <v>7</v>
      </c>
      <c r="B20" s="524" t="s">
        <v>487</v>
      </c>
      <c r="C20" s="522">
        <v>0</v>
      </c>
      <c r="D20" s="522">
        <v>0</v>
      </c>
      <c r="E20" s="522">
        <f t="shared" si="2"/>
        <v>0</v>
      </c>
      <c r="F20" s="522">
        <f t="shared" si="2"/>
        <v>0</v>
      </c>
      <c r="G20" s="522">
        <f t="shared" si="1"/>
        <v>0</v>
      </c>
      <c r="H20" s="522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2"/>
    </row>
    <row r="21" spans="1:19">
      <c r="A21" s="525">
        <f t="shared" si="0"/>
        <v>8</v>
      </c>
      <c r="B21" s="516"/>
      <c r="C21" s="522"/>
      <c r="D21" s="522"/>
      <c r="E21" s="522"/>
      <c r="F21" s="522"/>
      <c r="G21" s="522"/>
      <c r="H21" s="522"/>
      <c r="I21" s="522"/>
      <c r="J21" s="522"/>
      <c r="K21" s="522"/>
      <c r="L21" s="522"/>
      <c r="M21" s="522"/>
      <c r="N21" s="522"/>
      <c r="O21" s="522"/>
      <c r="P21" s="522"/>
      <c r="Q21" s="522"/>
      <c r="R21" s="522"/>
      <c r="S21" s="522"/>
    </row>
    <row r="22" spans="1:19" ht="13.8" thickBot="1">
      <c r="A22" s="525">
        <f t="shared" si="0"/>
        <v>9</v>
      </c>
      <c r="B22" s="182" t="s">
        <v>488</v>
      </c>
      <c r="C22" s="527">
        <f>SUM(C16:C21)</f>
        <v>317728820.80000001</v>
      </c>
      <c r="D22" s="527">
        <f>SUM(D16:D21)</f>
        <v>308697316.89999998</v>
      </c>
      <c r="E22" s="527">
        <f>SUM(E16:E21)</f>
        <v>0</v>
      </c>
      <c r="F22" s="527">
        <f>SUM(F16:F21)</f>
        <v>0</v>
      </c>
      <c r="G22" s="527">
        <f>SUM(G16:G21)</f>
        <v>313213069</v>
      </c>
      <c r="H22" s="522"/>
      <c r="I22" s="527">
        <f>SUM(I16:I21)</f>
        <v>313213068.85000002</v>
      </c>
      <c r="J22" s="527">
        <f>SUM(J16:J21)</f>
        <v>0</v>
      </c>
      <c r="K22" s="527">
        <f>SUM(K16:K21)</f>
        <v>0</v>
      </c>
      <c r="L22" s="522"/>
      <c r="M22" s="527">
        <f>SUM(M16:M21)</f>
        <v>317728820.80000001</v>
      </c>
      <c r="N22" s="527">
        <f>SUM(N16:N21)</f>
        <v>0</v>
      </c>
      <c r="O22" s="527">
        <f>SUM(O16:O21)</f>
        <v>0</v>
      </c>
      <c r="P22" s="522"/>
      <c r="Q22" s="527">
        <f>SUM(Q16:Q21)</f>
        <v>308697316.89999998</v>
      </c>
      <c r="R22" s="527">
        <f>SUM(R16:R21)</f>
        <v>0</v>
      </c>
      <c r="S22" s="527">
        <f>SUM(S16:S21)</f>
        <v>0</v>
      </c>
    </row>
    <row r="23" spans="1:19" ht="13.8" thickTop="1">
      <c r="A23" s="525">
        <f t="shared" si="0"/>
        <v>10</v>
      </c>
      <c r="B23" s="516"/>
      <c r="C23" s="528"/>
      <c r="D23" s="528"/>
      <c r="E23" s="528"/>
      <c r="F23" s="528"/>
      <c r="G23" s="528"/>
      <c r="H23" s="522"/>
      <c r="I23" s="528"/>
      <c r="J23" s="528"/>
      <c r="K23" s="528"/>
      <c r="L23" s="522"/>
      <c r="M23" s="528"/>
      <c r="N23" s="528"/>
      <c r="O23" s="528"/>
      <c r="P23" s="522"/>
      <c r="Q23" s="528"/>
      <c r="R23" s="528"/>
      <c r="S23" s="528"/>
    </row>
    <row r="24" spans="1:19">
      <c r="A24" s="525">
        <f t="shared" si="0"/>
        <v>11</v>
      </c>
      <c r="B24" s="516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</row>
    <row r="25" spans="1:19">
      <c r="A25" s="525">
        <f t="shared" si="0"/>
        <v>12</v>
      </c>
      <c r="B25" s="524" t="s">
        <v>489</v>
      </c>
      <c r="C25" s="522"/>
      <c r="D25" s="522"/>
      <c r="E25" s="522"/>
      <c r="F25" s="522"/>
      <c r="G25" s="522"/>
      <c r="H25" s="522"/>
      <c r="I25" s="522"/>
      <c r="J25" s="522"/>
      <c r="K25" s="522"/>
      <c r="L25" s="522"/>
      <c r="M25" s="522"/>
      <c r="N25" s="522"/>
      <c r="O25" s="522"/>
      <c r="P25" s="522"/>
      <c r="Q25" s="522"/>
      <c r="R25" s="522"/>
      <c r="S25" s="522"/>
    </row>
    <row r="26" spans="1:19">
      <c r="A26" s="525">
        <f t="shared" si="0"/>
        <v>13</v>
      </c>
      <c r="B26" s="516"/>
      <c r="C26" s="522"/>
      <c r="D26" s="522"/>
      <c r="E26" s="522"/>
      <c r="F26" s="522"/>
      <c r="G26" s="522"/>
      <c r="H26" s="522"/>
      <c r="I26" s="522"/>
      <c r="J26" s="522"/>
      <c r="K26" s="522"/>
      <c r="L26" s="522"/>
      <c r="M26" s="522"/>
      <c r="N26" s="522"/>
      <c r="O26" s="522"/>
      <c r="P26" s="522"/>
      <c r="Q26" s="522"/>
      <c r="R26" s="522"/>
      <c r="S26" s="522"/>
    </row>
    <row r="27" spans="1:19">
      <c r="A27" s="525">
        <f t="shared" si="0"/>
        <v>14</v>
      </c>
      <c r="B27" s="182" t="s">
        <v>1</v>
      </c>
      <c r="C27" s="522">
        <f t="shared" ref="C27:C60" si="3">SUM(M27:O27)</f>
        <v>1227912026.4500003</v>
      </c>
      <c r="D27" s="522">
        <f t="shared" ref="D27:D60" si="4">SUM(Q27:S27)</f>
        <v>1213926197.3699999</v>
      </c>
      <c r="E27" s="522"/>
      <c r="F27" s="522"/>
      <c r="G27" s="522">
        <f t="shared" ref="G27:G48" si="5">ROUND(SUM(C27:F27)/2,0)</f>
        <v>1220919112</v>
      </c>
      <c r="H27" s="522"/>
      <c r="I27" s="522">
        <f t="shared" ref="I27:K61" si="6">(M27+Q27)/2</f>
        <v>388948607.10000002</v>
      </c>
      <c r="J27" s="522">
        <f t="shared" si="6"/>
        <v>359129883.60500002</v>
      </c>
      <c r="K27" s="522">
        <f t="shared" si="6"/>
        <v>472840621.20500004</v>
      </c>
      <c r="L27" s="522"/>
      <c r="M27" s="529">
        <f>SUMIF([2]APCO_2821001!$A$37:$A$67,$B27,[2]APCO_2821001!$L$37:$L$67)*-1</f>
        <v>359079128.16000003</v>
      </c>
      <c r="N27" s="529">
        <f>SUMIF([2]APCO_2821001!$A$68:$A$99,$B27,[2]APCO_2821001!$L$68:$L$99)*-1</f>
        <v>381109421.38000005</v>
      </c>
      <c r="O27" s="529">
        <f>SUMIF([2]APCO_2821001!$A$3:$A$36,$B27,[2]APCO_2821001!$L$3:$L$36)*-1</f>
        <v>487723476.91000009</v>
      </c>
      <c r="P27" s="522"/>
      <c r="Q27" s="529">
        <v>418818086.03999996</v>
      </c>
      <c r="R27" s="529">
        <v>337150345.82999998</v>
      </c>
      <c r="S27" s="529">
        <v>457957765.50000006</v>
      </c>
    </row>
    <row r="28" spans="1:19">
      <c r="A28" s="525">
        <f t="shared" si="0"/>
        <v>15</v>
      </c>
      <c r="B28" s="524" t="s">
        <v>2</v>
      </c>
      <c r="C28" s="522">
        <f>SUM(M28:O28)</f>
        <v>0</v>
      </c>
      <c r="D28" s="522">
        <f>SUM(Q28:S28)</f>
        <v>0</v>
      </c>
      <c r="E28" s="522"/>
      <c r="F28" s="522"/>
      <c r="G28" s="522">
        <f t="shared" si="5"/>
        <v>0</v>
      </c>
      <c r="H28" s="522"/>
      <c r="I28" s="522">
        <f t="shared" si="6"/>
        <v>0</v>
      </c>
      <c r="J28" s="522">
        <f t="shared" si="6"/>
        <v>0</v>
      </c>
      <c r="K28" s="522">
        <f t="shared" si="6"/>
        <v>0</v>
      </c>
      <c r="L28" s="522"/>
      <c r="M28" s="529">
        <f>SUMIF([2]APCO_2821001!$A$37:$A$67,$B28,[2]APCO_2821001!$L$37:$L$67)*-1</f>
        <v>0</v>
      </c>
      <c r="N28" s="529">
        <f>SUMIF([2]APCO_2821001!$A$68:$A$99,$B28,[2]APCO_2821001!$L$68:$L$99)*-1</f>
        <v>0</v>
      </c>
      <c r="O28" s="529">
        <f>SUMIF([2]APCO_2821001!$A$3:$A$36,$B28,[2]APCO_2821001!$L$3:$L$36)*-1</f>
        <v>0</v>
      </c>
      <c r="P28" s="522"/>
      <c r="Q28" s="529">
        <v>0</v>
      </c>
      <c r="R28" s="529">
        <v>0</v>
      </c>
      <c r="S28" s="529">
        <v>0</v>
      </c>
    </row>
    <row r="29" spans="1:19">
      <c r="A29" s="525">
        <f t="shared" si="0"/>
        <v>16</v>
      </c>
      <c r="B29" s="182" t="s">
        <v>1023</v>
      </c>
      <c r="C29" s="522">
        <f t="shared" si="3"/>
        <v>1130454.47</v>
      </c>
      <c r="D29" s="522">
        <f t="shared" si="4"/>
        <v>1449902.97</v>
      </c>
      <c r="E29" s="522"/>
      <c r="F29" s="522"/>
      <c r="G29" s="522">
        <f t="shared" si="5"/>
        <v>1290179</v>
      </c>
      <c r="H29" s="522"/>
      <c r="I29" s="522">
        <f t="shared" si="6"/>
        <v>403771.52</v>
      </c>
      <c r="J29" s="522">
        <f t="shared" si="6"/>
        <v>544562.9</v>
      </c>
      <c r="K29" s="522">
        <f t="shared" si="6"/>
        <v>341844.3</v>
      </c>
      <c r="L29" s="522"/>
      <c r="M29" s="529">
        <f>SUMIF([2]APCO_2821001!$A$37:$A$67,$B29,[2]APCO_2821001!$L$37:$L$67)*-1</f>
        <v>353784.52</v>
      </c>
      <c r="N29" s="529">
        <f>SUMIF([2]APCO_2821001!$A$68:$A$99,$B29,[2]APCO_2821001!$L$68:$L$99)*-1</f>
        <v>477145.9</v>
      </c>
      <c r="O29" s="529">
        <f>SUMIF([2]APCO_2821001!$A$3:$A$36,$B29,[2]APCO_2821001!$L$3:$L$36)*-1</f>
        <v>299524.05</v>
      </c>
      <c r="P29" s="522"/>
      <c r="Q29" s="529">
        <v>453758.52</v>
      </c>
      <c r="R29" s="529">
        <v>611979.9</v>
      </c>
      <c r="S29" s="529">
        <v>384164.55</v>
      </c>
    </row>
    <row r="30" spans="1:19">
      <c r="A30" s="525">
        <f t="shared" si="0"/>
        <v>17</v>
      </c>
      <c r="B30" s="604" t="s">
        <v>1024</v>
      </c>
      <c r="C30" s="605">
        <f>SUM(M30:O30)</f>
        <v>219826.25</v>
      </c>
      <c r="D30" s="605">
        <f>SUM(Q30:S30)</f>
        <v>281079.40000000002</v>
      </c>
      <c r="E30" s="605"/>
      <c r="F30" s="605"/>
      <c r="G30" s="605">
        <f t="shared" si="5"/>
        <v>250453</v>
      </c>
      <c r="H30" s="605"/>
      <c r="I30" s="605">
        <f t="shared" si="6"/>
        <v>0</v>
      </c>
      <c r="J30" s="605">
        <f t="shared" si="6"/>
        <v>0</v>
      </c>
      <c r="K30" s="605">
        <f t="shared" si="6"/>
        <v>250452.82500000001</v>
      </c>
      <c r="L30" s="605"/>
      <c r="M30" s="605">
        <f>SUMIF([2]APCO_2821001!$A$37:$A$67,$B30,[2]APCO_2821001!$L$37:$L$67)*-1</f>
        <v>0</v>
      </c>
      <c r="N30" s="605">
        <f>SUMIF([2]APCO_2821001!$A$68:$A$99,$B30,[2]APCO_2821001!$L$68:$L$99)*-1</f>
        <v>0</v>
      </c>
      <c r="O30" s="605">
        <f>SUMIF([2]APCO_2821001!$A$3:$A$36,$B30,[2]APCO_2821001!$L$3:$L$36)*-1</f>
        <v>219826.25</v>
      </c>
      <c r="P30" s="522"/>
      <c r="Q30" s="529">
        <v>0</v>
      </c>
      <c r="R30" s="529">
        <v>0</v>
      </c>
      <c r="S30" s="529">
        <v>281079.40000000002</v>
      </c>
    </row>
    <row r="31" spans="1:19">
      <c r="A31" s="525">
        <f t="shared" si="0"/>
        <v>18</v>
      </c>
      <c r="B31" s="182" t="s">
        <v>1025</v>
      </c>
      <c r="C31" s="522">
        <f t="shared" si="3"/>
        <v>114472.11</v>
      </c>
      <c r="D31" s="522">
        <f t="shared" si="4"/>
        <v>166086.5</v>
      </c>
      <c r="E31" s="522"/>
      <c r="F31" s="522"/>
      <c r="G31" s="522">
        <f t="shared" si="5"/>
        <v>140279</v>
      </c>
      <c r="H31" s="522"/>
      <c r="I31" s="522">
        <f t="shared" si="6"/>
        <v>0</v>
      </c>
      <c r="J31" s="522">
        <f t="shared" si="6"/>
        <v>140279.30499999999</v>
      </c>
      <c r="K31" s="522">
        <f t="shared" si="6"/>
        <v>0</v>
      </c>
      <c r="L31" s="522"/>
      <c r="M31" s="529">
        <f>SUMIF([2]APCO_2821001!$A$37:$A$67,$B31,[2]APCO_2821001!$L$37:$L$67)*-1</f>
        <v>0</v>
      </c>
      <c r="N31" s="529">
        <f>SUMIF([2]APCO_2821001!$A$68:$A$99,$B31,[2]APCO_2821001!$L$68:$L$99)*-1</f>
        <v>114472.11</v>
      </c>
      <c r="O31" s="529">
        <f>SUMIF([2]APCO_2821001!$A$3:$A$36,$B31,[2]APCO_2821001!$L$3:$L$36)*-1</f>
        <v>0</v>
      </c>
      <c r="P31" s="522"/>
      <c r="Q31" s="529">
        <v>0</v>
      </c>
      <c r="R31" s="529">
        <v>166086.5</v>
      </c>
      <c r="S31" s="529">
        <v>0</v>
      </c>
    </row>
    <row r="32" spans="1:19">
      <c r="A32" s="525">
        <f t="shared" si="0"/>
        <v>19</v>
      </c>
      <c r="B32" s="182" t="s">
        <v>490</v>
      </c>
      <c r="C32" s="522">
        <f t="shared" ref="C32:C37" si="7">SUM(M32:O32)</f>
        <v>3574797.69</v>
      </c>
      <c r="D32" s="522">
        <f t="shared" ref="D32:D37" si="8">SUM(Q32:S32)</f>
        <v>3537811.44</v>
      </c>
      <c r="E32" s="522"/>
      <c r="F32" s="522"/>
      <c r="G32" s="522">
        <f t="shared" si="5"/>
        <v>3556305</v>
      </c>
      <c r="H32" s="522"/>
      <c r="I32" s="522">
        <f t="shared" si="6"/>
        <v>3165478.1150000002</v>
      </c>
      <c r="J32" s="522">
        <f t="shared" si="6"/>
        <v>54102.65</v>
      </c>
      <c r="K32" s="522">
        <f t="shared" si="6"/>
        <v>336723.8</v>
      </c>
      <c r="L32" s="522"/>
      <c r="M32" s="529">
        <f>SUMIF([2]APCO_2821001!$A$37:$A$67,$B32,[2]APCO_2821001!$L$37:$L$67)*-1</f>
        <v>3179522.74</v>
      </c>
      <c r="N32" s="529">
        <f>SUMIF([2]APCO_2821001!$A$68:$A$99,$B32,[2]APCO_2821001!$L$68:$L$99)*-1</f>
        <v>58551.15</v>
      </c>
      <c r="O32" s="529">
        <f>SUMIF([2]APCO_2821001!$A$3:$A$36,$B32,[2]APCO_2821001!$L$3:$L$36)*-1</f>
        <v>336723.8</v>
      </c>
      <c r="P32" s="522"/>
      <c r="Q32" s="529">
        <v>3151433.49</v>
      </c>
      <c r="R32" s="529">
        <v>49654.15</v>
      </c>
      <c r="S32" s="529">
        <v>336723.8</v>
      </c>
    </row>
    <row r="33" spans="1:19">
      <c r="A33" s="525">
        <f t="shared" si="0"/>
        <v>20</v>
      </c>
      <c r="B33" s="530" t="s">
        <v>1026</v>
      </c>
      <c r="C33" s="531">
        <f t="shared" si="7"/>
        <v>21477532.119999997</v>
      </c>
      <c r="D33" s="531">
        <f t="shared" si="8"/>
        <v>17402109.859999999</v>
      </c>
      <c r="E33" s="531"/>
      <c r="F33" s="531"/>
      <c r="G33" s="531">
        <f t="shared" si="5"/>
        <v>19439821</v>
      </c>
      <c r="H33" s="531"/>
      <c r="I33" s="531">
        <f t="shared" si="6"/>
        <v>19198222.295000002</v>
      </c>
      <c r="J33" s="531">
        <f t="shared" si="6"/>
        <v>-416.57</v>
      </c>
      <c r="K33" s="531">
        <f t="shared" si="6"/>
        <v>242015.26500000001</v>
      </c>
      <c r="L33" s="531"/>
      <c r="M33" s="531">
        <f>SUMIF([2]APCO_2821001!$A$37:$A$67,$B33,[2]APCO_2821001!$L$37:$L$67)*-1</f>
        <v>21238405.34</v>
      </c>
      <c r="N33" s="531">
        <f>SUMIF([2]APCO_2821001!$A$68:$A$99,$B33,[2]APCO_2821001!$L$68:$L$99)*-1</f>
        <v>-447.44</v>
      </c>
      <c r="O33" s="531">
        <f>SUMIF([2]APCO_2821001!$A$3:$A$36,$B33,[2]APCO_2821001!$L$3:$L$36)*-1</f>
        <v>239574.22</v>
      </c>
      <c r="P33" s="522"/>
      <c r="Q33" s="529">
        <v>17158039.25</v>
      </c>
      <c r="R33" s="529">
        <v>-385.7</v>
      </c>
      <c r="S33" s="529">
        <v>244456.31</v>
      </c>
    </row>
    <row r="34" spans="1:19">
      <c r="A34" s="525">
        <f t="shared" si="0"/>
        <v>21</v>
      </c>
      <c r="B34" s="530" t="s">
        <v>3</v>
      </c>
      <c r="C34" s="531">
        <f t="shared" si="7"/>
        <v>-2239124.9900000002</v>
      </c>
      <c r="D34" s="531">
        <f t="shared" si="8"/>
        <v>-2239124.9900000002</v>
      </c>
      <c r="E34" s="531"/>
      <c r="F34" s="531"/>
      <c r="G34" s="531">
        <f t="shared" si="5"/>
        <v>-2239125</v>
      </c>
      <c r="H34" s="531"/>
      <c r="I34" s="531">
        <f t="shared" si="6"/>
        <v>-2239124.9900000002</v>
      </c>
      <c r="J34" s="531">
        <f t="shared" si="6"/>
        <v>0</v>
      </c>
      <c r="K34" s="531">
        <f t="shared" si="6"/>
        <v>0</v>
      </c>
      <c r="L34" s="531"/>
      <c r="M34" s="531">
        <f>SUMIF([2]APCO_2821001!$A$37:$A$67,$B34,[2]APCO_2821001!$L$37:$L$67)*-1</f>
        <v>-2239124.9900000002</v>
      </c>
      <c r="N34" s="531">
        <f>SUMIF([2]APCO_2821001!$A$68:$A$99,$B34,[2]APCO_2821001!$L$68:$L$99)*-1</f>
        <v>0</v>
      </c>
      <c r="O34" s="531">
        <f>SUMIF([2]APCO_2821001!$A$3:$A$36,$B34,[2]APCO_2821001!$L$3:$L$36)*-1</f>
        <v>0</v>
      </c>
      <c r="P34" s="522"/>
      <c r="Q34" s="529">
        <v>-2239124.9900000002</v>
      </c>
      <c r="R34" s="529">
        <v>0</v>
      </c>
      <c r="S34" s="529">
        <v>0</v>
      </c>
    </row>
    <row r="35" spans="1:19">
      <c r="A35" s="525">
        <f t="shared" si="0"/>
        <v>22</v>
      </c>
      <c r="B35" s="182" t="s">
        <v>4</v>
      </c>
      <c r="C35" s="522">
        <f t="shared" si="7"/>
        <v>89751339.950000003</v>
      </c>
      <c r="D35" s="522">
        <f t="shared" si="8"/>
        <v>27524553.950000003</v>
      </c>
      <c r="E35" s="522"/>
      <c r="F35" s="522"/>
      <c r="G35" s="522">
        <f t="shared" si="5"/>
        <v>58637947</v>
      </c>
      <c r="H35" s="522"/>
      <c r="I35" s="522">
        <f t="shared" si="6"/>
        <v>58637946.950000003</v>
      </c>
      <c r="J35" s="522">
        <f t="shared" si="6"/>
        <v>0</v>
      </c>
      <c r="K35" s="522">
        <f t="shared" si="6"/>
        <v>0</v>
      </c>
      <c r="L35" s="522"/>
      <c r="M35" s="529">
        <f>SUMIF([2]APCO_2821001!$A$37:$A$67,$B35,[2]APCO_2821001!$L$37:$L$67)*-1</f>
        <v>89751339.950000003</v>
      </c>
      <c r="N35" s="529">
        <f>SUMIF([2]APCO_2821001!$A$68:$A$99,$B35,[2]APCO_2821001!$L$68:$L$99)*-1</f>
        <v>0</v>
      </c>
      <c r="O35" s="529">
        <f>SUMIF([2]APCO_2821001!$A$3:$A$36,$B35,[2]APCO_2821001!$L$3:$L$36)*-1</f>
        <v>0</v>
      </c>
      <c r="P35" s="522"/>
      <c r="Q35" s="529">
        <v>27524553.950000003</v>
      </c>
      <c r="R35" s="529">
        <v>0</v>
      </c>
      <c r="S35" s="529">
        <v>0</v>
      </c>
    </row>
    <row r="36" spans="1:19">
      <c r="A36" s="525">
        <f t="shared" si="0"/>
        <v>23</v>
      </c>
      <c r="B36" s="182" t="s">
        <v>453</v>
      </c>
      <c r="C36" s="522">
        <f t="shared" si="7"/>
        <v>110780045.75</v>
      </c>
      <c r="D36" s="522">
        <f t="shared" si="8"/>
        <v>104011810.90000001</v>
      </c>
      <c r="E36" s="522"/>
      <c r="F36" s="522"/>
      <c r="G36" s="522">
        <f t="shared" si="5"/>
        <v>107395928</v>
      </c>
      <c r="H36" s="522"/>
      <c r="I36" s="522">
        <f t="shared" si="6"/>
        <v>43700248.549999997</v>
      </c>
      <c r="J36" s="522">
        <f t="shared" si="6"/>
        <v>8520287.1000000015</v>
      </c>
      <c r="K36" s="522">
        <f t="shared" si="6"/>
        <v>55175392.674999997</v>
      </c>
      <c r="L36" s="522"/>
      <c r="M36" s="529">
        <f>SUMIF([2]APCO_2821001!$A$37:$A$67,$B36,[2]APCO_2821001!$L$37:$L$67)*-1</f>
        <v>46131415.600000001</v>
      </c>
      <c r="N36" s="529">
        <f>SUMIF([2]APCO_2821001!$A$68:$A$99,$B36,[2]APCO_2821001!$L$68:$L$99)*-1</f>
        <v>8580615.3000000007</v>
      </c>
      <c r="O36" s="529">
        <f>SUMIF([2]APCO_2821001!$A$3:$A$36,$B36,[2]APCO_2821001!$L$3:$L$36)*-1</f>
        <v>56068014.849999994</v>
      </c>
      <c r="P36" s="522"/>
      <c r="Q36" s="529">
        <v>41269081.5</v>
      </c>
      <c r="R36" s="529">
        <v>8459958.9000000004</v>
      </c>
      <c r="S36" s="529">
        <v>54282770.5</v>
      </c>
    </row>
    <row r="37" spans="1:19">
      <c r="A37" s="525">
        <f t="shared" si="0"/>
        <v>24</v>
      </c>
      <c r="B37" s="182" t="s">
        <v>1027</v>
      </c>
      <c r="C37" s="522">
        <f t="shared" si="7"/>
        <v>-19990462.390000001</v>
      </c>
      <c r="D37" s="522">
        <f t="shared" si="8"/>
        <v>-10516419.49</v>
      </c>
      <c r="E37" s="522"/>
      <c r="F37" s="522"/>
      <c r="G37" s="522">
        <f t="shared" si="5"/>
        <v>-15253441</v>
      </c>
      <c r="H37" s="522"/>
      <c r="I37" s="522">
        <f t="shared" si="6"/>
        <v>-15253440.940000001</v>
      </c>
      <c r="J37" s="522">
        <f t="shared" si="6"/>
        <v>0</v>
      </c>
      <c r="K37" s="522">
        <f t="shared" si="6"/>
        <v>0</v>
      </c>
      <c r="L37" s="522"/>
      <c r="M37" s="529">
        <f>SUMIF([2]APCO_2821001!$A$37:$A$67,$B37,[2]APCO_2821001!$L$37:$L$67)*-1</f>
        <v>-19990462.390000001</v>
      </c>
      <c r="N37" s="529">
        <f>SUMIF([2]APCO_2821001!$A$68:$A$99,$B37,[2]APCO_2821001!$L$68:$L$99)*-1</f>
        <v>0</v>
      </c>
      <c r="O37" s="529">
        <f>SUMIF([2]APCO_2821001!$A$3:$A$36,$B37,[2]APCO_2821001!$L$3:$L$36)*-1</f>
        <v>0</v>
      </c>
      <c r="P37" s="522"/>
      <c r="Q37" s="529">
        <v>-10516419.49</v>
      </c>
      <c r="R37" s="529">
        <v>0</v>
      </c>
      <c r="S37" s="529">
        <v>0</v>
      </c>
    </row>
    <row r="38" spans="1:19">
      <c r="A38" s="525">
        <f t="shared" si="0"/>
        <v>25</v>
      </c>
      <c r="B38" s="182" t="s">
        <v>454</v>
      </c>
      <c r="C38" s="522">
        <f t="shared" si="3"/>
        <v>1259792.42</v>
      </c>
      <c r="D38" s="522">
        <f t="shared" si="4"/>
        <v>1288316.45</v>
      </c>
      <c r="E38" s="522"/>
      <c r="F38" s="522"/>
      <c r="G38" s="522">
        <f t="shared" si="5"/>
        <v>1274054</v>
      </c>
      <c r="H38" s="522"/>
      <c r="I38" s="522">
        <f t="shared" si="6"/>
        <v>1272648.4350000001</v>
      </c>
      <c r="J38" s="522">
        <f t="shared" si="6"/>
        <v>524</v>
      </c>
      <c r="K38" s="522">
        <f t="shared" si="6"/>
        <v>882</v>
      </c>
      <c r="L38" s="522"/>
      <c r="M38" s="529">
        <f>SUMIF([2]APCO_2821001!$A$37:$A$67,$B38,[2]APCO_2821001!$L$37:$L$67)*-1</f>
        <v>1259020.42</v>
      </c>
      <c r="N38" s="529">
        <f>SUMIF([2]APCO_2821001!$A$68:$A$99,$B38,[2]APCO_2821001!$L$68:$L$99)*-1</f>
        <v>287</v>
      </c>
      <c r="O38" s="529">
        <f>SUMIF([2]APCO_2821001!$A$3:$A$36,$B38,[2]APCO_2821001!$L$3:$L$36)*-1</f>
        <v>485</v>
      </c>
      <c r="P38" s="522"/>
      <c r="Q38" s="529">
        <v>1286276.45</v>
      </c>
      <c r="R38" s="529">
        <v>761</v>
      </c>
      <c r="S38" s="529">
        <v>1279</v>
      </c>
    </row>
    <row r="39" spans="1:19">
      <c r="A39" s="525">
        <f t="shared" si="0"/>
        <v>26</v>
      </c>
      <c r="B39" s="182" t="s">
        <v>5</v>
      </c>
      <c r="C39" s="522">
        <f t="shared" si="3"/>
        <v>1420547.7000000002</v>
      </c>
      <c r="D39" s="522">
        <f t="shared" si="4"/>
        <v>1202361.83</v>
      </c>
      <c r="E39" s="522"/>
      <c r="F39" s="522"/>
      <c r="G39" s="522">
        <f t="shared" si="5"/>
        <v>1311455</v>
      </c>
      <c r="H39" s="522"/>
      <c r="I39" s="522">
        <f t="shared" si="6"/>
        <v>0</v>
      </c>
      <c r="J39" s="522">
        <f t="shared" si="6"/>
        <v>1311454.7650000001</v>
      </c>
      <c r="K39" s="522">
        <f t="shared" si="6"/>
        <v>0</v>
      </c>
      <c r="L39" s="522"/>
      <c r="M39" s="529">
        <f>SUMIF([2]APCO_2821001!$A$37:$A$67,$B39,[2]APCO_2821001!$L$37:$L$67)*-1</f>
        <v>0</v>
      </c>
      <c r="N39" s="529">
        <f>SUMIF([2]APCO_2821001!$A$68:$A$99,$B39,[2]APCO_2821001!$L$68:$L$99)*-1</f>
        <v>1420547.7000000002</v>
      </c>
      <c r="O39" s="529">
        <f>SUMIF([2]APCO_2821001!$A$3:$A$36,$B39,[2]APCO_2821001!$L$3:$L$36)*-1</f>
        <v>0</v>
      </c>
      <c r="P39" s="522"/>
      <c r="Q39" s="529">
        <v>0</v>
      </c>
      <c r="R39" s="529">
        <v>1202361.83</v>
      </c>
      <c r="S39" s="529">
        <v>0</v>
      </c>
    </row>
    <row r="40" spans="1:19">
      <c r="A40" s="525">
        <f t="shared" si="0"/>
        <v>27</v>
      </c>
      <c r="B40" s="182" t="s">
        <v>6</v>
      </c>
      <c r="C40" s="522">
        <f t="shared" si="3"/>
        <v>17432</v>
      </c>
      <c r="D40" s="522">
        <f t="shared" si="4"/>
        <v>19553</v>
      </c>
      <c r="E40" s="522"/>
      <c r="F40" s="522"/>
      <c r="G40" s="522">
        <f t="shared" si="5"/>
        <v>18493</v>
      </c>
      <c r="H40" s="522"/>
      <c r="I40" s="522">
        <f t="shared" si="6"/>
        <v>0</v>
      </c>
      <c r="J40" s="522">
        <f t="shared" si="6"/>
        <v>6682</v>
      </c>
      <c r="K40" s="522">
        <f t="shared" si="6"/>
        <v>11810.5</v>
      </c>
      <c r="L40" s="522"/>
      <c r="M40" s="529">
        <f>SUMIF([2]APCO_2821001!$A$37:$A$67,$B40,[2]APCO_2821001!$L$37:$L$67)*-1</f>
        <v>0</v>
      </c>
      <c r="N40" s="529">
        <f>SUMIF([2]APCO_2821001!$A$68:$A$99,$B40,[2]APCO_2821001!$L$68:$L$99)*-1</f>
        <v>6292</v>
      </c>
      <c r="O40" s="529">
        <f>SUMIF([2]APCO_2821001!$A$3:$A$36,$B40,[2]APCO_2821001!$L$3:$L$36)*-1</f>
        <v>11140</v>
      </c>
      <c r="P40" s="522"/>
      <c r="Q40" s="529">
        <v>0</v>
      </c>
      <c r="R40" s="529">
        <v>7072</v>
      </c>
      <c r="S40" s="529">
        <v>12481</v>
      </c>
    </row>
    <row r="41" spans="1:19">
      <c r="A41" s="525">
        <f t="shared" si="0"/>
        <v>28</v>
      </c>
      <c r="B41" s="182" t="s">
        <v>7</v>
      </c>
      <c r="C41" s="522">
        <f t="shared" si="3"/>
        <v>3635.6099999999997</v>
      </c>
      <c r="D41" s="522">
        <f t="shared" si="4"/>
        <v>3237.5600000000004</v>
      </c>
      <c r="E41" s="522"/>
      <c r="F41" s="522"/>
      <c r="G41" s="522">
        <f t="shared" si="5"/>
        <v>3437</v>
      </c>
      <c r="H41" s="522"/>
      <c r="I41" s="522">
        <f t="shared" si="6"/>
        <v>0</v>
      </c>
      <c r="J41" s="522">
        <f t="shared" si="6"/>
        <v>0</v>
      </c>
      <c r="K41" s="522">
        <f t="shared" si="6"/>
        <v>3436.585</v>
      </c>
      <c r="L41" s="522"/>
      <c r="M41" s="529">
        <f>SUMIF([2]APCO_2821001!$A$37:$A$67,$B41,[2]APCO_2821001!$L$37:$L$67)*-1</f>
        <v>0</v>
      </c>
      <c r="N41" s="529">
        <f>SUMIF([2]APCO_2821001!$A$68:$A$99,$B41,[2]APCO_2821001!$L$68:$L$99)*-1</f>
        <v>0</v>
      </c>
      <c r="O41" s="529">
        <f>SUMIF([2]APCO_2821001!$A$3:$A$36,$B41,[2]APCO_2821001!$L$3:$L$36)*-1</f>
        <v>3635.6099999999997</v>
      </c>
      <c r="P41" s="522"/>
      <c r="Q41" s="529">
        <v>0</v>
      </c>
      <c r="R41" s="529">
        <v>0</v>
      </c>
      <c r="S41" s="529">
        <v>3237.5600000000004</v>
      </c>
    </row>
    <row r="42" spans="1:19">
      <c r="A42" s="525">
        <f t="shared" si="0"/>
        <v>29</v>
      </c>
      <c r="B42" s="604" t="s">
        <v>1028</v>
      </c>
      <c r="C42" s="605">
        <f t="shared" si="3"/>
        <v>3056</v>
      </c>
      <c r="D42" s="605">
        <f t="shared" si="4"/>
        <v>12104</v>
      </c>
      <c r="E42" s="605"/>
      <c r="F42" s="605"/>
      <c r="G42" s="605">
        <f t="shared" si="5"/>
        <v>7580</v>
      </c>
      <c r="H42" s="605"/>
      <c r="I42" s="605">
        <f t="shared" si="6"/>
        <v>0</v>
      </c>
      <c r="J42" s="605">
        <f t="shared" si="6"/>
        <v>2831.5</v>
      </c>
      <c r="K42" s="605">
        <f t="shared" si="6"/>
        <v>4748.5</v>
      </c>
      <c r="L42" s="605"/>
      <c r="M42" s="605">
        <f>SUMIF([2]APCO_2821001!$A$37:$A$67,$B42,[2]APCO_2821001!$L$37:$L$67)*-1</f>
        <v>0</v>
      </c>
      <c r="N42" s="605">
        <f>SUMIF([2]APCO_2821001!$A$68:$A$99,$B42,[2]APCO_2821001!$L$68:$L$99)*-1</f>
        <v>1141</v>
      </c>
      <c r="O42" s="605">
        <f>SUMIF([2]APCO_2821001!$A$3:$A$36,$B42,[2]APCO_2821001!$L$3:$L$36)*-1</f>
        <v>1915</v>
      </c>
      <c r="P42" s="522"/>
      <c r="Q42" s="529">
        <v>0</v>
      </c>
      <c r="R42" s="529">
        <v>4522</v>
      </c>
      <c r="S42" s="529">
        <v>7582</v>
      </c>
    </row>
    <row r="43" spans="1:19">
      <c r="A43" s="525">
        <f t="shared" si="0"/>
        <v>30</v>
      </c>
      <c r="B43" s="604" t="s">
        <v>1029</v>
      </c>
      <c r="C43" s="605">
        <f t="shared" si="3"/>
        <v>-231</v>
      </c>
      <c r="D43" s="605">
        <f t="shared" si="4"/>
        <v>-196</v>
      </c>
      <c r="E43" s="605"/>
      <c r="F43" s="605"/>
      <c r="G43" s="605">
        <f t="shared" si="5"/>
        <v>-214</v>
      </c>
      <c r="H43" s="605"/>
      <c r="I43" s="605">
        <f t="shared" si="6"/>
        <v>0</v>
      </c>
      <c r="J43" s="605">
        <f t="shared" si="6"/>
        <v>-79.5</v>
      </c>
      <c r="K43" s="605">
        <f t="shared" si="6"/>
        <v>-134</v>
      </c>
      <c r="L43" s="605"/>
      <c r="M43" s="605">
        <f>SUMIF([2]APCO_2821001!$A$37:$A$67,$B43,[2]APCO_2821001!$L$37:$L$67)*-1</f>
        <v>0</v>
      </c>
      <c r="N43" s="605">
        <f>SUMIF([2]APCO_2821001!$A$68:$A$99,$B43,[2]APCO_2821001!$L$68:$L$99)*-1</f>
        <v>-86</v>
      </c>
      <c r="O43" s="605">
        <f>SUMIF([2]APCO_2821001!$A$3:$A$36,$B43,[2]APCO_2821001!$L$3:$L$36)*-1</f>
        <v>-145</v>
      </c>
      <c r="P43" s="522"/>
      <c r="Q43" s="529">
        <v>0</v>
      </c>
      <c r="R43" s="529">
        <v>-73</v>
      </c>
      <c r="S43" s="529">
        <v>-123</v>
      </c>
    </row>
    <row r="44" spans="1:19">
      <c r="A44" s="525">
        <f t="shared" si="0"/>
        <v>31</v>
      </c>
      <c r="B44" s="604" t="s">
        <v>491</v>
      </c>
      <c r="C44" s="605">
        <f t="shared" si="3"/>
        <v>-70199.350000000006</v>
      </c>
      <c r="D44" s="605">
        <f t="shared" si="4"/>
        <v>-70199.350000000006</v>
      </c>
      <c r="E44" s="605"/>
      <c r="F44" s="605"/>
      <c r="G44" s="605">
        <f t="shared" si="5"/>
        <v>-70199</v>
      </c>
      <c r="H44" s="605"/>
      <c r="I44" s="605">
        <f t="shared" si="6"/>
        <v>-65939.45</v>
      </c>
      <c r="J44" s="605">
        <f t="shared" si="6"/>
        <v>-2021.55</v>
      </c>
      <c r="K44" s="605">
        <f t="shared" si="6"/>
        <v>-2238.35</v>
      </c>
      <c r="L44" s="605"/>
      <c r="M44" s="605">
        <f>SUMIF([2]APCO_2821001!$A$37:$A$67,$B44,[2]APCO_2821001!$L$37:$L$67)*-1</f>
        <v>-65939.45</v>
      </c>
      <c r="N44" s="605">
        <f>SUMIF([2]APCO_2821001!$A$68:$A$99,$B44,[2]APCO_2821001!$L$68:$L$99)*-1</f>
        <v>-2021.55</v>
      </c>
      <c r="O44" s="605">
        <f>SUMIF([2]APCO_2821001!$A$3:$A$36,$B44,[2]APCO_2821001!$L$3:$L$36)*-1</f>
        <v>-2238.35</v>
      </c>
      <c r="P44" s="522"/>
      <c r="Q44" s="529">
        <v>-65939.45</v>
      </c>
      <c r="R44" s="529">
        <v>-2021.55</v>
      </c>
      <c r="S44" s="529">
        <v>-2238.35</v>
      </c>
    </row>
    <row r="45" spans="1:19">
      <c r="A45" s="525">
        <f t="shared" si="0"/>
        <v>32</v>
      </c>
      <c r="B45" s="604" t="s">
        <v>1030</v>
      </c>
      <c r="C45" s="605">
        <f t="shared" si="3"/>
        <v>837</v>
      </c>
      <c r="D45" s="605">
        <f t="shared" si="4"/>
        <v>3294</v>
      </c>
      <c r="E45" s="605"/>
      <c r="F45" s="605"/>
      <c r="G45" s="605">
        <f t="shared" si="5"/>
        <v>2066</v>
      </c>
      <c r="H45" s="605"/>
      <c r="I45" s="605">
        <f t="shared" si="6"/>
        <v>0</v>
      </c>
      <c r="J45" s="605">
        <f t="shared" si="6"/>
        <v>772.5</v>
      </c>
      <c r="K45" s="605">
        <f t="shared" si="6"/>
        <v>1293</v>
      </c>
      <c r="L45" s="605"/>
      <c r="M45" s="605">
        <f>SUMIF([2]APCO_2821001!$A$37:$A$67,$B45,[2]APCO_2821001!$L$37:$L$67)*-1</f>
        <v>0</v>
      </c>
      <c r="N45" s="605">
        <f>SUMIF([2]APCO_2821001!$A$68:$A$99,$B45,[2]APCO_2821001!$L$68:$L$99)*-1</f>
        <v>313</v>
      </c>
      <c r="O45" s="605">
        <f>SUMIF([2]APCO_2821001!$A$3:$A$36,$B45,[2]APCO_2821001!$L$3:$L$36)*-1</f>
        <v>524</v>
      </c>
      <c r="P45" s="522"/>
      <c r="Q45" s="529">
        <v>0</v>
      </c>
      <c r="R45" s="529">
        <v>1232</v>
      </c>
      <c r="S45" s="529">
        <v>2062</v>
      </c>
    </row>
    <row r="46" spans="1:19">
      <c r="A46" s="525">
        <f t="shared" si="0"/>
        <v>33</v>
      </c>
      <c r="B46" s="182" t="s">
        <v>455</v>
      </c>
      <c r="C46" s="522">
        <f t="shared" si="3"/>
        <v>19023200.02</v>
      </c>
      <c r="D46" s="522">
        <f t="shared" si="4"/>
        <v>20248086.02</v>
      </c>
      <c r="E46" s="522"/>
      <c r="F46" s="522"/>
      <c r="G46" s="522">
        <f t="shared" si="5"/>
        <v>19635643</v>
      </c>
      <c r="H46" s="522"/>
      <c r="I46" s="522">
        <f t="shared" si="6"/>
        <v>13098195.309999999</v>
      </c>
      <c r="J46" s="522">
        <f t="shared" si="6"/>
        <v>2189988.91</v>
      </c>
      <c r="K46" s="522">
        <f t="shared" si="6"/>
        <v>4347458.8000000007</v>
      </c>
      <c r="L46" s="522"/>
      <c r="M46" s="529">
        <f>SUMIF([2]APCO_2821001!$A$37:$A$67,$B46,[2]APCO_2821001!$L$37:$L$67)*-1</f>
        <v>12768509.309999999</v>
      </c>
      <c r="N46" s="529">
        <f>SUMIF([2]APCO_2821001!$A$68:$A$99,$B46,[2]APCO_2821001!$L$68:$L$99)*-1</f>
        <v>2093994.9100000001</v>
      </c>
      <c r="O46" s="529">
        <f>SUMIF([2]APCO_2821001!$A$3:$A$36,$B46,[2]APCO_2821001!$L$3:$L$36)*-1</f>
        <v>4160695.8000000007</v>
      </c>
      <c r="P46" s="522"/>
      <c r="Q46" s="529">
        <v>13427881.309999999</v>
      </c>
      <c r="R46" s="529">
        <v>2285982.91</v>
      </c>
      <c r="S46" s="529">
        <v>4534221.8000000007</v>
      </c>
    </row>
    <row r="47" spans="1:19">
      <c r="A47" s="525">
        <f t="shared" si="0"/>
        <v>34</v>
      </c>
      <c r="B47" s="182" t="s">
        <v>492</v>
      </c>
      <c r="C47" s="522">
        <f>SUM(M47:O47)</f>
        <v>125459970.90000001</v>
      </c>
      <c r="D47" s="522">
        <f>SUM(Q47:S47)</f>
        <v>104703396.34999999</v>
      </c>
      <c r="E47" s="522"/>
      <c r="F47" s="522"/>
      <c r="G47" s="522">
        <f t="shared" si="5"/>
        <v>115081684</v>
      </c>
      <c r="H47" s="522"/>
      <c r="I47" s="522">
        <f t="shared" si="6"/>
        <v>115081683.625</v>
      </c>
      <c r="J47" s="522">
        <f t="shared" si="6"/>
        <v>0</v>
      </c>
      <c r="K47" s="522">
        <f t="shared" si="6"/>
        <v>0</v>
      </c>
      <c r="L47" s="522"/>
      <c r="M47" s="529">
        <f>SUMIF([2]APCO_2821001!$A$37:$A$67,$B47,[2]APCO_2821001!$L$37:$L$67)*-1</f>
        <v>125459970.90000001</v>
      </c>
      <c r="N47" s="529">
        <f>SUMIF([2]APCO_2821001!$A$68:$A$99,$B47,[2]APCO_2821001!$L$68:$L$99)*-1</f>
        <v>0</v>
      </c>
      <c r="O47" s="529">
        <f>SUMIF([2]APCO_2821001!$A$3:$A$36,$B47,[2]APCO_2821001!$L$3:$L$36)*-1</f>
        <v>0</v>
      </c>
      <c r="P47" s="522"/>
      <c r="Q47" s="529">
        <v>104703396.34999999</v>
      </c>
      <c r="R47" s="529">
        <v>0</v>
      </c>
      <c r="S47" s="529">
        <v>0</v>
      </c>
    </row>
    <row r="48" spans="1:19">
      <c r="A48" s="525">
        <f t="shared" si="0"/>
        <v>35</v>
      </c>
      <c r="B48" s="182" t="s">
        <v>493</v>
      </c>
      <c r="C48" s="522">
        <f>SUM(M48:O48)</f>
        <v>60044175.350000001</v>
      </c>
      <c r="D48" s="522">
        <f>SUM(Q48:S48)</f>
        <v>85008571.900000006</v>
      </c>
      <c r="E48" s="522"/>
      <c r="F48" s="522"/>
      <c r="G48" s="522">
        <f t="shared" si="5"/>
        <v>72526374</v>
      </c>
      <c r="H48" s="522"/>
      <c r="I48" s="522">
        <f t="shared" si="6"/>
        <v>72526373.625</v>
      </c>
      <c r="J48" s="522">
        <f t="shared" si="6"/>
        <v>0</v>
      </c>
      <c r="K48" s="522">
        <f t="shared" si="6"/>
        <v>0</v>
      </c>
      <c r="L48" s="522"/>
      <c r="M48" s="529">
        <f>SUMIF([2]APCO_2821001!$A$37:$A$67,$B48,[2]APCO_2821001!$L$37:$L$67)*-1</f>
        <v>60044175.350000001</v>
      </c>
      <c r="N48" s="529">
        <f>SUMIF([2]APCO_2821001!$A$68:$A$99,$B48,[2]APCO_2821001!$L$68:$L$99)*-1</f>
        <v>0</v>
      </c>
      <c r="O48" s="529">
        <f>SUMIF([2]APCO_2821001!$A$3:$A$36,$B48,[2]APCO_2821001!$L$3:$L$36)*-1</f>
        <v>0</v>
      </c>
      <c r="P48" s="522"/>
      <c r="Q48" s="529">
        <v>85008571.900000006</v>
      </c>
      <c r="R48" s="529">
        <v>0</v>
      </c>
      <c r="S48" s="529">
        <v>0</v>
      </c>
    </row>
    <row r="49" spans="1:19">
      <c r="A49" s="525">
        <f t="shared" si="0"/>
        <v>36</v>
      </c>
      <c r="B49" s="182" t="s">
        <v>456</v>
      </c>
      <c r="C49" s="522">
        <f>SUM(M49:O49)</f>
        <v>3932074.0500000003</v>
      </c>
      <c r="D49" s="522">
        <f>SUM(Q49:S49)</f>
        <v>3722963.55</v>
      </c>
      <c r="E49" s="522"/>
      <c r="F49" s="522"/>
      <c r="G49" s="522">
        <f>ROUND(SUM(C49:F49)/2,0)</f>
        <v>3827519</v>
      </c>
      <c r="H49" s="522"/>
      <c r="I49" s="522">
        <f t="shared" si="6"/>
        <v>0</v>
      </c>
      <c r="J49" s="522">
        <f t="shared" si="6"/>
        <v>390305.57499999995</v>
      </c>
      <c r="K49" s="522">
        <f t="shared" si="6"/>
        <v>3437213.2250000001</v>
      </c>
      <c r="L49" s="522"/>
      <c r="M49" s="529">
        <f>SUMIF([2]APCO_2821001!$A$37:$A$67,$B49,[2]APCO_2821001!$L$37:$L$67)*-1</f>
        <v>0</v>
      </c>
      <c r="N49" s="529">
        <f>SUMIF([2]APCO_2821001!$A$68:$A$99,$B49,[2]APCO_2821001!$L$68:$L$99)*-1</f>
        <v>417455.1</v>
      </c>
      <c r="O49" s="529">
        <f>SUMIF([2]APCO_2821001!$A$3:$A$36,$B49,[2]APCO_2821001!$L$3:$L$36)*-1</f>
        <v>3514618.95</v>
      </c>
      <c r="P49" s="522"/>
      <c r="Q49" s="529">
        <v>0</v>
      </c>
      <c r="R49" s="529">
        <v>363156.05</v>
      </c>
      <c r="S49" s="529">
        <v>3359807.5</v>
      </c>
    </row>
    <row r="50" spans="1:19">
      <c r="A50" s="525">
        <f t="shared" si="0"/>
        <v>37</v>
      </c>
      <c r="B50" s="182" t="s">
        <v>8</v>
      </c>
      <c r="C50" s="522">
        <f>SUM(M50:O50)</f>
        <v>44734.21</v>
      </c>
      <c r="D50" s="522">
        <f>SUM(Q50:S50)</f>
        <v>53255</v>
      </c>
      <c r="E50" s="522"/>
      <c r="F50" s="522"/>
      <c r="G50" s="522">
        <f>ROUND(SUM(C50:F50)/2,0)</f>
        <v>48995</v>
      </c>
      <c r="H50" s="522"/>
      <c r="I50" s="522">
        <f t="shared" si="6"/>
        <v>0</v>
      </c>
      <c r="J50" s="522">
        <f t="shared" si="6"/>
        <v>0</v>
      </c>
      <c r="K50" s="522">
        <f t="shared" si="6"/>
        <v>48994.604999999996</v>
      </c>
      <c r="L50" s="522"/>
      <c r="M50" s="529">
        <f>SUMIF([2]APCO_2821001!$A$37:$A$67,$B50,[2]APCO_2821001!$L$37:$L$67)*-1</f>
        <v>0</v>
      </c>
      <c r="N50" s="529">
        <f>SUMIF([2]APCO_2821001!$A$68:$A$99,$B50,[2]APCO_2821001!$L$68:$L$99)*-1</f>
        <v>0</v>
      </c>
      <c r="O50" s="529">
        <f>SUMIF([2]APCO_2821001!$A$3:$A$36,$B50,[2]APCO_2821001!$L$3:$L$36)*-1</f>
        <v>44734.21</v>
      </c>
      <c r="P50" s="522"/>
      <c r="Q50" s="529">
        <v>0</v>
      </c>
      <c r="R50" s="529">
        <v>0</v>
      </c>
      <c r="S50" s="529">
        <v>53255</v>
      </c>
    </row>
    <row r="51" spans="1:19">
      <c r="A51" s="525">
        <f t="shared" si="0"/>
        <v>38</v>
      </c>
      <c r="B51" s="606" t="s">
        <v>9</v>
      </c>
      <c r="C51" s="607">
        <f>SUM(M51:O51)</f>
        <v>0</v>
      </c>
      <c r="D51" s="607">
        <f>SUM(Q51:S51)</f>
        <v>0</v>
      </c>
      <c r="E51" s="607"/>
      <c r="F51" s="607"/>
      <c r="G51" s="607">
        <f>ROUND(SUM(C51:F51)/2,0)</f>
        <v>0</v>
      </c>
      <c r="H51" s="607"/>
      <c r="I51" s="607">
        <f t="shared" si="6"/>
        <v>0</v>
      </c>
      <c r="J51" s="607">
        <f t="shared" si="6"/>
        <v>0</v>
      </c>
      <c r="K51" s="607">
        <f t="shared" si="6"/>
        <v>0</v>
      </c>
      <c r="L51" s="607"/>
      <c r="M51" s="607">
        <f>SUMIF([2]APCO_2821001!$A$37:$A$67,$B51,[2]APCO_2821001!$L$37:$L$67)*-1</f>
        <v>0</v>
      </c>
      <c r="N51" s="607">
        <f>SUMIF([2]APCO_2821001!$A$68:$A$99,$B51,[2]APCO_2821001!$L$68:$L$99)*-1</f>
        <v>0</v>
      </c>
      <c r="O51" s="607">
        <f>SUMIF([2]APCO_2821001!$A$3:$A$36,$B51,[2]APCO_2821001!$L$3:$L$36)*-1</f>
        <v>0</v>
      </c>
      <c r="P51" s="522"/>
      <c r="Q51" s="529">
        <v>0</v>
      </c>
      <c r="R51" s="529">
        <v>0</v>
      </c>
      <c r="S51" s="529">
        <v>0</v>
      </c>
    </row>
    <row r="52" spans="1:19">
      <c r="A52" s="525">
        <f t="shared" si="0"/>
        <v>39</v>
      </c>
      <c r="B52" s="182" t="s">
        <v>969</v>
      </c>
      <c r="C52" s="522">
        <f t="shared" si="3"/>
        <v>-13749132.6</v>
      </c>
      <c r="D52" s="522">
        <f t="shared" si="4"/>
        <v>-13749132.6</v>
      </c>
      <c r="E52" s="522"/>
      <c r="F52" s="522"/>
      <c r="G52" s="522">
        <f t="shared" ref="G52:G64" si="9">ROUND(SUM(C52:F52)/2,0)</f>
        <v>-13749133</v>
      </c>
      <c r="H52" s="522"/>
      <c r="I52" s="522">
        <f t="shared" si="6"/>
        <v>-13749132.6</v>
      </c>
      <c r="J52" s="522">
        <f t="shared" si="6"/>
        <v>0</v>
      </c>
      <c r="K52" s="522">
        <f t="shared" si="6"/>
        <v>0</v>
      </c>
      <c r="L52" s="522"/>
      <c r="M52" s="529">
        <f>SUMIF([2]APCO_2821001!$A$37:$A$67,$B52,[2]APCO_2821001!$L$37:$L$67)*-1</f>
        <v>-13749132.6</v>
      </c>
      <c r="N52" s="529">
        <f>SUMIF([2]APCO_2821001!$A$68:$A$99,$B52,[2]APCO_2821001!$L$68:$L$99)*-1</f>
        <v>0</v>
      </c>
      <c r="O52" s="529">
        <f>SUMIF([2]APCO_2821001!$A$3:$A$36,$B52,[2]APCO_2821001!$L$3:$L$36)*-1</f>
        <v>0</v>
      </c>
      <c r="P52" s="522"/>
      <c r="Q52" s="529">
        <v>-13749132.6</v>
      </c>
      <c r="R52" s="529">
        <v>0</v>
      </c>
      <c r="S52" s="529">
        <v>0</v>
      </c>
    </row>
    <row r="53" spans="1:19">
      <c r="A53" s="525">
        <f t="shared" si="0"/>
        <v>40</v>
      </c>
      <c r="B53" s="182" t="s">
        <v>10</v>
      </c>
      <c r="C53" s="522">
        <f t="shared" si="3"/>
        <v>0</v>
      </c>
      <c r="D53" s="522">
        <f t="shared" si="4"/>
        <v>0</v>
      </c>
      <c r="E53" s="522"/>
      <c r="F53" s="522"/>
      <c r="G53" s="522">
        <f t="shared" si="9"/>
        <v>0</v>
      </c>
      <c r="H53" s="522"/>
      <c r="I53" s="522">
        <f t="shared" si="6"/>
        <v>0</v>
      </c>
      <c r="J53" s="522">
        <f t="shared" si="6"/>
        <v>0</v>
      </c>
      <c r="K53" s="522">
        <f t="shared" si="6"/>
        <v>0</v>
      </c>
      <c r="L53" s="522"/>
      <c r="M53" s="529">
        <f>SUMIF([2]APCO_2821001!$A$37:$A$67,$B53,[2]APCO_2821001!$L$37:$L$67)*-1</f>
        <v>0</v>
      </c>
      <c r="N53" s="529">
        <f>SUMIF([2]APCO_2821001!$A$68:$A$99,$B53,[2]APCO_2821001!$L$68:$L$99)*-1</f>
        <v>0</v>
      </c>
      <c r="O53" s="529">
        <f>SUMIF([2]APCO_2821001!$A$3:$A$36,$B53,[2]APCO_2821001!$L$3:$L$36)*-1</f>
        <v>0</v>
      </c>
      <c r="P53" s="522"/>
      <c r="Q53" s="529">
        <v>0</v>
      </c>
      <c r="R53" s="529">
        <v>0</v>
      </c>
      <c r="S53" s="529">
        <v>0</v>
      </c>
    </row>
    <row r="54" spans="1:19">
      <c r="A54" s="525">
        <f t="shared" si="0"/>
        <v>41</v>
      </c>
      <c r="B54" s="182" t="s">
        <v>494</v>
      </c>
      <c r="C54" s="522">
        <f>SUM(M54:O54)</f>
        <v>0</v>
      </c>
      <c r="D54" s="522">
        <f>SUM(Q54:S54)</f>
        <v>0</v>
      </c>
      <c r="E54" s="522"/>
      <c r="F54" s="522"/>
      <c r="G54" s="522">
        <f>ROUND(SUM(C54:F54)/2,0)</f>
        <v>0</v>
      </c>
      <c r="H54" s="522"/>
      <c r="I54" s="522">
        <f t="shared" si="6"/>
        <v>0</v>
      </c>
      <c r="J54" s="522">
        <f t="shared" si="6"/>
        <v>0</v>
      </c>
      <c r="K54" s="522">
        <f t="shared" si="6"/>
        <v>0</v>
      </c>
      <c r="L54" s="522"/>
      <c r="M54" s="529">
        <f>SUMIF([2]APCO_2821001!$A$37:$A$67,$B54,[2]APCO_2821001!$L$37:$L$67)*-1</f>
        <v>0</v>
      </c>
      <c r="N54" s="529">
        <f>SUMIF([2]APCO_2821001!$A$68:$A$99,$B54,[2]APCO_2821001!$L$68:$L$99)*-1</f>
        <v>0</v>
      </c>
      <c r="O54" s="529">
        <f>SUMIF([2]APCO_2821001!$A$3:$A$36,$B54,[2]APCO_2821001!$L$3:$L$36)*-1</f>
        <v>0</v>
      </c>
      <c r="P54" s="522"/>
      <c r="Q54" s="529">
        <v>0</v>
      </c>
      <c r="R54" s="529">
        <v>0</v>
      </c>
      <c r="S54" s="529">
        <v>0</v>
      </c>
    </row>
    <row r="55" spans="1:19">
      <c r="A55" s="525">
        <f t="shared" si="0"/>
        <v>42</v>
      </c>
      <c r="B55" s="182" t="s">
        <v>970</v>
      </c>
      <c r="C55" s="522">
        <f t="shared" si="3"/>
        <v>1089</v>
      </c>
      <c r="D55" s="522">
        <f t="shared" si="4"/>
        <v>12008</v>
      </c>
      <c r="E55" s="522"/>
      <c r="F55" s="522"/>
      <c r="G55" s="522">
        <f t="shared" si="9"/>
        <v>6549</v>
      </c>
      <c r="H55" s="522"/>
      <c r="I55" s="522">
        <f t="shared" si="6"/>
        <v>0</v>
      </c>
      <c r="J55" s="522">
        <f t="shared" si="6"/>
        <v>2446.5</v>
      </c>
      <c r="K55" s="522">
        <f t="shared" si="6"/>
        <v>4102</v>
      </c>
      <c r="L55" s="522"/>
      <c r="M55" s="529">
        <f>SUMIF([2]APCO_2821001!$A$37:$A$67,$B55,[2]APCO_2821001!$L$37:$L$67)*-1</f>
        <v>0</v>
      </c>
      <c r="N55" s="529">
        <f>SUMIF([2]APCO_2821001!$A$68:$A$99,$B55,[2]APCO_2821001!$L$68:$L$99)*-1</f>
        <v>407</v>
      </c>
      <c r="O55" s="529">
        <f>SUMIF([2]APCO_2821001!$A$3:$A$36,$B55,[2]APCO_2821001!$L$3:$L$36)*-1</f>
        <v>682</v>
      </c>
      <c r="P55" s="522"/>
      <c r="Q55" s="529">
        <v>0</v>
      </c>
      <c r="R55" s="529">
        <v>4486</v>
      </c>
      <c r="S55" s="529">
        <v>7522</v>
      </c>
    </row>
    <row r="56" spans="1:19">
      <c r="A56" s="525">
        <f t="shared" si="0"/>
        <v>43</v>
      </c>
      <c r="B56" s="182" t="s">
        <v>11</v>
      </c>
      <c r="C56" s="522">
        <f t="shared" si="3"/>
        <v>1867691</v>
      </c>
      <c r="D56" s="522">
        <f t="shared" si="4"/>
        <v>1974417</v>
      </c>
      <c r="E56" s="522"/>
      <c r="F56" s="522"/>
      <c r="G56" s="522">
        <f t="shared" si="9"/>
        <v>1921054</v>
      </c>
      <c r="H56" s="522"/>
      <c r="I56" s="522">
        <f t="shared" si="6"/>
        <v>1921054</v>
      </c>
      <c r="J56" s="522">
        <f t="shared" si="6"/>
        <v>0</v>
      </c>
      <c r="K56" s="522">
        <f t="shared" si="6"/>
        <v>0</v>
      </c>
      <c r="L56" s="522"/>
      <c r="M56" s="529">
        <f>SUMIF([2]APCO_2821001!$A$37:$A$67,$B56,[2]APCO_2821001!$L$37:$L$67)*-1</f>
        <v>1867691</v>
      </c>
      <c r="N56" s="529">
        <f>SUMIF([2]APCO_2821001!$A$68:$A$99,$B56,[2]APCO_2821001!$L$68:$L$99)*-1</f>
        <v>0</v>
      </c>
      <c r="O56" s="529">
        <f>SUMIF([2]APCO_2821001!$A$3:$A$36,$B56,[2]APCO_2821001!$L$3:$L$36)*-1</f>
        <v>0</v>
      </c>
      <c r="P56" s="522"/>
      <c r="Q56" s="529">
        <v>1974417</v>
      </c>
      <c r="R56" s="529">
        <v>0</v>
      </c>
      <c r="S56" s="529">
        <v>0</v>
      </c>
    </row>
    <row r="57" spans="1:19">
      <c r="A57" s="525">
        <f t="shared" si="0"/>
        <v>44</v>
      </c>
      <c r="B57" s="530" t="s">
        <v>12</v>
      </c>
      <c r="C57" s="531">
        <f>SUM(M57:O57)</f>
        <v>-64317.49</v>
      </c>
      <c r="D57" s="531">
        <f>SUM(Q57:S57)</f>
        <v>-64317.49</v>
      </c>
      <c r="E57" s="531"/>
      <c r="F57" s="531"/>
      <c r="G57" s="531">
        <f>ROUND(SUM(C57:F57)/2,0)</f>
        <v>-64317</v>
      </c>
      <c r="H57" s="531"/>
      <c r="I57" s="531">
        <f t="shared" si="6"/>
        <v>-64317.49</v>
      </c>
      <c r="J57" s="531">
        <f t="shared" si="6"/>
        <v>0</v>
      </c>
      <c r="K57" s="531">
        <f t="shared" si="6"/>
        <v>0</v>
      </c>
      <c r="L57" s="531"/>
      <c r="M57" s="531">
        <f>SUMIF([2]APCO_2821001!$A$37:$A$67,$B57,[2]APCO_2821001!$L$37:$L$67)*-1</f>
        <v>-64317.49</v>
      </c>
      <c r="N57" s="531">
        <f>SUMIF([2]APCO_2821001!$A$68:$A$99,$B57,[2]APCO_2821001!$L$68:$L$99)*-1</f>
        <v>0</v>
      </c>
      <c r="O57" s="531">
        <f>SUMIF([2]APCO_2821001!$A$3:$A$36,$B57,[2]APCO_2821001!$L$3:$L$36)*-1</f>
        <v>0</v>
      </c>
      <c r="P57" s="522"/>
      <c r="Q57" s="529">
        <v>-64317.49</v>
      </c>
      <c r="R57" s="529">
        <v>0</v>
      </c>
      <c r="S57" s="529">
        <v>0</v>
      </c>
    </row>
    <row r="58" spans="1:19">
      <c r="A58" s="525">
        <f t="shared" si="0"/>
        <v>45</v>
      </c>
      <c r="B58" s="530" t="s">
        <v>13</v>
      </c>
      <c r="C58" s="531">
        <f t="shared" si="3"/>
        <v>-798375.82</v>
      </c>
      <c r="D58" s="531">
        <f t="shared" si="4"/>
        <v>9120948.1799999997</v>
      </c>
      <c r="E58" s="531"/>
      <c r="F58" s="531"/>
      <c r="G58" s="531">
        <f t="shared" si="9"/>
        <v>4161286</v>
      </c>
      <c r="H58" s="531"/>
      <c r="I58" s="531">
        <f t="shared" si="6"/>
        <v>4161286.1799999997</v>
      </c>
      <c r="J58" s="531">
        <f t="shared" si="6"/>
        <v>0</v>
      </c>
      <c r="K58" s="531">
        <f t="shared" si="6"/>
        <v>0</v>
      </c>
      <c r="L58" s="531"/>
      <c r="M58" s="531">
        <f>SUMIF([2]APCO_2821001!$A$37:$A$67,$B58,[2]APCO_2821001!$L$37:$L$67)*-1</f>
        <v>-798375.82</v>
      </c>
      <c r="N58" s="531">
        <f>SUMIF([2]APCO_2821001!$A$68:$A$99,$B58,[2]APCO_2821001!$L$68:$L$99)*-1</f>
        <v>0</v>
      </c>
      <c r="O58" s="531">
        <f>SUMIF([2]APCO_2821001!$A$3:$A$36,$B58,[2]APCO_2821001!$L$3:$L$36)*-1</f>
        <v>0</v>
      </c>
      <c r="P58" s="522"/>
      <c r="Q58" s="529">
        <v>9120948.1799999997</v>
      </c>
      <c r="R58" s="529">
        <v>0</v>
      </c>
      <c r="S58" s="529">
        <v>0</v>
      </c>
    </row>
    <row r="59" spans="1:19">
      <c r="A59" s="525">
        <f t="shared" si="0"/>
        <v>46</v>
      </c>
      <c r="B59" s="606" t="s">
        <v>14</v>
      </c>
      <c r="C59" s="607">
        <f t="shared" si="3"/>
        <v>-316318.7</v>
      </c>
      <c r="D59" s="607">
        <f t="shared" si="4"/>
        <v>-316318.7</v>
      </c>
      <c r="E59" s="607"/>
      <c r="F59" s="607"/>
      <c r="G59" s="607">
        <f t="shared" si="9"/>
        <v>-316319</v>
      </c>
      <c r="H59" s="607"/>
      <c r="I59" s="607">
        <f t="shared" si="6"/>
        <v>-316318.7</v>
      </c>
      <c r="J59" s="607">
        <f t="shared" si="6"/>
        <v>0</v>
      </c>
      <c r="K59" s="607">
        <f t="shared" si="6"/>
        <v>0</v>
      </c>
      <c r="L59" s="607"/>
      <c r="M59" s="607">
        <f>SUMIF([2]APCO_2821001!$A$37:$A$67,$B59,[2]APCO_2821001!$L$37:$L$67)*-1</f>
        <v>-316318.7</v>
      </c>
      <c r="N59" s="607">
        <f>SUMIF([2]APCO_2821001!$A$68:$A$99,$B59,[2]APCO_2821001!$L$68:$L$99)*-1</f>
        <v>0</v>
      </c>
      <c r="O59" s="607">
        <f>SUMIF([2]APCO_2821001!$A$3:$A$36,$B59,[2]APCO_2821001!$L$3:$L$36)*-1</f>
        <v>0</v>
      </c>
      <c r="P59" s="522"/>
      <c r="Q59" s="529">
        <v>-316318.7</v>
      </c>
      <c r="R59" s="529">
        <v>0</v>
      </c>
      <c r="S59" s="529">
        <v>0</v>
      </c>
    </row>
    <row r="60" spans="1:19">
      <c r="A60" s="525">
        <f t="shared" si="0"/>
        <v>47</v>
      </c>
      <c r="B60" s="606" t="s">
        <v>15</v>
      </c>
      <c r="C60" s="607">
        <f t="shared" si="3"/>
        <v>312822</v>
      </c>
      <c r="D60" s="607">
        <f t="shared" si="4"/>
        <v>312822</v>
      </c>
      <c r="E60" s="607"/>
      <c r="F60" s="607"/>
      <c r="G60" s="607">
        <f t="shared" si="9"/>
        <v>312822</v>
      </c>
      <c r="H60" s="607"/>
      <c r="I60" s="607">
        <f t="shared" si="6"/>
        <v>312822</v>
      </c>
      <c r="J60" s="607">
        <f t="shared" si="6"/>
        <v>0</v>
      </c>
      <c r="K60" s="607">
        <f t="shared" si="6"/>
        <v>0</v>
      </c>
      <c r="L60" s="607"/>
      <c r="M60" s="607">
        <f>SUMIF([2]APCO_2821001!$A$37:$A$67,$B60,[2]APCO_2821001!$L$37:$L$67)*-1</f>
        <v>312822</v>
      </c>
      <c r="N60" s="607">
        <f>SUMIF([2]APCO_2821001!$A$68:$A$99,$B60,[2]APCO_2821001!$L$68:$L$99)*-1</f>
        <v>0</v>
      </c>
      <c r="O60" s="607">
        <f>SUMIF([2]APCO_2821001!$A$3:$A$36,$B60,[2]APCO_2821001!$L$3:$L$36)*-1</f>
        <v>0</v>
      </c>
      <c r="P60" s="522"/>
      <c r="Q60" s="529">
        <v>312822</v>
      </c>
      <c r="R60" s="529">
        <v>0</v>
      </c>
      <c r="S60" s="529">
        <v>0</v>
      </c>
    </row>
    <row r="61" spans="1:19">
      <c r="A61" s="525">
        <f t="shared" si="0"/>
        <v>48</v>
      </c>
      <c r="B61" s="182" t="s">
        <v>16</v>
      </c>
      <c r="C61" s="522">
        <f>SUM(M61:O61)</f>
        <v>0</v>
      </c>
      <c r="D61" s="522">
        <f>SUM(Q61:S61)</f>
        <v>0</v>
      </c>
      <c r="E61" s="522"/>
      <c r="F61" s="522"/>
      <c r="G61" s="522">
        <f>ROUND(SUM(C61:F61)/2,0)</f>
        <v>0</v>
      </c>
      <c r="H61" s="522"/>
      <c r="I61" s="522">
        <f t="shared" si="6"/>
        <v>0</v>
      </c>
      <c r="J61" s="522">
        <f t="shared" si="6"/>
        <v>0</v>
      </c>
      <c r="K61" s="522">
        <f t="shared" si="6"/>
        <v>0</v>
      </c>
      <c r="L61" s="522"/>
      <c r="M61" s="529">
        <f>SUMIF([2]APCO_2821001!$A$37:$A$67,$B61,[2]APCO_2821001!$L$37:$L$67)*-1</f>
        <v>0</v>
      </c>
      <c r="N61" s="529">
        <f>SUMIF([2]APCO_2821001!$A$68:$A$99,$B61,[2]APCO_2821001!$L$68:$L$99)*-1</f>
        <v>0</v>
      </c>
      <c r="O61" s="529">
        <f>SUMIF([2]APCO_2821001!$A$3:$A$36,$B61,[2]APCO_2821001!$L$3:$L$36)*-1</f>
        <v>0</v>
      </c>
      <c r="P61" s="522"/>
      <c r="Q61" s="529">
        <v>0</v>
      </c>
      <c r="R61" s="529">
        <v>0</v>
      </c>
      <c r="S61" s="529">
        <v>0</v>
      </c>
    </row>
    <row r="62" spans="1:19">
      <c r="A62" s="525">
        <f t="shared" si="0"/>
        <v>49</v>
      </c>
      <c r="B62" s="524" t="s">
        <v>485</v>
      </c>
      <c r="C62" s="526">
        <v>0.49</v>
      </c>
      <c r="D62" s="526">
        <v>0.49</v>
      </c>
      <c r="E62" s="522">
        <f t="shared" ref="E62:F64" si="10">-C62</f>
        <v>-0.49</v>
      </c>
      <c r="F62" s="522">
        <f t="shared" si="10"/>
        <v>-0.49</v>
      </c>
      <c r="G62" s="522">
        <f t="shared" si="9"/>
        <v>0</v>
      </c>
      <c r="H62" s="522"/>
      <c r="I62" s="522"/>
      <c r="J62" s="522"/>
      <c r="K62" s="522"/>
      <c r="L62" s="522"/>
      <c r="M62" s="522"/>
      <c r="N62" s="522"/>
      <c r="O62" s="522"/>
      <c r="P62" s="522"/>
      <c r="Q62" s="522"/>
      <c r="R62" s="522"/>
      <c r="S62" s="522"/>
    </row>
    <row r="63" spans="1:19">
      <c r="A63" s="525">
        <f t="shared" si="0"/>
        <v>50</v>
      </c>
      <c r="B63" s="524" t="s">
        <v>495</v>
      </c>
      <c r="C63" s="526">
        <v>128165945.11</v>
      </c>
      <c r="D63" s="526">
        <v>133701796.3</v>
      </c>
      <c r="E63" s="522">
        <f t="shared" si="10"/>
        <v>-128165945.11</v>
      </c>
      <c r="F63" s="522">
        <f t="shared" si="10"/>
        <v>-133701796.3</v>
      </c>
      <c r="G63" s="522">
        <f t="shared" si="9"/>
        <v>0</v>
      </c>
      <c r="H63" s="522"/>
      <c r="I63" s="522"/>
      <c r="J63" s="522"/>
      <c r="K63" s="522"/>
      <c r="L63" s="522"/>
      <c r="M63" s="522"/>
      <c r="N63" s="522"/>
      <c r="O63" s="522"/>
      <c r="P63" s="522"/>
      <c r="Q63" s="522"/>
      <c r="R63" s="522"/>
      <c r="S63" s="522"/>
    </row>
    <row r="64" spans="1:19">
      <c r="A64" s="525">
        <f t="shared" si="0"/>
        <v>51</v>
      </c>
      <c r="B64" s="524" t="s">
        <v>496</v>
      </c>
      <c r="C64" s="526">
        <v>-1771929</v>
      </c>
      <c r="D64" s="526">
        <v>-1888400</v>
      </c>
      <c r="E64" s="522">
        <f t="shared" si="10"/>
        <v>1771929</v>
      </c>
      <c r="F64" s="522">
        <f t="shared" si="10"/>
        <v>1888400</v>
      </c>
      <c r="G64" s="522">
        <f t="shared" si="9"/>
        <v>0</v>
      </c>
      <c r="H64" s="522"/>
      <c r="I64" s="522"/>
      <c r="J64" s="522"/>
      <c r="K64" s="522"/>
      <c r="L64" s="522"/>
      <c r="M64" s="522"/>
      <c r="N64" s="522"/>
      <c r="O64" s="522"/>
      <c r="P64" s="522"/>
      <c r="Q64" s="522"/>
      <c r="R64" s="522"/>
      <c r="S64" s="522"/>
    </row>
    <row r="65" spans="1:19">
      <c r="A65" s="525">
        <f t="shared" si="0"/>
        <v>52</v>
      </c>
      <c r="B65" s="516"/>
      <c r="C65" s="522"/>
      <c r="D65" s="522"/>
      <c r="E65" s="522"/>
      <c r="F65" s="522"/>
      <c r="G65" s="522"/>
      <c r="H65" s="522"/>
      <c r="I65" s="522"/>
      <c r="J65" s="522"/>
      <c r="K65" s="522"/>
      <c r="L65" s="522"/>
      <c r="M65" s="522"/>
      <c r="N65" s="522"/>
      <c r="O65" s="522"/>
      <c r="P65" s="522"/>
      <c r="Q65" s="522"/>
      <c r="R65" s="522"/>
      <c r="S65" s="522"/>
    </row>
    <row r="66" spans="1:19">
      <c r="A66" s="525">
        <f t="shared" si="0"/>
        <v>53</v>
      </c>
      <c r="B66" s="524" t="s">
        <v>497</v>
      </c>
      <c r="C66" s="527">
        <f>SUM(C27:C65)</f>
        <v>1757517406.3100002</v>
      </c>
      <c r="D66" s="527">
        <f>SUM(D27:D65)</f>
        <v>1700842575.4000001</v>
      </c>
      <c r="E66" s="527">
        <f>SUM(E27:E65)</f>
        <v>-126394016.59999999</v>
      </c>
      <c r="F66" s="527">
        <f>SUM(F27:F65)</f>
        <v>-131813396.78999999</v>
      </c>
      <c r="G66" s="527">
        <f>SUM(G27:G65)</f>
        <v>1600076287</v>
      </c>
      <c r="H66" s="522"/>
      <c r="I66" s="527">
        <f>SUM(I27:I65)</f>
        <v>690740063.53499985</v>
      </c>
      <c r="J66" s="527">
        <f>SUM(J27:J65)</f>
        <v>372291603.69</v>
      </c>
      <c r="K66" s="527">
        <f>SUM(K27:K65)</f>
        <v>537044616.93500006</v>
      </c>
      <c r="L66" s="522"/>
      <c r="M66" s="527">
        <f>SUM(M27:M65)</f>
        <v>684222113.8499999</v>
      </c>
      <c r="N66" s="527">
        <f>SUM(N27:N65)</f>
        <v>394278088.56000006</v>
      </c>
      <c r="O66" s="527">
        <f>SUM(O27:O65)</f>
        <v>552623187.30000019</v>
      </c>
      <c r="P66" s="522"/>
      <c r="Q66" s="527">
        <f>SUM(Q27:Q65)</f>
        <v>697258013.21999979</v>
      </c>
      <c r="R66" s="527">
        <f>SUM(R27:R65)</f>
        <v>350305118.81999993</v>
      </c>
      <c r="S66" s="527">
        <f>SUM(S27:S65)</f>
        <v>521466046.57000005</v>
      </c>
    </row>
    <row r="67" spans="1:19" ht="13.8" thickBot="1">
      <c r="A67" s="525">
        <f>A66+1</f>
        <v>54</v>
      </c>
      <c r="B67" s="524"/>
      <c r="C67" s="536"/>
      <c r="D67" s="536"/>
      <c r="E67" s="536"/>
      <c r="F67" s="536"/>
      <c r="G67" s="536"/>
      <c r="H67" s="522"/>
      <c r="I67" s="536"/>
      <c r="J67" s="536"/>
      <c r="K67" s="536"/>
      <c r="L67" s="522"/>
      <c r="M67" s="536"/>
      <c r="N67" s="536"/>
      <c r="O67" s="536"/>
      <c r="P67" s="522"/>
      <c r="Q67" s="536"/>
      <c r="R67" s="536"/>
      <c r="S67" s="536"/>
    </row>
    <row r="68" spans="1:19" ht="13.8" thickTop="1">
      <c r="A68" s="525">
        <f>A67+1</f>
        <v>55</v>
      </c>
      <c r="B68" s="516"/>
      <c r="C68" s="528"/>
      <c r="D68" s="528"/>
      <c r="E68" s="528"/>
      <c r="F68" s="528"/>
      <c r="G68" s="528"/>
      <c r="H68" s="522"/>
      <c r="I68" s="528"/>
      <c r="J68" s="528"/>
      <c r="K68" s="528"/>
      <c r="L68" s="522"/>
      <c r="M68" s="528"/>
      <c r="N68" s="528"/>
      <c r="O68" s="528"/>
      <c r="P68" s="522"/>
      <c r="Q68" s="532"/>
      <c r="R68" s="528"/>
      <c r="S68" s="528"/>
    </row>
    <row r="69" spans="1:19">
      <c r="A69" s="525"/>
      <c r="B69" s="604" t="s">
        <v>695</v>
      </c>
      <c r="C69" s="605" t="s">
        <v>113</v>
      </c>
      <c r="D69" s="605"/>
      <c r="E69" s="605"/>
      <c r="F69" s="605"/>
      <c r="G69" s="605"/>
      <c r="H69" s="605"/>
      <c r="I69" s="605"/>
      <c r="J69" s="605"/>
      <c r="K69" s="605"/>
      <c r="L69" s="605"/>
      <c r="M69" s="605">
        <f t="shared" ref="M69:O69" si="11">M30+M42+M43+M44+M45</f>
        <v>-65939.45</v>
      </c>
      <c r="N69" s="605">
        <f t="shared" si="11"/>
        <v>-653.54999999999995</v>
      </c>
      <c r="O69" s="605">
        <f t="shared" si="11"/>
        <v>219881.9</v>
      </c>
      <c r="P69" s="522"/>
      <c r="Q69" s="608"/>
      <c r="R69" s="536"/>
      <c r="S69" s="536"/>
    </row>
    <row r="70" spans="1:19">
      <c r="A70" s="525"/>
      <c r="B70" s="609" t="s">
        <v>696</v>
      </c>
      <c r="C70" s="610" t="s">
        <v>113</v>
      </c>
      <c r="D70" s="610"/>
      <c r="E70" s="610"/>
      <c r="F70" s="610"/>
      <c r="G70" s="610"/>
      <c r="H70" s="607"/>
      <c r="I70" s="610"/>
      <c r="J70" s="610"/>
      <c r="K70" s="610"/>
      <c r="L70" s="607"/>
      <c r="M70" s="610">
        <f t="shared" ref="M70:O70" si="12">M51+M59+M60</f>
        <v>-3496.7000000000116</v>
      </c>
      <c r="N70" s="610">
        <f t="shared" si="12"/>
        <v>0</v>
      </c>
      <c r="O70" s="610">
        <f t="shared" si="12"/>
        <v>0</v>
      </c>
      <c r="P70" s="522"/>
      <c r="Q70" s="608"/>
      <c r="R70" s="536"/>
      <c r="S70" s="536"/>
    </row>
    <row r="71" spans="1:19">
      <c r="A71" s="525"/>
      <c r="B71" s="533" t="s">
        <v>295</v>
      </c>
      <c r="C71" s="534" t="s">
        <v>113</v>
      </c>
      <c r="D71" s="534"/>
      <c r="E71" s="534"/>
      <c r="F71" s="534"/>
      <c r="G71" s="534"/>
      <c r="H71" s="531"/>
      <c r="I71" s="534"/>
      <c r="J71" s="534"/>
      <c r="K71" s="534"/>
      <c r="L71" s="531"/>
      <c r="M71" s="534">
        <f t="shared" ref="M71:O71" si="13">M33+M34+M57+M58</f>
        <v>18136587.040000003</v>
      </c>
      <c r="N71" s="534">
        <f t="shared" si="13"/>
        <v>-447.44</v>
      </c>
      <c r="O71" s="534">
        <f t="shared" si="13"/>
        <v>239574.22</v>
      </c>
      <c r="P71" s="522"/>
      <c r="Q71" s="608"/>
      <c r="R71" s="536"/>
      <c r="S71" s="536"/>
    </row>
    <row r="72" spans="1:19">
      <c r="A72" s="525"/>
      <c r="B72" s="516" t="s">
        <v>697</v>
      </c>
      <c r="C72" s="536"/>
      <c r="D72" s="536"/>
      <c r="E72" s="536"/>
      <c r="F72" s="536"/>
      <c r="G72" s="536"/>
      <c r="H72" s="522"/>
      <c r="I72" s="536"/>
      <c r="J72" s="536"/>
      <c r="K72" s="536"/>
      <c r="L72" s="522"/>
      <c r="M72" s="536">
        <f>M66-M69-M70-M71</f>
        <v>666154962.96000004</v>
      </c>
      <c r="N72" s="536">
        <f t="shared" ref="N72:O72" si="14">N66-N69-N70-N71</f>
        <v>394279189.55000007</v>
      </c>
      <c r="O72" s="536">
        <f t="shared" si="14"/>
        <v>552163731.18000019</v>
      </c>
      <c r="P72" s="522"/>
      <c r="Q72" s="608"/>
      <c r="R72" s="536"/>
      <c r="S72" s="536"/>
    </row>
    <row r="73" spans="1:19">
      <c r="A73" s="426"/>
      <c r="B73" s="611" t="s">
        <v>699</v>
      </c>
      <c r="C73" s="612"/>
      <c r="D73" s="613"/>
      <c r="E73" s="612"/>
      <c r="F73" s="612"/>
      <c r="G73" s="612"/>
      <c r="H73" s="612"/>
      <c r="I73" s="612"/>
      <c r="J73" s="612"/>
      <c r="K73" s="612"/>
      <c r="L73" s="612"/>
      <c r="M73" s="612">
        <f>N66+O66+M71</f>
        <v>965037862.90000021</v>
      </c>
      <c r="N73" s="612"/>
      <c r="O73" s="612"/>
      <c r="P73" s="522"/>
      <c r="Q73" s="522"/>
      <c r="R73" s="522"/>
      <c r="S73" s="522"/>
    </row>
    <row r="74" spans="1:19">
      <c r="A74" s="525">
        <f>A68+1</f>
        <v>56</v>
      </c>
      <c r="B74" s="182" t="s">
        <v>498</v>
      </c>
      <c r="C74" s="522" t="s">
        <v>113</v>
      </c>
      <c r="D74" s="522"/>
      <c r="E74" s="522"/>
      <c r="F74" s="522"/>
      <c r="G74" s="522"/>
      <c r="H74" s="522"/>
      <c r="I74" s="522"/>
      <c r="J74" s="522"/>
      <c r="K74" s="522"/>
      <c r="L74" s="522"/>
      <c r="M74" s="522"/>
      <c r="N74" s="522"/>
      <c r="O74" s="522"/>
      <c r="P74" s="522"/>
      <c r="Q74" s="522"/>
      <c r="R74" s="522"/>
      <c r="S74" s="522"/>
    </row>
    <row r="75" spans="1:19">
      <c r="A75" s="525">
        <f t="shared" si="0"/>
        <v>57</v>
      </c>
      <c r="B75" s="516"/>
      <c r="C75" s="522"/>
      <c r="D75" s="522"/>
      <c r="E75" s="522"/>
      <c r="F75" s="522"/>
      <c r="G75" s="522"/>
      <c r="H75" s="522"/>
      <c r="I75" s="522"/>
      <c r="J75" s="522"/>
      <c r="K75" s="522"/>
      <c r="L75" s="522"/>
      <c r="M75" s="522"/>
      <c r="N75" s="522"/>
      <c r="O75" s="522"/>
      <c r="P75" s="522"/>
      <c r="Q75" s="522"/>
      <c r="R75" s="522"/>
      <c r="S75" s="522"/>
    </row>
    <row r="76" spans="1:19">
      <c r="A76" s="525">
        <f t="shared" si="0"/>
        <v>58</v>
      </c>
      <c r="B76" s="434" t="s">
        <v>971</v>
      </c>
      <c r="C76" s="522">
        <f t="shared" ref="C76" si="15">SUM(M76:O76)</f>
        <v>537936.07999999996</v>
      </c>
      <c r="D76" s="522">
        <f t="shared" ref="D76:D139" si="16">SUM(Q76:S76)</f>
        <v>5558088.1900000004</v>
      </c>
      <c r="E76" s="522"/>
      <c r="F76" s="522"/>
      <c r="G76" s="522">
        <f t="shared" ref="G76:G130" si="17">ROUND(SUM(C76:F76)/2,0)</f>
        <v>3048012</v>
      </c>
      <c r="H76" s="522"/>
      <c r="I76" s="522">
        <f>(M76+Q76)/2</f>
        <v>3048012.1350000002</v>
      </c>
      <c r="J76" s="522">
        <f>(N76+R76)/2</f>
        <v>0</v>
      </c>
      <c r="K76" s="522">
        <f>(O76+S76)/2</f>
        <v>0</v>
      </c>
      <c r="L76" s="522"/>
      <c r="M76" s="529">
        <f>SUMIF([2]APCO_2831001!$A$34:$A$85,$B76,[2]APCO_2831001!$L$34:$L$85)*-1</f>
        <v>537936.07999999996</v>
      </c>
      <c r="N76" s="529">
        <f>SUMIF([2]APCO_2831001!$A$86:$A$100,$B76,[2]APCO_2831001!$L$86:$L$100)*-1</f>
        <v>0</v>
      </c>
      <c r="O76" s="529">
        <f>SUMIF([2]APCO_2831001!$A$3:$A$33,$B76,[2]APCO_2831001!$L$3:$L$33)*-1</f>
        <v>0</v>
      </c>
      <c r="P76" s="522"/>
      <c r="Q76" s="529">
        <v>5558088.1900000004</v>
      </c>
      <c r="R76" s="529">
        <v>0</v>
      </c>
      <c r="S76" s="529">
        <v>0</v>
      </c>
    </row>
    <row r="77" spans="1:19">
      <c r="A77" s="525">
        <f t="shared" si="0"/>
        <v>59</v>
      </c>
      <c r="B77" s="609" t="s">
        <v>17</v>
      </c>
      <c r="C77" s="610">
        <f t="shared" ref="C77:C140" si="18">SUM(M77:O77)</f>
        <v>20704379.879999999</v>
      </c>
      <c r="D77" s="610">
        <f t="shared" si="16"/>
        <v>1872468.63</v>
      </c>
      <c r="E77" s="610"/>
      <c r="F77" s="610"/>
      <c r="G77" s="610">
        <f>ROUND(SUM(C77:F77)/2,0)</f>
        <v>11288424</v>
      </c>
      <c r="H77" s="607"/>
      <c r="I77" s="610">
        <f t="shared" ref="I77:K136" si="19">(M77+Q77)/2</f>
        <v>11288424.254999999</v>
      </c>
      <c r="J77" s="610">
        <f t="shared" si="19"/>
        <v>0</v>
      </c>
      <c r="K77" s="610">
        <f t="shared" si="19"/>
        <v>0</v>
      </c>
      <c r="L77" s="607"/>
      <c r="M77" s="610">
        <f>SUMIF([2]APCO_2831001!$A$34:$A$85,$B77,[2]APCO_2831001!$L$34:$L$85)*-1</f>
        <v>20704379.879999999</v>
      </c>
      <c r="N77" s="610">
        <f>SUMIF([2]APCO_2831001!$A$86:$A$100,$B77,[2]APCO_2831001!$L$86:$L$100)*-1</f>
        <v>0</v>
      </c>
      <c r="O77" s="610">
        <f>SUMIF([2]APCO_2831001!$A$3:$A$33,$B77,[2]APCO_2831001!$L$3:$L$33)*-1</f>
        <v>0</v>
      </c>
      <c r="P77" s="522"/>
      <c r="Q77" s="529">
        <v>1872468.63</v>
      </c>
      <c r="R77" s="529">
        <v>0</v>
      </c>
      <c r="S77" s="529">
        <v>0</v>
      </c>
    </row>
    <row r="78" spans="1:19">
      <c r="A78" s="525">
        <f t="shared" si="0"/>
        <v>60</v>
      </c>
      <c r="B78" s="609" t="s">
        <v>18</v>
      </c>
      <c r="C78" s="610">
        <f t="shared" si="18"/>
        <v>9554796.0500000007</v>
      </c>
      <c r="D78" s="610">
        <f t="shared" si="16"/>
        <v>21254301.899999999</v>
      </c>
      <c r="E78" s="610"/>
      <c r="F78" s="610"/>
      <c r="G78" s="610">
        <f t="shared" si="17"/>
        <v>15404549</v>
      </c>
      <c r="H78" s="607"/>
      <c r="I78" s="610">
        <f t="shared" si="19"/>
        <v>15404548.975</v>
      </c>
      <c r="J78" s="610">
        <f t="shared" si="19"/>
        <v>0</v>
      </c>
      <c r="K78" s="610">
        <f t="shared" si="19"/>
        <v>0</v>
      </c>
      <c r="L78" s="607"/>
      <c r="M78" s="610">
        <f>SUMIF([2]APCO_2831001!$A$34:$A$85,$B78,[2]APCO_2831001!$L$34:$L$85)*-1</f>
        <v>9554796.0500000007</v>
      </c>
      <c r="N78" s="610">
        <f>SUMIF([2]APCO_2831001!$A$86:$A$100,$B78,[2]APCO_2831001!$L$86:$L$100)*-1</f>
        <v>0</v>
      </c>
      <c r="O78" s="610">
        <f>SUMIF([2]APCO_2831001!$A$3:$A$33,$B78,[2]APCO_2831001!$L$3:$L$33)*-1</f>
        <v>0</v>
      </c>
      <c r="P78" s="522"/>
      <c r="Q78" s="529">
        <v>21254301.899999999</v>
      </c>
      <c r="R78" s="529">
        <v>0</v>
      </c>
      <c r="S78" s="529">
        <v>0</v>
      </c>
    </row>
    <row r="79" spans="1:19">
      <c r="A79" s="525">
        <f t="shared" si="0"/>
        <v>61</v>
      </c>
      <c r="B79" s="609" t="s">
        <v>19</v>
      </c>
      <c r="C79" s="610">
        <f t="shared" si="18"/>
        <v>0</v>
      </c>
      <c r="D79" s="610">
        <f t="shared" si="16"/>
        <v>0</v>
      </c>
      <c r="E79" s="610"/>
      <c r="F79" s="610"/>
      <c r="G79" s="610">
        <f t="shared" si="17"/>
        <v>0</v>
      </c>
      <c r="H79" s="607"/>
      <c r="I79" s="610">
        <f t="shared" si="19"/>
        <v>0</v>
      </c>
      <c r="J79" s="610">
        <f t="shared" si="19"/>
        <v>0</v>
      </c>
      <c r="K79" s="610">
        <f t="shared" si="19"/>
        <v>0</v>
      </c>
      <c r="L79" s="607"/>
      <c r="M79" s="610">
        <f>SUMIF([2]APCO_2831001!$A$34:$A$85,$B79,[2]APCO_2831001!$L$34:$L$85)*-1</f>
        <v>0</v>
      </c>
      <c r="N79" s="610">
        <f>SUMIF([2]APCO_2831001!$A$86:$A$100,$B79,[2]APCO_2831001!$L$86:$L$100)*-1</f>
        <v>0</v>
      </c>
      <c r="O79" s="610">
        <f>SUMIF([2]APCO_2831001!$A$3:$A$33,$B79,[2]APCO_2831001!$L$3:$L$33)*-1</f>
        <v>0</v>
      </c>
      <c r="P79" s="522"/>
      <c r="Q79" s="529">
        <v>0</v>
      </c>
      <c r="R79" s="529">
        <v>0</v>
      </c>
      <c r="S79" s="529">
        <v>0</v>
      </c>
    </row>
    <row r="80" spans="1:19">
      <c r="A80" s="525">
        <f t="shared" si="0"/>
        <v>62</v>
      </c>
      <c r="B80" s="609" t="s">
        <v>20</v>
      </c>
      <c r="C80" s="610">
        <f t="shared" si="18"/>
        <v>-221361.11</v>
      </c>
      <c r="D80" s="610">
        <f t="shared" si="16"/>
        <v>0</v>
      </c>
      <c r="E80" s="610"/>
      <c r="F80" s="610"/>
      <c r="G80" s="610">
        <f t="shared" si="17"/>
        <v>-110681</v>
      </c>
      <c r="H80" s="607"/>
      <c r="I80" s="610">
        <f t="shared" si="19"/>
        <v>-110680.55499999999</v>
      </c>
      <c r="J80" s="610">
        <f t="shared" si="19"/>
        <v>0</v>
      </c>
      <c r="K80" s="610">
        <f t="shared" si="19"/>
        <v>0</v>
      </c>
      <c r="L80" s="607"/>
      <c r="M80" s="610">
        <f>SUMIF([2]APCO_2831001!$A$34:$A$85,$B80,[2]APCO_2831001!$L$34:$L$85)*-1</f>
        <v>-221361.11</v>
      </c>
      <c r="N80" s="610">
        <f>SUMIF([2]APCO_2831001!$A$86:$A$100,$B80,[2]APCO_2831001!$L$86:$L$100)*-1</f>
        <v>0</v>
      </c>
      <c r="O80" s="610">
        <f>SUMIF([2]APCO_2831001!$A$3:$A$33,$B80,[2]APCO_2831001!$L$3:$L$33)*-1</f>
        <v>0</v>
      </c>
      <c r="P80" s="522"/>
      <c r="Q80" s="529">
        <v>0</v>
      </c>
      <c r="R80" s="529">
        <v>0</v>
      </c>
      <c r="S80" s="529">
        <v>0</v>
      </c>
    </row>
    <row r="81" spans="1:19">
      <c r="A81" s="525">
        <f t="shared" si="0"/>
        <v>63</v>
      </c>
      <c r="B81" s="609" t="s">
        <v>21</v>
      </c>
      <c r="C81" s="610">
        <f t="shared" si="18"/>
        <v>0</v>
      </c>
      <c r="D81" s="610">
        <f t="shared" si="16"/>
        <v>0</v>
      </c>
      <c r="E81" s="610"/>
      <c r="F81" s="610"/>
      <c r="G81" s="610">
        <f t="shared" si="17"/>
        <v>0</v>
      </c>
      <c r="H81" s="607"/>
      <c r="I81" s="610">
        <f t="shared" si="19"/>
        <v>0</v>
      </c>
      <c r="J81" s="610">
        <f t="shared" si="19"/>
        <v>0</v>
      </c>
      <c r="K81" s="610">
        <f t="shared" si="19"/>
        <v>0</v>
      </c>
      <c r="L81" s="607"/>
      <c r="M81" s="610">
        <f>SUMIF([2]APCO_2831001!$A$34:$A$85,$B81,[2]APCO_2831001!$L$34:$L$85)*-1</f>
        <v>0</v>
      </c>
      <c r="N81" s="610">
        <f>SUMIF([2]APCO_2831001!$A$86:$A$100,$B81,[2]APCO_2831001!$L$86:$L$100)*-1</f>
        <v>0</v>
      </c>
      <c r="O81" s="610">
        <f>SUMIF([2]APCO_2831001!$A$3:$A$33,$B81,[2]APCO_2831001!$L$3:$L$33)*-1</f>
        <v>0</v>
      </c>
      <c r="P81" s="522"/>
      <c r="Q81" s="529">
        <v>0</v>
      </c>
      <c r="R81" s="529">
        <v>0</v>
      </c>
      <c r="S81" s="529">
        <v>0</v>
      </c>
    </row>
    <row r="82" spans="1:19">
      <c r="A82" s="525">
        <f t="shared" si="0"/>
        <v>64</v>
      </c>
      <c r="B82" s="609" t="s">
        <v>972</v>
      </c>
      <c r="C82" s="610">
        <f t="shared" si="18"/>
        <v>0</v>
      </c>
      <c r="D82" s="610">
        <f t="shared" si="16"/>
        <v>0</v>
      </c>
      <c r="E82" s="610"/>
      <c r="F82" s="610"/>
      <c r="G82" s="610">
        <f>ROUND(SUM(C82:F82)/2,0)</f>
        <v>0</v>
      </c>
      <c r="H82" s="607"/>
      <c r="I82" s="610">
        <f t="shared" si="19"/>
        <v>0</v>
      </c>
      <c r="J82" s="610">
        <f t="shared" si="19"/>
        <v>0</v>
      </c>
      <c r="K82" s="610">
        <f t="shared" si="19"/>
        <v>0</v>
      </c>
      <c r="L82" s="607"/>
      <c r="M82" s="610">
        <f>SUMIF([2]APCO_2831001!$A$34:$A$85,$B82,[2]APCO_2831001!$L$34:$L$85)*-1</f>
        <v>0</v>
      </c>
      <c r="N82" s="610">
        <f>SUMIF([2]APCO_2831001!$A$86:$A$100,$B82,[2]APCO_2831001!$L$86:$L$100)*-1</f>
        <v>0</v>
      </c>
      <c r="O82" s="610">
        <f>SUMIF([2]APCO_2831001!$A$3:$A$33,$B82,[2]APCO_2831001!$L$3:$L$33)*-1</f>
        <v>0</v>
      </c>
      <c r="P82" s="522"/>
      <c r="Q82" s="529">
        <v>0</v>
      </c>
      <c r="R82" s="529">
        <v>0</v>
      </c>
      <c r="S82" s="529">
        <v>0</v>
      </c>
    </row>
    <row r="83" spans="1:19">
      <c r="A83" s="525">
        <f t="shared" si="0"/>
        <v>65</v>
      </c>
      <c r="B83" s="609" t="s">
        <v>973</v>
      </c>
      <c r="C83" s="610">
        <f t="shared" si="18"/>
        <v>0</v>
      </c>
      <c r="D83" s="610">
        <f t="shared" si="16"/>
        <v>1197494.72</v>
      </c>
      <c r="E83" s="610"/>
      <c r="F83" s="610"/>
      <c r="G83" s="610">
        <f>ROUND(SUM(C83:F83)/2,0)</f>
        <v>598747</v>
      </c>
      <c r="H83" s="607"/>
      <c r="I83" s="610">
        <f t="shared" si="19"/>
        <v>598747.36</v>
      </c>
      <c r="J83" s="610">
        <f t="shared" si="19"/>
        <v>0</v>
      </c>
      <c r="K83" s="610">
        <f t="shared" si="19"/>
        <v>0</v>
      </c>
      <c r="L83" s="607"/>
      <c r="M83" s="610">
        <f>SUMIF([2]APCO_2831001!$A$34:$A$85,$B83,[2]APCO_2831001!$L$34:$L$85)*-1</f>
        <v>0</v>
      </c>
      <c r="N83" s="610">
        <f>SUMIF([2]APCO_2831001!$A$86:$A$100,$B83,[2]APCO_2831001!$L$86:$L$100)*-1</f>
        <v>0</v>
      </c>
      <c r="O83" s="610">
        <f>SUMIF([2]APCO_2831001!$A$3:$A$33,$B83,[2]APCO_2831001!$L$3:$L$33)*-1</f>
        <v>0</v>
      </c>
      <c r="P83" s="522"/>
      <c r="Q83" s="529">
        <v>1197494.72</v>
      </c>
      <c r="R83" s="529">
        <v>0</v>
      </c>
      <c r="S83" s="529">
        <v>0</v>
      </c>
    </row>
    <row r="84" spans="1:19">
      <c r="A84" s="525">
        <f t="shared" ref="A84:A147" si="20">A83+1</f>
        <v>66</v>
      </c>
      <c r="B84" s="182" t="s">
        <v>22</v>
      </c>
      <c r="C84" s="522">
        <f t="shared" si="18"/>
        <v>4905103.09</v>
      </c>
      <c r="D84" s="522">
        <f t="shared" si="16"/>
        <v>3429486.1199999996</v>
      </c>
      <c r="E84" s="522"/>
      <c r="F84" s="522"/>
      <c r="G84" s="522">
        <f t="shared" si="17"/>
        <v>4167295</v>
      </c>
      <c r="H84" s="522"/>
      <c r="I84" s="522">
        <f t="shared" si="19"/>
        <v>-676686.94000000006</v>
      </c>
      <c r="J84" s="522">
        <f t="shared" si="19"/>
        <v>1410025.085</v>
      </c>
      <c r="K84" s="522">
        <f t="shared" si="19"/>
        <v>3433956.46</v>
      </c>
      <c r="L84" s="522"/>
      <c r="M84" s="529">
        <f>SUMIF([2]APCO_2831001!$A$34:$A$85,$B84,[2]APCO_2831001!$L$34:$L$85)*-1</f>
        <v>42402.7</v>
      </c>
      <c r="N84" s="529">
        <f>SUMIF([2]APCO_2831001!$A$86:$A$100,$B84,[2]APCO_2831001!$L$86:$L$100)*-1</f>
        <v>1381485.23</v>
      </c>
      <c r="O84" s="529">
        <f>SUMIF([2]APCO_2831001!$A$3:$A$33,$B84,[2]APCO_2831001!$L$3:$L$33)*-1</f>
        <v>3481215.16</v>
      </c>
      <c r="P84" s="522"/>
      <c r="Q84" s="529">
        <v>-1395776.58</v>
      </c>
      <c r="R84" s="529">
        <v>1438564.94</v>
      </c>
      <c r="S84" s="529">
        <v>3386697.76</v>
      </c>
    </row>
    <row r="85" spans="1:19">
      <c r="A85" s="525">
        <f t="shared" si="20"/>
        <v>67</v>
      </c>
      <c r="B85" s="434" t="s">
        <v>974</v>
      </c>
      <c r="C85" s="522">
        <f t="shared" si="18"/>
        <v>1897034</v>
      </c>
      <c r="D85" s="522">
        <f t="shared" si="16"/>
        <v>1897034</v>
      </c>
      <c r="E85" s="522"/>
      <c r="F85" s="522"/>
      <c r="G85" s="522">
        <f>ROUND(SUM(C85:F85)/2,0)</f>
        <v>1897034</v>
      </c>
      <c r="H85" s="522"/>
      <c r="I85" s="522">
        <f t="shared" si="19"/>
        <v>1897034</v>
      </c>
      <c r="J85" s="522">
        <f t="shared" si="19"/>
        <v>0</v>
      </c>
      <c r="K85" s="522">
        <f t="shared" si="19"/>
        <v>0</v>
      </c>
      <c r="L85" s="522"/>
      <c r="M85" s="529">
        <f>SUMIF([2]APCO_2831001!$A$34:$A$85,$B85,[2]APCO_2831001!$L$34:$L$85)*-1</f>
        <v>1897034</v>
      </c>
      <c r="N85" s="529">
        <f>SUMIF([2]APCO_2831001!$A$86:$A$100,$B85,[2]APCO_2831001!$L$86:$L$100)*-1</f>
        <v>0</v>
      </c>
      <c r="O85" s="529">
        <f>SUMIF([2]APCO_2831001!$A$3:$A$33,$B85,[2]APCO_2831001!$L$3:$L$33)*-1</f>
        <v>0</v>
      </c>
      <c r="P85" s="522"/>
      <c r="Q85" s="529">
        <v>1897034</v>
      </c>
      <c r="R85" s="529">
        <v>0</v>
      </c>
      <c r="S85" s="529">
        <v>0</v>
      </c>
    </row>
    <row r="86" spans="1:19">
      <c r="A86" s="525">
        <f t="shared" si="20"/>
        <v>68</v>
      </c>
      <c r="B86" s="434" t="s">
        <v>975</v>
      </c>
      <c r="C86" s="522">
        <f t="shared" si="18"/>
        <v>116187034.25</v>
      </c>
      <c r="D86" s="522">
        <f t="shared" si="16"/>
        <v>124038346.25</v>
      </c>
      <c r="E86" s="522"/>
      <c r="F86" s="522"/>
      <c r="G86" s="522">
        <f>ROUND(SUM(C86:F86)/2,0)</f>
        <v>120112690</v>
      </c>
      <c r="H86" s="522"/>
      <c r="I86" s="522">
        <f t="shared" si="19"/>
        <v>120112690.25</v>
      </c>
      <c r="J86" s="522">
        <f t="shared" si="19"/>
        <v>0</v>
      </c>
      <c r="K86" s="522">
        <f t="shared" si="19"/>
        <v>0</v>
      </c>
      <c r="L86" s="522"/>
      <c r="M86" s="529">
        <f>SUMIF([2]APCO_2831001!$A$34:$A$85,$B86,[2]APCO_2831001!$L$34:$L$85)*-1</f>
        <v>116187034.25</v>
      </c>
      <c r="N86" s="529">
        <f>SUMIF([2]APCO_2831001!$A$86:$A$100,$B86,[2]APCO_2831001!$L$86:$L$100)*-1</f>
        <v>0</v>
      </c>
      <c r="O86" s="529">
        <f>SUMIF([2]APCO_2831001!$A$3:$A$33,$B86,[2]APCO_2831001!$L$3:$L$33)*-1</f>
        <v>0</v>
      </c>
      <c r="P86" s="522"/>
      <c r="Q86" s="529">
        <v>124038346.25</v>
      </c>
      <c r="R86" s="529">
        <v>0</v>
      </c>
      <c r="S86" s="529">
        <v>0</v>
      </c>
    </row>
    <row r="87" spans="1:19">
      <c r="A87" s="525">
        <f t="shared" si="20"/>
        <v>69</v>
      </c>
      <c r="B87" s="182" t="s">
        <v>78</v>
      </c>
      <c r="C87" s="522">
        <f t="shared" si="18"/>
        <v>4563746.5999999996</v>
      </c>
      <c r="D87" s="522">
        <f t="shared" si="16"/>
        <v>9339119.6500000004</v>
      </c>
      <c r="E87" s="522"/>
      <c r="F87" s="522"/>
      <c r="G87" s="522">
        <f t="shared" si="17"/>
        <v>6951433</v>
      </c>
      <c r="H87" s="522"/>
      <c r="I87" s="522">
        <f t="shared" si="19"/>
        <v>6951433.125</v>
      </c>
      <c r="J87" s="522">
        <f t="shared" si="19"/>
        <v>0</v>
      </c>
      <c r="K87" s="522">
        <f t="shared" si="19"/>
        <v>0</v>
      </c>
      <c r="L87" s="522"/>
      <c r="M87" s="529">
        <f>SUMIF([2]APCO_2831001!$A$34:$A$85,$B87,[2]APCO_2831001!$L$34:$L$85)*-1</f>
        <v>4563746.5999999996</v>
      </c>
      <c r="N87" s="529">
        <f>SUMIF([2]APCO_2831001!$A$86:$A$100,$B87,[2]APCO_2831001!$L$86:$L$100)*-1</f>
        <v>0</v>
      </c>
      <c r="O87" s="529">
        <f>SUMIF([2]APCO_2831001!$A$3:$A$33,$B87,[2]APCO_2831001!$L$3:$L$33)*-1</f>
        <v>0</v>
      </c>
      <c r="P87" s="522"/>
      <c r="Q87" s="529">
        <v>9339119.6500000004</v>
      </c>
      <c r="R87" s="529">
        <v>0</v>
      </c>
      <c r="S87" s="529">
        <v>0</v>
      </c>
    </row>
    <row r="88" spans="1:19">
      <c r="A88" s="525">
        <f t="shared" si="20"/>
        <v>70</v>
      </c>
      <c r="B88" s="182" t="s">
        <v>1031</v>
      </c>
      <c r="C88" s="522">
        <f t="shared" si="18"/>
        <v>-679995.75</v>
      </c>
      <c r="D88" s="522">
        <f t="shared" si="16"/>
        <v>-679996.1</v>
      </c>
      <c r="E88" s="522"/>
      <c r="F88" s="522"/>
      <c r="G88" s="522">
        <f t="shared" si="17"/>
        <v>-679996</v>
      </c>
      <c r="H88" s="522"/>
      <c r="I88" s="522">
        <f t="shared" si="19"/>
        <v>-679995.92500000005</v>
      </c>
      <c r="J88" s="522">
        <f t="shared" si="19"/>
        <v>0</v>
      </c>
      <c r="K88" s="522">
        <f t="shared" si="19"/>
        <v>0</v>
      </c>
      <c r="L88" s="522"/>
      <c r="M88" s="529">
        <f>SUMIF([2]APCO_2831001!$A$34:$A$85,$B88,[2]APCO_2831001!$L$34:$L$85)*-1</f>
        <v>-679995.75</v>
      </c>
      <c r="N88" s="529">
        <f>SUMIF([2]APCO_2831001!$A$86:$A$100,$B88,[2]APCO_2831001!$L$86:$L$100)*-1</f>
        <v>0</v>
      </c>
      <c r="O88" s="529">
        <f>SUMIF([2]APCO_2831001!$A$3:$A$33,$B88,[2]APCO_2831001!$L$3:$L$33)*-1</f>
        <v>0</v>
      </c>
      <c r="P88" s="522"/>
      <c r="Q88" s="529">
        <v>-679996.1</v>
      </c>
      <c r="R88" s="529">
        <v>0</v>
      </c>
      <c r="S88" s="529">
        <v>0</v>
      </c>
    </row>
    <row r="89" spans="1:19">
      <c r="A89" s="525">
        <f t="shared" si="20"/>
        <v>71</v>
      </c>
      <c r="B89" s="604" t="s">
        <v>625</v>
      </c>
      <c r="C89" s="605">
        <f t="shared" si="18"/>
        <v>50971749.390000001</v>
      </c>
      <c r="D89" s="605">
        <f t="shared" si="16"/>
        <v>52744465.390000001</v>
      </c>
      <c r="E89" s="605"/>
      <c r="F89" s="605"/>
      <c r="G89" s="605">
        <f t="shared" si="17"/>
        <v>51858107</v>
      </c>
      <c r="H89" s="605"/>
      <c r="I89" s="605">
        <f t="shared" si="19"/>
        <v>21570344.030000001</v>
      </c>
      <c r="J89" s="605">
        <f t="shared" si="19"/>
        <v>2317230.8449999997</v>
      </c>
      <c r="K89" s="605">
        <f t="shared" si="19"/>
        <v>27970532.515000001</v>
      </c>
      <c r="L89" s="605"/>
      <c r="M89" s="605">
        <f>SUMIF([2]APCO_2831001!$A$34:$A$85,$B89,[2]APCO_2831001!$L$34:$L$85)*-1</f>
        <v>21314894.190000001</v>
      </c>
      <c r="N89" s="605">
        <f>SUMIF([2]APCO_2831001!$A$86:$A$100,$B89,[2]APCO_2831001!$L$86:$L$100)*-1</f>
        <v>2192250.0699999998</v>
      </c>
      <c r="O89" s="605">
        <f>SUMIF([2]APCO_2831001!$A$3:$A$33,$B89,[2]APCO_2831001!$L$3:$L$33)*-1</f>
        <v>27464605.129999999</v>
      </c>
      <c r="P89" s="522"/>
      <c r="Q89" s="529">
        <v>21825793.870000001</v>
      </c>
      <c r="R89" s="529">
        <v>2442211.62</v>
      </c>
      <c r="S89" s="529">
        <v>28476459.899999999</v>
      </c>
    </row>
    <row r="90" spans="1:19">
      <c r="A90" s="525">
        <f t="shared" si="20"/>
        <v>72</v>
      </c>
      <c r="B90" s="604" t="s">
        <v>23</v>
      </c>
      <c r="C90" s="605">
        <f t="shared" si="18"/>
        <v>-76188362.949999988</v>
      </c>
      <c r="D90" s="605">
        <f t="shared" si="16"/>
        <v>-81290352.5</v>
      </c>
      <c r="E90" s="605"/>
      <c r="F90" s="605"/>
      <c r="G90" s="605">
        <f t="shared" si="17"/>
        <v>-78739358</v>
      </c>
      <c r="H90" s="605"/>
      <c r="I90" s="605">
        <f t="shared" si="19"/>
        <v>-29595261.149999999</v>
      </c>
      <c r="J90" s="605">
        <f t="shared" si="19"/>
        <v>-6096848.2750000004</v>
      </c>
      <c r="K90" s="605">
        <f t="shared" si="19"/>
        <v>-43047248.299999997</v>
      </c>
      <c r="L90" s="605"/>
      <c r="M90" s="605">
        <f>SUMIF([2]APCO_2831001!$A$34:$A$85,$B90,[2]APCO_2831001!$L$34:$L$85)*-1</f>
        <v>-28168288.75</v>
      </c>
      <c r="N90" s="605">
        <f>SUMIF([2]APCO_2831001!$A$86:$A$100,$B90,[2]APCO_2831001!$L$86:$L$100)*-1</f>
        <v>-6113437.0499999998</v>
      </c>
      <c r="O90" s="605">
        <f>SUMIF([2]APCO_2831001!$A$3:$A$33,$B90,[2]APCO_2831001!$L$3:$L$33)*-1</f>
        <v>-41906637.149999999</v>
      </c>
      <c r="P90" s="522"/>
      <c r="Q90" s="529">
        <v>-31022233.550000001</v>
      </c>
      <c r="R90" s="529">
        <v>-6080259.5</v>
      </c>
      <c r="S90" s="529">
        <v>-44187859.450000003</v>
      </c>
    </row>
    <row r="91" spans="1:19">
      <c r="A91" s="525">
        <f t="shared" si="20"/>
        <v>73</v>
      </c>
      <c r="B91" s="182" t="s">
        <v>1032</v>
      </c>
      <c r="C91" s="522">
        <f t="shared" si="18"/>
        <v>571241.53</v>
      </c>
      <c r="D91" s="522">
        <f t="shared" si="16"/>
        <v>688611.12</v>
      </c>
      <c r="E91" s="522"/>
      <c r="F91" s="522"/>
      <c r="G91" s="522">
        <f t="shared" si="17"/>
        <v>629926</v>
      </c>
      <c r="H91" s="522"/>
      <c r="I91" s="522">
        <f t="shared" si="19"/>
        <v>0</v>
      </c>
      <c r="J91" s="522">
        <f t="shared" si="19"/>
        <v>629926.32499999995</v>
      </c>
      <c r="K91" s="522">
        <f t="shared" si="19"/>
        <v>0</v>
      </c>
      <c r="L91" s="522"/>
      <c r="M91" s="529">
        <f>SUMIF([2]APCO_2831001!$A$34:$A$85,$B91,[2]APCO_2831001!$L$34:$L$85)*-1</f>
        <v>0</v>
      </c>
      <c r="N91" s="529">
        <f>SUMIF([2]APCO_2831001!$A$86:$A$100,$B91,[2]APCO_2831001!$L$86:$L$100)*-1</f>
        <v>571241.53</v>
      </c>
      <c r="O91" s="529">
        <f>SUMIF([2]APCO_2831001!$A$3:$A$33,$B91,[2]APCO_2831001!$L$3:$L$33)*-1</f>
        <v>0</v>
      </c>
      <c r="P91" s="522"/>
      <c r="Q91" s="529">
        <v>0</v>
      </c>
      <c r="R91" s="529">
        <v>688611.12</v>
      </c>
      <c r="S91" s="529">
        <v>0</v>
      </c>
    </row>
    <row r="92" spans="1:19">
      <c r="A92" s="525">
        <f t="shared" si="20"/>
        <v>74</v>
      </c>
      <c r="B92" s="182" t="s">
        <v>1033</v>
      </c>
      <c r="C92" s="522">
        <f t="shared" si="18"/>
        <v>33567.800000000003</v>
      </c>
      <c r="D92" s="522">
        <f t="shared" si="16"/>
        <v>1132243</v>
      </c>
      <c r="E92" s="522"/>
      <c r="F92" s="522"/>
      <c r="G92" s="522">
        <f t="shared" si="17"/>
        <v>582905</v>
      </c>
      <c r="H92" s="522"/>
      <c r="I92" s="522">
        <f t="shared" si="19"/>
        <v>582905.4</v>
      </c>
      <c r="J92" s="522">
        <f t="shared" si="19"/>
        <v>0</v>
      </c>
      <c r="K92" s="522">
        <f t="shared" si="19"/>
        <v>0</v>
      </c>
      <c r="L92" s="522"/>
      <c r="M92" s="529">
        <f>SUMIF([2]APCO_2831001!$A$34:$A$85,$B92,[2]APCO_2831001!$L$34:$L$85)*-1</f>
        <v>33567.800000000003</v>
      </c>
      <c r="N92" s="529">
        <f>SUMIF([2]APCO_2831001!$A$86:$A$100,$B92,[2]APCO_2831001!$L$86:$L$100)*-1</f>
        <v>0</v>
      </c>
      <c r="O92" s="529">
        <f>SUMIF([2]APCO_2831001!$A$3:$A$33,$B92,[2]APCO_2831001!$L$3:$L$33)*-1</f>
        <v>0</v>
      </c>
      <c r="P92" s="522"/>
      <c r="Q92" s="529">
        <v>1132243</v>
      </c>
      <c r="R92" s="529">
        <v>0</v>
      </c>
      <c r="S92" s="529">
        <v>0</v>
      </c>
    </row>
    <row r="93" spans="1:19">
      <c r="A93" s="525">
        <f t="shared" si="20"/>
        <v>75</v>
      </c>
      <c r="B93" s="182" t="s">
        <v>24</v>
      </c>
      <c r="C93" s="522">
        <f t="shared" si="18"/>
        <v>45312.05</v>
      </c>
      <c r="D93" s="522">
        <f t="shared" si="16"/>
        <v>45312.05</v>
      </c>
      <c r="E93" s="522"/>
      <c r="F93" s="522"/>
      <c r="G93" s="522">
        <f t="shared" si="17"/>
        <v>45312</v>
      </c>
      <c r="H93" s="522"/>
      <c r="I93" s="522">
        <f t="shared" si="19"/>
        <v>0</v>
      </c>
      <c r="J93" s="522">
        <f t="shared" si="19"/>
        <v>18841.900000000001</v>
      </c>
      <c r="K93" s="522">
        <f t="shared" si="19"/>
        <v>26470.15</v>
      </c>
      <c r="L93" s="522"/>
      <c r="M93" s="529">
        <f>SUMIF([2]APCO_2831001!$A$34:$A$85,$B93,[2]APCO_2831001!$L$34:$L$85)*-1</f>
        <v>0</v>
      </c>
      <c r="N93" s="529">
        <f>SUMIF([2]APCO_2831001!$A$86:$A$100,$B93,[2]APCO_2831001!$L$86:$L$100)*-1</f>
        <v>18841.900000000001</v>
      </c>
      <c r="O93" s="529">
        <f>SUMIF([2]APCO_2831001!$A$3:$A$33,$B93,[2]APCO_2831001!$L$3:$L$33)*-1</f>
        <v>26470.15</v>
      </c>
      <c r="P93" s="522"/>
      <c r="Q93" s="529">
        <v>0</v>
      </c>
      <c r="R93" s="529">
        <v>18841.900000000001</v>
      </c>
      <c r="S93" s="529">
        <v>26470.15</v>
      </c>
    </row>
    <row r="94" spans="1:19">
      <c r="A94" s="525">
        <f t="shared" si="20"/>
        <v>76</v>
      </c>
      <c r="B94" s="182" t="s">
        <v>25</v>
      </c>
      <c r="C94" s="522">
        <f t="shared" si="18"/>
        <v>-15741.95</v>
      </c>
      <c r="D94" s="522">
        <f t="shared" si="16"/>
        <v>-15741.95</v>
      </c>
      <c r="E94" s="522"/>
      <c r="F94" s="522"/>
      <c r="G94" s="522">
        <f t="shared" si="17"/>
        <v>-15742</v>
      </c>
      <c r="H94" s="522"/>
      <c r="I94" s="522">
        <f t="shared" si="19"/>
        <v>0</v>
      </c>
      <c r="J94" s="522">
        <f t="shared" si="19"/>
        <v>-11175.15</v>
      </c>
      <c r="K94" s="522">
        <f t="shared" si="19"/>
        <v>-4566.8</v>
      </c>
      <c r="L94" s="522"/>
      <c r="M94" s="529">
        <f>SUMIF([2]APCO_2831001!$A$34:$A$85,$B94,[2]APCO_2831001!$L$34:$L$85)*-1</f>
        <v>0</v>
      </c>
      <c r="N94" s="529">
        <f>SUMIF([2]APCO_2831001!$A$86:$A$100,$B94,[2]APCO_2831001!$L$86:$L$100)*-1</f>
        <v>-11175.15</v>
      </c>
      <c r="O94" s="529">
        <f>SUMIF([2]APCO_2831001!$A$3:$A$33,$B94,[2]APCO_2831001!$L$3:$L$33)*-1</f>
        <v>-4566.8</v>
      </c>
      <c r="P94" s="522"/>
      <c r="Q94" s="529">
        <v>0</v>
      </c>
      <c r="R94" s="529">
        <v>-11175.15</v>
      </c>
      <c r="S94" s="529">
        <v>-4566.8</v>
      </c>
    </row>
    <row r="95" spans="1:19">
      <c r="A95" s="525">
        <f t="shared" si="20"/>
        <v>77</v>
      </c>
      <c r="B95" s="182" t="s">
        <v>1034</v>
      </c>
      <c r="C95" s="522">
        <f t="shared" si="18"/>
        <v>340471.61</v>
      </c>
      <c r="D95" s="522">
        <f t="shared" si="16"/>
        <v>373854.37</v>
      </c>
      <c r="E95" s="522"/>
      <c r="F95" s="522"/>
      <c r="G95" s="522">
        <f t="shared" si="17"/>
        <v>357163</v>
      </c>
      <c r="H95" s="522"/>
      <c r="I95" s="522">
        <f t="shared" si="19"/>
        <v>357162.99</v>
      </c>
      <c r="J95" s="522">
        <f t="shared" si="19"/>
        <v>0</v>
      </c>
      <c r="K95" s="522">
        <f t="shared" si="19"/>
        <v>0</v>
      </c>
      <c r="L95" s="522"/>
      <c r="M95" s="529">
        <f>SUMIF([2]APCO_2831001!$A$34:$A$85,$B95,[2]APCO_2831001!$L$34:$L$85)*-1</f>
        <v>340471.61</v>
      </c>
      <c r="N95" s="529">
        <f>SUMIF([2]APCO_2831001!$A$86:$A$100,$B95,[2]APCO_2831001!$L$86:$L$100)*-1</f>
        <v>0</v>
      </c>
      <c r="O95" s="529">
        <f>SUMIF([2]APCO_2831001!$A$3:$A$33,$B95,[2]APCO_2831001!$L$3:$L$33)*-1</f>
        <v>0</v>
      </c>
      <c r="P95" s="522"/>
      <c r="Q95" s="529">
        <v>373854.37</v>
      </c>
      <c r="R95" s="529">
        <v>0</v>
      </c>
      <c r="S95" s="529">
        <v>0</v>
      </c>
    </row>
    <row r="96" spans="1:19">
      <c r="A96" s="525">
        <f t="shared" si="20"/>
        <v>78</v>
      </c>
      <c r="B96" s="182" t="s">
        <v>26</v>
      </c>
      <c r="C96" s="522">
        <f t="shared" si="18"/>
        <v>25281917.199999999</v>
      </c>
      <c r="D96" s="522">
        <f t="shared" si="16"/>
        <v>30330089.989999998</v>
      </c>
      <c r="E96" s="522"/>
      <c r="F96" s="522"/>
      <c r="G96" s="522">
        <f t="shared" si="17"/>
        <v>27806004</v>
      </c>
      <c r="H96" s="522"/>
      <c r="I96" s="522">
        <f t="shared" si="19"/>
        <v>0</v>
      </c>
      <c r="J96" s="522">
        <f t="shared" si="19"/>
        <v>0</v>
      </c>
      <c r="K96" s="522">
        <f t="shared" si="19"/>
        <v>27806003.594999999</v>
      </c>
      <c r="L96" s="522"/>
      <c r="M96" s="529">
        <f>SUMIF([2]APCO_2831001!$A$34:$A$85,$B96,[2]APCO_2831001!$L$34:$L$85)*-1</f>
        <v>0</v>
      </c>
      <c r="N96" s="529">
        <f>SUMIF([2]APCO_2831001!$A$86:$A$100,$B96,[2]APCO_2831001!$L$86:$L$100)*-1</f>
        <v>0</v>
      </c>
      <c r="O96" s="529">
        <f>SUMIF([2]APCO_2831001!$A$3:$A$33,$B96,[2]APCO_2831001!$L$3:$L$33)*-1</f>
        <v>25281917.199999999</v>
      </c>
      <c r="P96" s="522"/>
      <c r="Q96" s="529">
        <v>0</v>
      </c>
      <c r="R96" s="529">
        <v>0</v>
      </c>
      <c r="S96" s="529">
        <v>30330089.989999998</v>
      </c>
    </row>
    <row r="97" spans="1:19">
      <c r="A97" s="525">
        <f t="shared" si="20"/>
        <v>79</v>
      </c>
      <c r="B97" s="182" t="s">
        <v>1035</v>
      </c>
      <c r="C97" s="522">
        <f t="shared" si="18"/>
        <v>0</v>
      </c>
      <c r="D97" s="522">
        <f t="shared" si="16"/>
        <v>0.04</v>
      </c>
      <c r="E97" s="522"/>
      <c r="F97" s="522"/>
      <c r="G97" s="522">
        <f t="shared" si="17"/>
        <v>0</v>
      </c>
      <c r="H97" s="522"/>
      <c r="I97" s="522">
        <f t="shared" si="19"/>
        <v>0</v>
      </c>
      <c r="J97" s="522">
        <f t="shared" si="19"/>
        <v>0</v>
      </c>
      <c r="K97" s="522">
        <f t="shared" si="19"/>
        <v>0.02</v>
      </c>
      <c r="L97" s="522"/>
      <c r="M97" s="529">
        <f>SUMIF([2]APCO_2831001!$A$34:$A$85,$B97,[2]APCO_2831001!$L$34:$L$85)*-1</f>
        <v>0</v>
      </c>
      <c r="N97" s="529">
        <f>SUMIF([2]APCO_2831001!$A$86:$A$100,$B97,[2]APCO_2831001!$L$86:$L$100)*-1</f>
        <v>0</v>
      </c>
      <c r="O97" s="529">
        <f>SUMIF([2]APCO_2831001!$A$3:$A$33,$B97,[2]APCO_2831001!$L$3:$L$33)*-1</f>
        <v>0</v>
      </c>
      <c r="P97" s="522"/>
      <c r="Q97" s="529">
        <v>0</v>
      </c>
      <c r="R97" s="529">
        <v>0</v>
      </c>
      <c r="S97" s="529">
        <v>0.04</v>
      </c>
    </row>
    <row r="98" spans="1:19">
      <c r="A98" s="525">
        <f t="shared" si="20"/>
        <v>80</v>
      </c>
      <c r="B98" s="182" t="s">
        <v>1036</v>
      </c>
      <c r="C98" s="522">
        <f t="shared" si="18"/>
        <v>1245298.18</v>
      </c>
      <c r="D98" s="522">
        <f t="shared" si="16"/>
        <v>314054.3</v>
      </c>
      <c r="E98" s="522"/>
      <c r="F98" s="522"/>
      <c r="G98" s="522">
        <f t="shared" si="17"/>
        <v>779676</v>
      </c>
      <c r="H98" s="522"/>
      <c r="I98" s="522">
        <f t="shared" si="19"/>
        <v>0</v>
      </c>
      <c r="J98" s="522">
        <f t="shared" si="19"/>
        <v>0</v>
      </c>
      <c r="K98" s="522">
        <f t="shared" si="19"/>
        <v>779676.24</v>
      </c>
      <c r="L98" s="522"/>
      <c r="M98" s="529">
        <f>SUMIF([2]APCO_2831001!$A$34:$A$85,$B98,[2]APCO_2831001!$L$34:$L$85)*-1</f>
        <v>0</v>
      </c>
      <c r="N98" s="529">
        <f>SUMIF([2]APCO_2831001!$A$86:$A$100,$B98,[2]APCO_2831001!$L$86:$L$100)*-1</f>
        <v>0</v>
      </c>
      <c r="O98" s="529">
        <f>SUMIF([2]APCO_2831001!$A$3:$A$33,$B98,[2]APCO_2831001!$L$3:$L$33)*-1</f>
        <v>1245298.18</v>
      </c>
      <c r="P98" s="522"/>
      <c r="Q98" s="529">
        <v>0</v>
      </c>
      <c r="R98" s="529">
        <v>0</v>
      </c>
      <c r="S98" s="529">
        <v>314054.3</v>
      </c>
    </row>
    <row r="99" spans="1:19">
      <c r="A99" s="525">
        <f t="shared" si="20"/>
        <v>81</v>
      </c>
      <c r="B99" s="609" t="s">
        <v>976</v>
      </c>
      <c r="C99" s="609">
        <f t="shared" si="18"/>
        <v>154926</v>
      </c>
      <c r="D99" s="609">
        <f t="shared" si="16"/>
        <v>154926</v>
      </c>
      <c r="E99" s="609"/>
      <c r="F99" s="609"/>
      <c r="G99" s="609">
        <f t="shared" si="17"/>
        <v>154926</v>
      </c>
      <c r="H99" s="609"/>
      <c r="I99" s="609">
        <f t="shared" si="19"/>
        <v>154926</v>
      </c>
      <c r="J99" s="609">
        <f t="shared" si="19"/>
        <v>0</v>
      </c>
      <c r="K99" s="609">
        <f t="shared" si="19"/>
        <v>0</v>
      </c>
      <c r="L99" s="609"/>
      <c r="M99" s="609">
        <f>SUMIF([2]APCO_2831001!$A$34:$A$85,$B99,[2]APCO_2831001!$L$34:$L$85)*-1</f>
        <v>154926</v>
      </c>
      <c r="N99" s="609">
        <f>SUMIF([2]APCO_2831001!$A$86:$A$100,$B99,[2]APCO_2831001!$L$86:$L$100)*-1</f>
        <v>0</v>
      </c>
      <c r="O99" s="609">
        <f>SUMIF([2]APCO_2831001!$A$3:$A$33,$B99,[2]APCO_2831001!$L$3:$L$33)*-1</f>
        <v>0</v>
      </c>
      <c r="P99" s="522"/>
      <c r="Q99" s="529">
        <v>154926</v>
      </c>
      <c r="R99" s="529">
        <v>0</v>
      </c>
      <c r="S99" s="529">
        <v>0</v>
      </c>
    </row>
    <row r="100" spans="1:19">
      <c r="A100" s="525">
        <f t="shared" si="20"/>
        <v>82</v>
      </c>
      <c r="B100" s="609" t="s">
        <v>1037</v>
      </c>
      <c r="C100" s="609">
        <f t="shared" si="18"/>
        <v>9007271.6500000004</v>
      </c>
      <c r="D100" s="609">
        <f t="shared" si="16"/>
        <v>9195549.25</v>
      </c>
      <c r="E100" s="609"/>
      <c r="F100" s="609"/>
      <c r="G100" s="609">
        <f>ROUND(SUM(C100:F100)/2,0)</f>
        <v>9101410</v>
      </c>
      <c r="H100" s="609"/>
      <c r="I100" s="609">
        <f t="shared" si="19"/>
        <v>9101410.4499999993</v>
      </c>
      <c r="J100" s="609">
        <f t="shared" si="19"/>
        <v>0</v>
      </c>
      <c r="K100" s="609">
        <f t="shared" si="19"/>
        <v>0</v>
      </c>
      <c r="L100" s="609"/>
      <c r="M100" s="609">
        <f>SUMIF([2]APCO_2831001!$A$34:$A$85,$B100,[2]APCO_2831001!$L$34:$L$85)*-1</f>
        <v>9007271.6500000004</v>
      </c>
      <c r="N100" s="609">
        <f>SUMIF([2]APCO_2831001!$A$86:$A$100,$B100,[2]APCO_2831001!$L$86:$L$100)*-1</f>
        <v>0</v>
      </c>
      <c r="O100" s="609">
        <f>SUMIF([2]APCO_2831001!$A$3:$A$33,$B100,[2]APCO_2831001!$L$3:$L$33)*-1</f>
        <v>0</v>
      </c>
      <c r="P100" s="522"/>
      <c r="Q100" s="529">
        <v>9195549.25</v>
      </c>
      <c r="R100" s="529">
        <v>0</v>
      </c>
      <c r="S100" s="529">
        <v>0</v>
      </c>
    </row>
    <row r="101" spans="1:19">
      <c r="A101" s="525">
        <f t="shared" si="20"/>
        <v>83</v>
      </c>
      <c r="B101" s="609" t="s">
        <v>1038</v>
      </c>
      <c r="C101" s="609">
        <f t="shared" si="18"/>
        <v>-375757.85</v>
      </c>
      <c r="D101" s="609">
        <f t="shared" si="16"/>
        <v>-375757.85</v>
      </c>
      <c r="E101" s="609"/>
      <c r="F101" s="609"/>
      <c r="G101" s="609">
        <f t="shared" si="17"/>
        <v>-375758</v>
      </c>
      <c r="H101" s="609"/>
      <c r="I101" s="609">
        <f t="shared" si="19"/>
        <v>-375757.85</v>
      </c>
      <c r="J101" s="609">
        <f t="shared" si="19"/>
        <v>0</v>
      </c>
      <c r="K101" s="609">
        <f t="shared" si="19"/>
        <v>0</v>
      </c>
      <c r="L101" s="609"/>
      <c r="M101" s="609">
        <f>SUMIF([2]APCO_2831001!$A$34:$A$85,$B101,[2]APCO_2831001!$L$34:$L$85)*-1</f>
        <v>-375757.85</v>
      </c>
      <c r="N101" s="609">
        <f>SUMIF([2]APCO_2831001!$A$86:$A$100,$B101,[2]APCO_2831001!$L$86:$L$100)*-1</f>
        <v>0</v>
      </c>
      <c r="O101" s="609">
        <f>SUMIF([2]APCO_2831001!$A$3:$A$33,$B101,[2]APCO_2831001!$L$3:$L$33)*-1</f>
        <v>0</v>
      </c>
      <c r="P101" s="522"/>
      <c r="Q101" s="529">
        <v>-375757.85</v>
      </c>
      <c r="R101" s="529">
        <v>0</v>
      </c>
      <c r="S101" s="529">
        <v>0</v>
      </c>
    </row>
    <row r="102" spans="1:19">
      <c r="A102" s="525">
        <f t="shared" si="20"/>
        <v>84</v>
      </c>
      <c r="B102" s="182" t="s">
        <v>79</v>
      </c>
      <c r="C102" s="522">
        <f t="shared" si="18"/>
        <v>-11907.75</v>
      </c>
      <c r="D102" s="522">
        <f t="shared" si="16"/>
        <v>-11907.75</v>
      </c>
      <c r="E102" s="522"/>
      <c r="F102" s="522"/>
      <c r="G102" s="522">
        <f t="shared" si="17"/>
        <v>-11908</v>
      </c>
      <c r="H102" s="522"/>
      <c r="I102" s="522">
        <f t="shared" si="19"/>
        <v>-11907.75</v>
      </c>
      <c r="J102" s="522">
        <f t="shared" si="19"/>
        <v>0</v>
      </c>
      <c r="K102" s="522">
        <f t="shared" si="19"/>
        <v>0</v>
      </c>
      <c r="L102" s="522"/>
      <c r="M102" s="529">
        <f>SUMIF([2]APCO_2831001!$A$34:$A$85,$B102,[2]APCO_2831001!$L$34:$L$85)*-1</f>
        <v>-11907.75</v>
      </c>
      <c r="N102" s="529">
        <f>SUMIF([2]APCO_2831001!$A$86:$A$100,$B102,[2]APCO_2831001!$L$86:$L$100)*-1</f>
        <v>0</v>
      </c>
      <c r="O102" s="529">
        <f>SUMIF([2]APCO_2831001!$A$3:$A$33,$B102,[2]APCO_2831001!$L$3:$L$33)*-1</f>
        <v>0</v>
      </c>
      <c r="P102" s="522"/>
      <c r="Q102" s="529">
        <v>-11907.75</v>
      </c>
      <c r="R102" s="529">
        <v>0</v>
      </c>
      <c r="S102" s="529">
        <v>0</v>
      </c>
    </row>
    <row r="103" spans="1:19">
      <c r="A103" s="525">
        <f t="shared" si="20"/>
        <v>85</v>
      </c>
      <c r="B103" s="434" t="s">
        <v>40</v>
      </c>
      <c r="C103" s="522">
        <f t="shared" si="18"/>
        <v>0</v>
      </c>
      <c r="D103" s="522">
        <f t="shared" si="16"/>
        <v>0</v>
      </c>
      <c r="E103" s="522"/>
      <c r="F103" s="522"/>
      <c r="G103" s="522">
        <f>ROUND(SUM(C103:F103)/2,0)</f>
        <v>0</v>
      </c>
      <c r="H103" s="522"/>
      <c r="I103" s="522">
        <f t="shared" si="19"/>
        <v>0</v>
      </c>
      <c r="J103" s="522">
        <f t="shared" si="19"/>
        <v>0</v>
      </c>
      <c r="K103" s="522">
        <f t="shared" si="19"/>
        <v>0</v>
      </c>
      <c r="L103" s="522"/>
      <c r="M103" s="529">
        <f>SUMIF([2]APCO_2831001!$A$34:$A$85,$B103,[2]APCO_2831001!$L$34:$L$85)*-1</f>
        <v>0</v>
      </c>
      <c r="N103" s="529">
        <f>SUMIF([2]APCO_2831001!$A$86:$A$100,$B103,[2]APCO_2831001!$L$86:$L$100)*-1</f>
        <v>0</v>
      </c>
      <c r="O103" s="529">
        <f>SUMIF([2]APCO_2831001!$A$3:$A$33,$B103,[2]APCO_2831001!$L$3:$L$33)*-1</f>
        <v>0</v>
      </c>
      <c r="P103" s="522"/>
      <c r="Q103" s="529">
        <v>0</v>
      </c>
      <c r="R103" s="529">
        <v>0</v>
      </c>
      <c r="S103" s="529">
        <v>0</v>
      </c>
    </row>
    <row r="104" spans="1:19">
      <c r="A104" s="525">
        <f t="shared" si="20"/>
        <v>86</v>
      </c>
      <c r="B104" s="182" t="s">
        <v>27</v>
      </c>
      <c r="C104" s="522">
        <f t="shared" si="18"/>
        <v>441889.74</v>
      </c>
      <c r="D104" s="522">
        <f t="shared" si="16"/>
        <v>636014.73</v>
      </c>
      <c r="E104" s="522"/>
      <c r="F104" s="522"/>
      <c r="G104" s="522">
        <f t="shared" si="17"/>
        <v>538952</v>
      </c>
      <c r="H104" s="522"/>
      <c r="I104" s="522">
        <f t="shared" si="19"/>
        <v>0</v>
      </c>
      <c r="J104" s="522">
        <f t="shared" si="19"/>
        <v>0</v>
      </c>
      <c r="K104" s="522">
        <f t="shared" si="19"/>
        <v>538952.23499999999</v>
      </c>
      <c r="L104" s="522"/>
      <c r="M104" s="529">
        <f>SUMIF([2]APCO_2831001!$A$34:$A$85,$B104,[2]APCO_2831001!$L$34:$L$85)*-1</f>
        <v>0</v>
      </c>
      <c r="N104" s="529">
        <f>SUMIF([2]APCO_2831001!$A$86:$A$100,$B104,[2]APCO_2831001!$L$86:$L$100)*-1</f>
        <v>0</v>
      </c>
      <c r="O104" s="529">
        <f>SUMIF([2]APCO_2831001!$A$3:$A$33,$B104,[2]APCO_2831001!$L$3:$L$33)*-1</f>
        <v>441889.74</v>
      </c>
      <c r="P104" s="522"/>
      <c r="Q104" s="529">
        <v>0</v>
      </c>
      <c r="R104" s="529">
        <v>0</v>
      </c>
      <c r="S104" s="529">
        <v>636014.73</v>
      </c>
    </row>
    <row r="105" spans="1:19">
      <c r="A105" s="525">
        <f t="shared" si="20"/>
        <v>87</v>
      </c>
      <c r="B105" s="182" t="s">
        <v>28</v>
      </c>
      <c r="C105" s="522">
        <f t="shared" si="18"/>
        <v>-0.97</v>
      </c>
      <c r="D105" s="522">
        <f t="shared" si="16"/>
        <v>-0.97</v>
      </c>
      <c r="E105" s="522"/>
      <c r="F105" s="522"/>
      <c r="G105" s="522">
        <f t="shared" si="17"/>
        <v>-1</v>
      </c>
      <c r="H105" s="522"/>
      <c r="I105" s="522">
        <f t="shared" si="19"/>
        <v>0</v>
      </c>
      <c r="J105" s="522">
        <f t="shared" si="19"/>
        <v>0</v>
      </c>
      <c r="K105" s="522">
        <f t="shared" si="19"/>
        <v>-0.97</v>
      </c>
      <c r="L105" s="522"/>
      <c r="M105" s="529">
        <f>SUMIF([2]APCO_2831001!$A$34:$A$85,$B105,[2]APCO_2831001!$L$34:$L$85)*-1</f>
        <v>0</v>
      </c>
      <c r="N105" s="529">
        <f>SUMIF([2]APCO_2831001!$A$86:$A$100,$B105,[2]APCO_2831001!$L$86:$L$100)*-1</f>
        <v>0</v>
      </c>
      <c r="O105" s="529">
        <f>SUMIF([2]APCO_2831001!$A$3:$A$33,$B105,[2]APCO_2831001!$L$3:$L$33)*-1</f>
        <v>-0.97</v>
      </c>
      <c r="P105" s="522"/>
      <c r="Q105" s="529">
        <v>0</v>
      </c>
      <c r="R105" s="529">
        <v>0</v>
      </c>
      <c r="S105" s="529">
        <v>-0.97</v>
      </c>
    </row>
    <row r="106" spans="1:19">
      <c r="A106" s="525">
        <f t="shared" si="20"/>
        <v>88</v>
      </c>
      <c r="B106" s="530" t="s">
        <v>1039</v>
      </c>
      <c r="C106" s="531">
        <f t="shared" si="18"/>
        <v>833810.76</v>
      </c>
      <c r="D106" s="531">
        <f t="shared" si="16"/>
        <v>1546214.05</v>
      </c>
      <c r="E106" s="531"/>
      <c r="F106" s="531"/>
      <c r="G106" s="531">
        <f t="shared" si="17"/>
        <v>1190012</v>
      </c>
      <c r="H106" s="531"/>
      <c r="I106" s="531">
        <f t="shared" si="19"/>
        <v>1190012.405</v>
      </c>
      <c r="J106" s="531">
        <f t="shared" si="19"/>
        <v>0</v>
      </c>
      <c r="K106" s="531">
        <f t="shared" si="19"/>
        <v>0</v>
      </c>
      <c r="L106" s="531"/>
      <c r="M106" s="531">
        <f>SUMIF([2]APCO_2831001!$A$34:$A$85,$B106,[2]APCO_2831001!$L$34:$L$85)*-1</f>
        <v>833810.76</v>
      </c>
      <c r="N106" s="531">
        <f>SUMIF([2]APCO_2831001!$A$86:$A$100,$B106,[2]APCO_2831001!$L$86:$L$100)*-1</f>
        <v>0</v>
      </c>
      <c r="O106" s="531">
        <f>SUMIF([2]APCO_2831001!$A$3:$A$33,$B106,[2]APCO_2831001!$L$3:$L$33)*-1</f>
        <v>0</v>
      </c>
      <c r="P106" s="522"/>
      <c r="Q106" s="529">
        <v>1546214.05</v>
      </c>
      <c r="R106" s="529">
        <v>0</v>
      </c>
      <c r="S106" s="529">
        <v>0</v>
      </c>
    </row>
    <row r="107" spans="1:19">
      <c r="A107" s="525">
        <f t="shared" si="20"/>
        <v>89</v>
      </c>
      <c r="B107" s="604" t="s">
        <v>1040</v>
      </c>
      <c r="C107" s="604">
        <f t="shared" si="18"/>
        <v>76188362.949999988</v>
      </c>
      <c r="D107" s="604">
        <f t="shared" si="16"/>
        <v>81290352.5</v>
      </c>
      <c r="E107" s="604"/>
      <c r="F107" s="604"/>
      <c r="G107" s="604">
        <f t="shared" si="17"/>
        <v>78739358</v>
      </c>
      <c r="H107" s="604"/>
      <c r="I107" s="604">
        <f t="shared" si="19"/>
        <v>29595261.149999999</v>
      </c>
      <c r="J107" s="604">
        <f t="shared" si="19"/>
        <v>6096848.2750000004</v>
      </c>
      <c r="K107" s="604">
        <f t="shared" si="19"/>
        <v>43047248.299999997</v>
      </c>
      <c r="L107" s="604"/>
      <c r="M107" s="604">
        <f>SUMIF([2]APCO_2831001!$A$34:$A$85,$B107,[2]APCO_2831001!$L$34:$L$85)*-1</f>
        <v>28168288.75</v>
      </c>
      <c r="N107" s="604">
        <f>SUMIF([2]APCO_2831001!$A$86:$A$100,$B107,[2]APCO_2831001!$L$86:$L$100)*-1</f>
        <v>6113437.0499999998</v>
      </c>
      <c r="O107" s="604">
        <f>SUMIF([2]APCO_2831001!$A$3:$A$33,$B107,[2]APCO_2831001!$L$3:$L$33)*-1</f>
        <v>41906637.149999999</v>
      </c>
      <c r="P107" s="522"/>
      <c r="Q107" s="529">
        <v>31022233.550000001</v>
      </c>
      <c r="R107" s="529">
        <v>6080259.5</v>
      </c>
      <c r="S107" s="529">
        <v>44187859.450000003</v>
      </c>
    </row>
    <row r="108" spans="1:19">
      <c r="A108" s="525">
        <f t="shared" si="20"/>
        <v>90</v>
      </c>
      <c r="B108" s="604" t="s">
        <v>1041</v>
      </c>
      <c r="C108" s="604">
        <f t="shared" si="18"/>
        <v>219608.19999999998</v>
      </c>
      <c r="D108" s="604">
        <f t="shared" si="16"/>
        <v>194948.25</v>
      </c>
      <c r="E108" s="604"/>
      <c r="F108" s="604"/>
      <c r="G108" s="604">
        <f t="shared" si="17"/>
        <v>207278</v>
      </c>
      <c r="H108" s="604"/>
      <c r="I108" s="604">
        <f t="shared" si="19"/>
        <v>-112.35</v>
      </c>
      <c r="J108" s="604">
        <f t="shared" si="19"/>
        <v>0</v>
      </c>
      <c r="K108" s="604">
        <f t="shared" si="19"/>
        <v>207390.57500000001</v>
      </c>
      <c r="L108" s="604"/>
      <c r="M108" s="604">
        <f>SUMIF([2]APCO_2831001!$A$34:$A$85,$B108,[2]APCO_2831001!$L$34:$L$85)*-1</f>
        <v>-68.95</v>
      </c>
      <c r="N108" s="604">
        <f>SUMIF([2]APCO_2831001!$A$86:$A$100,$B108,[2]APCO_2831001!$L$86:$L$100)*-1</f>
        <v>0</v>
      </c>
      <c r="O108" s="604">
        <f>SUMIF([2]APCO_2831001!$A$3:$A$33,$B108,[2]APCO_2831001!$L$3:$L$33)*-1</f>
        <v>219677.15</v>
      </c>
      <c r="P108" s="522"/>
      <c r="Q108" s="529">
        <v>-155.75</v>
      </c>
      <c r="R108" s="529">
        <v>0</v>
      </c>
      <c r="S108" s="529">
        <v>195104</v>
      </c>
    </row>
    <row r="109" spans="1:19">
      <c r="A109" s="525">
        <f t="shared" si="20"/>
        <v>91</v>
      </c>
      <c r="B109" s="604" t="s">
        <v>1042</v>
      </c>
      <c r="C109" s="604">
        <f t="shared" si="18"/>
        <v>-246151.8</v>
      </c>
      <c r="D109" s="604">
        <f t="shared" si="16"/>
        <v>-7115595.2000000002</v>
      </c>
      <c r="E109" s="604"/>
      <c r="F109" s="604"/>
      <c r="G109" s="604">
        <f t="shared" si="17"/>
        <v>-3680874</v>
      </c>
      <c r="H109" s="604"/>
      <c r="I109" s="604">
        <f t="shared" si="19"/>
        <v>-1641039.63</v>
      </c>
      <c r="J109" s="604">
        <f t="shared" si="19"/>
        <v>-131719.22999999998</v>
      </c>
      <c r="K109" s="604">
        <f t="shared" si="19"/>
        <v>-1908114.6400000001</v>
      </c>
      <c r="L109" s="604"/>
      <c r="M109" s="604">
        <f>SUMIF([2]APCO_2831001!$A$34:$A$85,$B109,[2]APCO_2831001!$L$34:$L$85)*-1</f>
        <v>-190438.76</v>
      </c>
      <c r="N109" s="604">
        <f>SUMIF([2]APCO_2831001!$A$86:$A$100,$B109,[2]APCO_2831001!$L$86:$L$100)*-1</f>
        <v>104325.7</v>
      </c>
      <c r="O109" s="604">
        <f>SUMIF([2]APCO_2831001!$A$3:$A$33,$B109,[2]APCO_2831001!$L$3:$L$33)*-1</f>
        <v>-160038.74</v>
      </c>
      <c r="P109" s="522"/>
      <c r="Q109" s="529">
        <v>-3091640.5</v>
      </c>
      <c r="R109" s="529">
        <v>-367764.16</v>
      </c>
      <c r="S109" s="529">
        <v>-3656190.54</v>
      </c>
    </row>
    <row r="110" spans="1:19">
      <c r="A110" s="525">
        <f t="shared" si="20"/>
        <v>92</v>
      </c>
      <c r="B110" s="434" t="s">
        <v>1043</v>
      </c>
      <c r="C110" s="522">
        <f t="shared" si="18"/>
        <v>26114288.02</v>
      </c>
      <c r="D110" s="522">
        <f t="shared" si="16"/>
        <v>18607280.52</v>
      </c>
      <c r="E110" s="522"/>
      <c r="F110" s="522"/>
      <c r="G110" s="522">
        <f t="shared" si="17"/>
        <v>22360784</v>
      </c>
      <c r="H110" s="522"/>
      <c r="I110" s="522">
        <f t="shared" si="19"/>
        <v>0</v>
      </c>
      <c r="J110" s="522">
        <f t="shared" si="19"/>
        <v>22360784.27</v>
      </c>
      <c r="K110" s="522">
        <f t="shared" si="19"/>
        <v>0</v>
      </c>
      <c r="L110" s="522"/>
      <c r="M110" s="529">
        <f>SUMIF([2]APCO_2831001!$A$34:$A$85,$B110,[2]APCO_2831001!$L$34:$L$85)*-1</f>
        <v>0</v>
      </c>
      <c r="N110" s="529">
        <f>SUMIF([2]APCO_2831001!$A$86:$A$100,$B110,[2]APCO_2831001!$L$86:$L$100)*-1</f>
        <v>26114288.02</v>
      </c>
      <c r="O110" s="529">
        <f>SUMIF([2]APCO_2831001!$A$3:$A$33,$B110,[2]APCO_2831001!$L$3:$L$33)*-1</f>
        <v>0</v>
      </c>
      <c r="P110" s="522"/>
      <c r="Q110" s="529">
        <v>0</v>
      </c>
      <c r="R110" s="529">
        <v>18607280.52</v>
      </c>
      <c r="S110" s="529">
        <v>0</v>
      </c>
    </row>
    <row r="111" spans="1:19">
      <c r="A111" s="525">
        <f t="shared" si="20"/>
        <v>93</v>
      </c>
      <c r="B111" s="434" t="s">
        <v>1044</v>
      </c>
      <c r="C111" s="522">
        <f t="shared" si="18"/>
        <v>-4977311.09</v>
      </c>
      <c r="D111" s="522">
        <f t="shared" si="16"/>
        <v>-4435705.0199999996</v>
      </c>
      <c r="E111" s="522"/>
      <c r="F111" s="522"/>
      <c r="G111" s="522">
        <f t="shared" si="17"/>
        <v>-4706508</v>
      </c>
      <c r="H111" s="522"/>
      <c r="I111" s="522">
        <f t="shared" si="19"/>
        <v>-4706508.0549999997</v>
      </c>
      <c r="J111" s="522">
        <f t="shared" si="19"/>
        <v>0</v>
      </c>
      <c r="K111" s="522">
        <f t="shared" si="19"/>
        <v>0</v>
      </c>
      <c r="L111" s="522"/>
      <c r="M111" s="529">
        <f>SUMIF([2]APCO_2831001!$A$34:$A$85,$B111,[2]APCO_2831001!$L$34:$L$85)*-1</f>
        <v>-4977311.09</v>
      </c>
      <c r="N111" s="529">
        <f>SUMIF([2]APCO_2831001!$A$86:$A$100,$B111,[2]APCO_2831001!$L$86:$L$100)*-1</f>
        <v>0</v>
      </c>
      <c r="O111" s="529">
        <f>SUMIF([2]APCO_2831001!$A$3:$A$33,$B111,[2]APCO_2831001!$L$3:$L$33)*-1</f>
        <v>0</v>
      </c>
      <c r="P111" s="522"/>
      <c r="Q111" s="529">
        <v>-4435705.0199999996</v>
      </c>
      <c r="R111" s="529">
        <v>0</v>
      </c>
      <c r="S111" s="529">
        <v>0</v>
      </c>
    </row>
    <row r="112" spans="1:19">
      <c r="A112" s="525">
        <f t="shared" si="20"/>
        <v>94</v>
      </c>
      <c r="B112" s="609" t="s">
        <v>1045</v>
      </c>
      <c r="C112" s="609">
        <f t="shared" si="18"/>
        <v>0</v>
      </c>
      <c r="D112" s="609">
        <f t="shared" si="16"/>
        <v>0</v>
      </c>
      <c r="E112" s="609"/>
      <c r="F112" s="609"/>
      <c r="G112" s="609">
        <f t="shared" si="17"/>
        <v>0</v>
      </c>
      <c r="H112" s="609"/>
      <c r="I112" s="609">
        <f t="shared" si="19"/>
        <v>0</v>
      </c>
      <c r="J112" s="609">
        <f t="shared" si="19"/>
        <v>0</v>
      </c>
      <c r="K112" s="609">
        <f t="shared" si="19"/>
        <v>0</v>
      </c>
      <c r="L112" s="609"/>
      <c r="M112" s="609">
        <f>SUMIF([2]APCO_2831001!$A$34:$A$85,$B112,[2]APCO_2831001!$L$34:$L$85)*-1</f>
        <v>0</v>
      </c>
      <c r="N112" s="609">
        <f>SUMIF([2]APCO_2831001!$A$86:$A$100,$B112,[2]APCO_2831001!$L$86:$L$100)*-1</f>
        <v>0</v>
      </c>
      <c r="O112" s="609">
        <f>SUMIF([2]APCO_2831001!$A$3:$A$33,$B112,[2]APCO_2831001!$L$3:$L$33)*-1</f>
        <v>0</v>
      </c>
      <c r="P112" s="522"/>
      <c r="Q112" s="529">
        <v>0</v>
      </c>
      <c r="R112" s="529">
        <v>0</v>
      </c>
      <c r="S112" s="529">
        <v>0</v>
      </c>
    </row>
    <row r="113" spans="1:19">
      <c r="A113" s="525">
        <f t="shared" si="20"/>
        <v>95</v>
      </c>
      <c r="B113" s="609" t="s">
        <v>1046</v>
      </c>
      <c r="C113" s="609">
        <f t="shared" si="18"/>
        <v>0</v>
      </c>
      <c r="D113" s="609">
        <f t="shared" si="16"/>
        <v>0</v>
      </c>
      <c r="E113" s="609"/>
      <c r="F113" s="609"/>
      <c r="G113" s="609">
        <f t="shared" si="17"/>
        <v>0</v>
      </c>
      <c r="H113" s="609"/>
      <c r="I113" s="609">
        <f t="shared" si="19"/>
        <v>0</v>
      </c>
      <c r="J113" s="609">
        <f t="shared" si="19"/>
        <v>0</v>
      </c>
      <c r="K113" s="609">
        <f t="shared" si="19"/>
        <v>0</v>
      </c>
      <c r="L113" s="609"/>
      <c r="M113" s="609">
        <f>SUMIF([2]APCO_2831001!$A$34:$A$85,$B113,[2]APCO_2831001!$L$34:$L$85)*-1</f>
        <v>0</v>
      </c>
      <c r="N113" s="609">
        <f>SUMIF([2]APCO_2831001!$A$86:$A$100,$B113,[2]APCO_2831001!$L$86:$L$100)*-1</f>
        <v>0</v>
      </c>
      <c r="O113" s="609">
        <f>SUMIF([2]APCO_2831001!$A$3:$A$33,$B113,[2]APCO_2831001!$L$3:$L$33)*-1</f>
        <v>0</v>
      </c>
      <c r="P113" s="522"/>
      <c r="Q113" s="529">
        <v>0</v>
      </c>
      <c r="R113" s="529">
        <v>0</v>
      </c>
      <c r="S113" s="529">
        <v>0</v>
      </c>
    </row>
    <row r="114" spans="1:19">
      <c r="A114" s="525">
        <f t="shared" si="20"/>
        <v>96</v>
      </c>
      <c r="B114" s="182" t="s">
        <v>29</v>
      </c>
      <c r="C114" s="522">
        <f t="shared" si="18"/>
        <v>0</v>
      </c>
      <c r="D114" s="522">
        <f t="shared" si="16"/>
        <v>0</v>
      </c>
      <c r="E114" s="522"/>
      <c r="F114" s="522"/>
      <c r="G114" s="522">
        <f t="shared" si="17"/>
        <v>0</v>
      </c>
      <c r="H114" s="522"/>
      <c r="I114" s="522">
        <f t="shared" si="19"/>
        <v>0</v>
      </c>
      <c r="J114" s="522">
        <f t="shared" si="19"/>
        <v>0</v>
      </c>
      <c r="K114" s="522">
        <f t="shared" si="19"/>
        <v>0</v>
      </c>
      <c r="L114" s="522"/>
      <c r="M114" s="529">
        <f>SUMIF([2]APCO_2831001!$A$34:$A$85,$B114,[2]APCO_2831001!$L$34:$L$85)*-1</f>
        <v>0</v>
      </c>
      <c r="N114" s="529">
        <f>SUMIF([2]APCO_2831001!$A$86:$A$100,$B114,[2]APCO_2831001!$L$86:$L$100)*-1</f>
        <v>0</v>
      </c>
      <c r="O114" s="529">
        <f>SUMIF([2]APCO_2831001!$A$3:$A$33,$B114,[2]APCO_2831001!$L$3:$L$33)*-1</f>
        <v>0</v>
      </c>
      <c r="P114" s="522"/>
      <c r="Q114" s="529">
        <v>0</v>
      </c>
      <c r="R114" s="529">
        <v>0</v>
      </c>
      <c r="S114" s="529">
        <v>0</v>
      </c>
    </row>
    <row r="115" spans="1:19">
      <c r="A115" s="525">
        <f t="shared" si="20"/>
        <v>97</v>
      </c>
      <c r="B115" s="182" t="s">
        <v>977</v>
      </c>
      <c r="C115" s="522">
        <f t="shared" si="18"/>
        <v>-3283271.29</v>
      </c>
      <c r="D115" s="522">
        <f t="shared" si="16"/>
        <v>-2581218.44</v>
      </c>
      <c r="E115" s="522"/>
      <c r="F115" s="522"/>
      <c r="G115" s="522">
        <f t="shared" si="17"/>
        <v>-2932245</v>
      </c>
      <c r="H115" s="522"/>
      <c r="I115" s="522">
        <f t="shared" si="19"/>
        <v>-3793054.48</v>
      </c>
      <c r="J115" s="522">
        <f t="shared" si="19"/>
        <v>135183.40000000002</v>
      </c>
      <c r="K115" s="522">
        <f t="shared" si="19"/>
        <v>725626.21499999997</v>
      </c>
      <c r="L115" s="522"/>
      <c r="M115" s="529">
        <f>SUMIF([2]APCO_2831001!$A$34:$A$85,$B115,[2]APCO_2831001!$L$34:$L$85)*-1</f>
        <v>-3987570.09</v>
      </c>
      <c r="N115" s="529">
        <f>SUMIF([2]APCO_2831001!$A$86:$A$100,$B115,[2]APCO_2831001!$L$86:$L$100)*-1</f>
        <v>110604.6</v>
      </c>
      <c r="O115" s="529">
        <f>SUMIF([2]APCO_2831001!$A$3:$A$33,$B115,[2]APCO_2831001!$L$3:$L$33)*-1</f>
        <v>593694.19999999995</v>
      </c>
      <c r="P115" s="522"/>
      <c r="Q115" s="529">
        <v>-3598538.87</v>
      </c>
      <c r="R115" s="529">
        <v>159762.20000000001</v>
      </c>
      <c r="S115" s="529">
        <v>857558.23</v>
      </c>
    </row>
    <row r="116" spans="1:19">
      <c r="A116" s="525">
        <f t="shared" si="20"/>
        <v>98</v>
      </c>
      <c r="B116" s="182" t="s">
        <v>30</v>
      </c>
      <c r="C116" s="522">
        <f t="shared" si="18"/>
        <v>603750.02</v>
      </c>
      <c r="D116" s="522">
        <f t="shared" si="16"/>
        <v>1006250.01</v>
      </c>
      <c r="E116" s="522"/>
      <c r="F116" s="522"/>
      <c r="G116" s="522">
        <f t="shared" si="17"/>
        <v>805000</v>
      </c>
      <c r="H116" s="522"/>
      <c r="I116" s="522">
        <f t="shared" si="19"/>
        <v>805000.01500000001</v>
      </c>
      <c r="J116" s="522">
        <f t="shared" si="19"/>
        <v>0</v>
      </c>
      <c r="K116" s="522">
        <f t="shared" si="19"/>
        <v>0</v>
      </c>
      <c r="L116" s="522"/>
      <c r="M116" s="529">
        <f>SUMIF([2]APCO_2831001!$A$34:$A$85,$B116,[2]APCO_2831001!$L$34:$L$85)*-1</f>
        <v>603750.02</v>
      </c>
      <c r="N116" s="529">
        <f>SUMIF([2]APCO_2831001!$A$86:$A$100,$B116,[2]APCO_2831001!$L$86:$L$100)*-1</f>
        <v>0</v>
      </c>
      <c r="O116" s="529">
        <f>SUMIF([2]APCO_2831001!$A$3:$A$33,$B116,[2]APCO_2831001!$L$3:$L$33)*-1</f>
        <v>0</v>
      </c>
      <c r="P116" s="522"/>
      <c r="Q116" s="529">
        <v>1006250.01</v>
      </c>
      <c r="R116" s="529">
        <v>0</v>
      </c>
      <c r="S116" s="529">
        <v>0</v>
      </c>
    </row>
    <row r="117" spans="1:19">
      <c r="A117" s="525">
        <f t="shared" si="20"/>
        <v>99</v>
      </c>
      <c r="B117" s="182" t="s">
        <v>31</v>
      </c>
      <c r="C117" s="522">
        <f t="shared" si="18"/>
        <v>0</v>
      </c>
      <c r="D117" s="522">
        <f t="shared" si="16"/>
        <v>0</v>
      </c>
      <c r="E117" s="522"/>
      <c r="F117" s="522"/>
      <c r="G117" s="522">
        <f t="shared" si="17"/>
        <v>0</v>
      </c>
      <c r="H117" s="522"/>
      <c r="I117" s="522">
        <f t="shared" si="19"/>
        <v>0</v>
      </c>
      <c r="J117" s="522">
        <f t="shared" si="19"/>
        <v>0</v>
      </c>
      <c r="K117" s="522">
        <f t="shared" si="19"/>
        <v>0</v>
      </c>
      <c r="L117" s="522"/>
      <c r="M117" s="529">
        <f>SUMIF([2]APCO_2831001!$A$34:$A$85,$B117,[2]APCO_2831001!$L$34:$L$85)*-1</f>
        <v>0</v>
      </c>
      <c r="N117" s="529">
        <f>SUMIF([2]APCO_2831001!$A$86:$A$100,$B117,[2]APCO_2831001!$L$86:$L$100)*-1</f>
        <v>0</v>
      </c>
      <c r="O117" s="529">
        <f>SUMIF([2]APCO_2831001!$A$3:$A$33,$B117,[2]APCO_2831001!$L$3:$L$33)*-1</f>
        <v>0</v>
      </c>
      <c r="P117" s="522"/>
      <c r="Q117" s="529">
        <v>0</v>
      </c>
      <c r="R117" s="529">
        <v>0</v>
      </c>
      <c r="S117" s="529">
        <v>0</v>
      </c>
    </row>
    <row r="118" spans="1:19">
      <c r="A118" s="525">
        <f t="shared" si="20"/>
        <v>100</v>
      </c>
      <c r="B118" s="182" t="s">
        <v>624</v>
      </c>
      <c r="C118" s="522">
        <f t="shared" si="18"/>
        <v>413001.07</v>
      </c>
      <c r="D118" s="522">
        <f t="shared" si="16"/>
        <v>450546.63</v>
      </c>
      <c r="E118" s="522"/>
      <c r="F118" s="522"/>
      <c r="G118" s="522">
        <f t="shared" si="17"/>
        <v>431774</v>
      </c>
      <c r="H118" s="522"/>
      <c r="I118" s="522">
        <f t="shared" si="19"/>
        <v>431773.85</v>
      </c>
      <c r="J118" s="522">
        <f t="shared" si="19"/>
        <v>0</v>
      </c>
      <c r="K118" s="522">
        <f t="shared" si="19"/>
        <v>0</v>
      </c>
      <c r="L118" s="522"/>
      <c r="M118" s="529">
        <f>SUMIF([2]APCO_2831001!$A$34:$A$85,$B118,[2]APCO_2831001!$L$34:$L$85)*-1</f>
        <v>413001.07</v>
      </c>
      <c r="N118" s="529">
        <f>SUMIF([2]APCO_2831001!$A$86:$A$100,$B118,[2]APCO_2831001!$L$86:$L$100)*-1</f>
        <v>0</v>
      </c>
      <c r="O118" s="529">
        <f>SUMIF([2]APCO_2831001!$A$3:$A$33,$B118,[2]APCO_2831001!$L$3:$L$33)*-1</f>
        <v>0</v>
      </c>
      <c r="P118" s="522"/>
      <c r="Q118" s="529">
        <v>450546.63</v>
      </c>
      <c r="R118" s="529">
        <v>0</v>
      </c>
      <c r="S118" s="529">
        <v>0</v>
      </c>
    </row>
    <row r="119" spans="1:19">
      <c r="A119" s="525">
        <f t="shared" si="20"/>
        <v>101</v>
      </c>
      <c r="B119" s="182" t="s">
        <v>978</v>
      </c>
      <c r="C119" s="522">
        <f t="shared" si="18"/>
        <v>4457806.99</v>
      </c>
      <c r="D119" s="522">
        <f t="shared" si="16"/>
        <v>3076706.43</v>
      </c>
      <c r="E119" s="522"/>
      <c r="F119" s="522"/>
      <c r="G119" s="522">
        <f t="shared" si="17"/>
        <v>3767257</v>
      </c>
      <c r="H119" s="522"/>
      <c r="I119" s="522">
        <f t="shared" si="19"/>
        <v>0</v>
      </c>
      <c r="J119" s="522">
        <f t="shared" si="19"/>
        <v>0</v>
      </c>
      <c r="K119" s="522">
        <f t="shared" si="19"/>
        <v>3767256.71</v>
      </c>
      <c r="L119" s="522"/>
      <c r="M119" s="529">
        <f>SUMIF([2]APCO_2831001!$A$34:$A$85,$B119,[2]APCO_2831001!$L$34:$L$85)*-1</f>
        <v>0</v>
      </c>
      <c r="N119" s="529">
        <f>SUMIF([2]APCO_2831001!$A$86:$A$100,$B119,[2]APCO_2831001!$L$86:$L$100)*-1</f>
        <v>0</v>
      </c>
      <c r="O119" s="529">
        <f>SUMIF([2]APCO_2831001!$A$3:$A$33,$B119,[2]APCO_2831001!$L$3:$L$33)*-1</f>
        <v>4457806.99</v>
      </c>
      <c r="P119" s="522"/>
      <c r="Q119" s="529">
        <v>0</v>
      </c>
      <c r="R119" s="529">
        <v>0</v>
      </c>
      <c r="S119" s="529">
        <v>3076706.43</v>
      </c>
    </row>
    <row r="120" spans="1:19">
      <c r="A120" s="525">
        <f t="shared" si="20"/>
        <v>102</v>
      </c>
      <c r="B120" s="182" t="s">
        <v>979</v>
      </c>
      <c r="C120" s="522">
        <f t="shared" si="18"/>
        <v>0</v>
      </c>
      <c r="D120" s="522">
        <f t="shared" si="16"/>
        <v>0</v>
      </c>
      <c r="E120" s="522"/>
      <c r="F120" s="522"/>
      <c r="G120" s="522">
        <f t="shared" si="17"/>
        <v>0</v>
      </c>
      <c r="H120" s="522"/>
      <c r="I120" s="522">
        <f t="shared" si="19"/>
        <v>0</v>
      </c>
      <c r="J120" s="522">
        <f t="shared" si="19"/>
        <v>0</v>
      </c>
      <c r="K120" s="522">
        <f t="shared" si="19"/>
        <v>0</v>
      </c>
      <c r="L120" s="522"/>
      <c r="M120" s="529">
        <f>SUMIF([2]APCO_2831001!$A$34:$A$85,$B120,[2]APCO_2831001!$L$34:$L$85)*-1</f>
        <v>0</v>
      </c>
      <c r="N120" s="529">
        <f>SUMIF([2]APCO_2831001!$A$86:$A$100,$B120,[2]APCO_2831001!$L$86:$L$100)*-1</f>
        <v>0</v>
      </c>
      <c r="O120" s="529">
        <f>SUMIF([2]APCO_2831001!$A$3:$A$33,$B120,[2]APCO_2831001!$L$3:$L$33)*-1</f>
        <v>0</v>
      </c>
      <c r="P120" s="522"/>
      <c r="Q120" s="529">
        <v>0</v>
      </c>
      <c r="R120" s="529">
        <v>0</v>
      </c>
      <c r="S120" s="529">
        <v>0</v>
      </c>
    </row>
    <row r="121" spans="1:19">
      <c r="A121" s="525">
        <f t="shared" si="20"/>
        <v>103</v>
      </c>
      <c r="B121" s="182" t="s">
        <v>980</v>
      </c>
      <c r="C121" s="522">
        <f t="shared" si="18"/>
        <v>1571577.18</v>
      </c>
      <c r="D121" s="522">
        <f t="shared" si="16"/>
        <v>943748.5</v>
      </c>
      <c r="E121" s="522"/>
      <c r="F121" s="522"/>
      <c r="G121" s="522">
        <f t="shared" si="17"/>
        <v>1257663</v>
      </c>
      <c r="H121" s="522"/>
      <c r="I121" s="522">
        <f t="shared" si="19"/>
        <v>1257662.8399999999</v>
      </c>
      <c r="J121" s="522">
        <f t="shared" si="19"/>
        <v>0</v>
      </c>
      <c r="K121" s="522">
        <f t="shared" si="19"/>
        <v>0</v>
      </c>
      <c r="L121" s="522"/>
      <c r="M121" s="529">
        <f>SUMIF([2]APCO_2831001!$A$34:$A$85,$B121,[2]APCO_2831001!$L$34:$L$85)*-1</f>
        <v>1571577.18</v>
      </c>
      <c r="N121" s="529">
        <f>SUMIF([2]APCO_2831001!$A$86:$A$100,$B121,[2]APCO_2831001!$L$86:$L$100)*-1</f>
        <v>0</v>
      </c>
      <c r="O121" s="529">
        <f>SUMIF([2]APCO_2831001!$A$3:$A$33,$B121,[2]APCO_2831001!$L$3:$L$33)*-1</f>
        <v>0</v>
      </c>
      <c r="P121" s="522"/>
      <c r="Q121" s="529">
        <v>943748.5</v>
      </c>
      <c r="R121" s="529">
        <v>0</v>
      </c>
      <c r="S121" s="529">
        <v>0</v>
      </c>
    </row>
    <row r="122" spans="1:19">
      <c r="A122" s="525">
        <f t="shared" si="20"/>
        <v>104</v>
      </c>
      <c r="B122" s="182" t="s">
        <v>981</v>
      </c>
      <c r="C122" s="522">
        <f t="shared" si="18"/>
        <v>282167</v>
      </c>
      <c r="D122" s="522">
        <f t="shared" si="16"/>
        <v>513340.06</v>
      </c>
      <c r="E122" s="522"/>
      <c r="F122" s="522"/>
      <c r="G122" s="522">
        <f t="shared" si="17"/>
        <v>397754</v>
      </c>
      <c r="H122" s="522"/>
      <c r="I122" s="522">
        <f t="shared" si="19"/>
        <v>397753.53</v>
      </c>
      <c r="J122" s="522">
        <f t="shared" si="19"/>
        <v>0</v>
      </c>
      <c r="K122" s="522">
        <f t="shared" si="19"/>
        <v>0</v>
      </c>
      <c r="L122" s="522"/>
      <c r="M122" s="529">
        <f>SUMIF([2]APCO_2831001!$A$34:$A$85,$B122,[2]APCO_2831001!$L$34:$L$85)*-1</f>
        <v>282167</v>
      </c>
      <c r="N122" s="529">
        <f>SUMIF([2]APCO_2831001!$A$86:$A$100,$B122,[2]APCO_2831001!$L$86:$L$100)*-1</f>
        <v>0</v>
      </c>
      <c r="O122" s="529">
        <f>SUMIF([2]APCO_2831001!$A$3:$A$33,$B122,[2]APCO_2831001!$L$3:$L$33)*-1</f>
        <v>0</v>
      </c>
      <c r="P122" s="522"/>
      <c r="Q122" s="529">
        <v>513340.06</v>
      </c>
      <c r="R122" s="529">
        <v>0</v>
      </c>
      <c r="S122" s="529">
        <v>0</v>
      </c>
    </row>
    <row r="123" spans="1:19">
      <c r="A123" s="525">
        <f t="shared" si="20"/>
        <v>105</v>
      </c>
      <c r="B123" s="182" t="s">
        <v>982</v>
      </c>
      <c r="C123" s="522">
        <f t="shared" si="18"/>
        <v>-53839.42</v>
      </c>
      <c r="D123" s="522">
        <f t="shared" si="16"/>
        <v>-115862.73</v>
      </c>
      <c r="E123" s="522"/>
      <c r="F123" s="522"/>
      <c r="G123" s="522">
        <f t="shared" si="17"/>
        <v>-84851</v>
      </c>
      <c r="H123" s="522"/>
      <c r="I123" s="522">
        <f t="shared" si="19"/>
        <v>-84851.074999999997</v>
      </c>
      <c r="J123" s="522">
        <f t="shared" si="19"/>
        <v>0</v>
      </c>
      <c r="K123" s="522">
        <f t="shared" si="19"/>
        <v>0</v>
      </c>
      <c r="L123" s="522"/>
      <c r="M123" s="529">
        <f>SUMIF([2]APCO_2831001!$A$34:$A$85,$B123,[2]APCO_2831001!$L$34:$L$85)*-1</f>
        <v>-53839.42</v>
      </c>
      <c r="N123" s="529">
        <f>SUMIF([2]APCO_2831001!$A$86:$A$100,$B123,[2]APCO_2831001!$L$86:$L$100)*-1</f>
        <v>0</v>
      </c>
      <c r="O123" s="529">
        <f>SUMIF([2]APCO_2831001!$A$3:$A$33,$B123,[2]APCO_2831001!$L$3:$L$33)*-1</f>
        <v>0</v>
      </c>
      <c r="P123" s="522"/>
      <c r="Q123" s="529">
        <v>-115862.73</v>
      </c>
      <c r="R123" s="529">
        <v>0</v>
      </c>
      <c r="S123" s="529">
        <v>0</v>
      </c>
    </row>
    <row r="124" spans="1:19">
      <c r="A124" s="525">
        <f t="shared" si="20"/>
        <v>106</v>
      </c>
      <c r="B124" s="182" t="s">
        <v>983</v>
      </c>
      <c r="C124" s="522">
        <f t="shared" si="18"/>
        <v>0</v>
      </c>
      <c r="D124" s="522">
        <f t="shared" si="16"/>
        <v>0</v>
      </c>
      <c r="E124" s="522"/>
      <c r="F124" s="522"/>
      <c r="G124" s="522">
        <f t="shared" si="17"/>
        <v>0</v>
      </c>
      <c r="H124" s="522"/>
      <c r="I124" s="522">
        <f t="shared" si="19"/>
        <v>0</v>
      </c>
      <c r="J124" s="522">
        <f t="shared" si="19"/>
        <v>0</v>
      </c>
      <c r="K124" s="522">
        <f t="shared" si="19"/>
        <v>0</v>
      </c>
      <c r="L124" s="522"/>
      <c r="M124" s="529">
        <f>SUMIF([2]APCO_2831001!$A$34:$A$85,$B124,[2]APCO_2831001!$L$34:$L$85)*-1</f>
        <v>0</v>
      </c>
      <c r="N124" s="529">
        <f>SUMIF([2]APCO_2831001!$A$86:$A$100,$B124,[2]APCO_2831001!$L$86:$L$100)*-1</f>
        <v>0</v>
      </c>
      <c r="O124" s="529">
        <f>SUMIF([2]APCO_2831001!$A$3:$A$33,$B124,[2]APCO_2831001!$L$3:$L$33)*-1</f>
        <v>0</v>
      </c>
      <c r="P124" s="522"/>
      <c r="Q124" s="529">
        <v>0</v>
      </c>
      <c r="R124" s="529">
        <v>0</v>
      </c>
      <c r="S124" s="529">
        <v>0</v>
      </c>
    </row>
    <row r="125" spans="1:19">
      <c r="A125" s="525">
        <f t="shared" si="20"/>
        <v>107</v>
      </c>
      <c r="B125" s="182" t="s">
        <v>984</v>
      </c>
      <c r="C125" s="522">
        <f t="shared" si="18"/>
        <v>0</v>
      </c>
      <c r="D125" s="522">
        <f t="shared" si="16"/>
        <v>0</v>
      </c>
      <c r="E125" s="522"/>
      <c r="F125" s="522"/>
      <c r="G125" s="522">
        <f t="shared" si="17"/>
        <v>0</v>
      </c>
      <c r="H125" s="522"/>
      <c r="I125" s="522">
        <f t="shared" si="19"/>
        <v>0</v>
      </c>
      <c r="J125" s="522">
        <f t="shared" si="19"/>
        <v>0</v>
      </c>
      <c r="K125" s="522">
        <f t="shared" si="19"/>
        <v>0</v>
      </c>
      <c r="L125" s="522"/>
      <c r="M125" s="529">
        <f>SUMIF([2]APCO_2831001!$A$34:$A$85,$B125,[2]APCO_2831001!$L$34:$L$85)*-1</f>
        <v>0</v>
      </c>
      <c r="N125" s="529">
        <f>SUMIF([2]APCO_2831001!$A$86:$A$100,$B125,[2]APCO_2831001!$L$86:$L$100)*-1</f>
        <v>0</v>
      </c>
      <c r="O125" s="529">
        <f>SUMIF([2]APCO_2831001!$A$3:$A$33,$B125,[2]APCO_2831001!$L$3:$L$33)*-1</f>
        <v>0</v>
      </c>
      <c r="P125" s="522"/>
      <c r="Q125" s="529">
        <v>0</v>
      </c>
      <c r="R125" s="529">
        <v>0</v>
      </c>
      <c r="S125" s="529">
        <v>0</v>
      </c>
    </row>
    <row r="126" spans="1:19">
      <c r="A126" s="525">
        <f t="shared" si="20"/>
        <v>108</v>
      </c>
      <c r="B126" s="182" t="s">
        <v>32</v>
      </c>
      <c r="C126" s="522">
        <f t="shared" si="18"/>
        <v>0</v>
      </c>
      <c r="D126" s="522">
        <f t="shared" si="16"/>
        <v>-0.01</v>
      </c>
      <c r="E126" s="522"/>
      <c r="F126" s="522"/>
      <c r="G126" s="522">
        <f t="shared" si="17"/>
        <v>0</v>
      </c>
      <c r="H126" s="522"/>
      <c r="I126" s="522">
        <f t="shared" si="19"/>
        <v>-5.0000000000000001E-3</v>
      </c>
      <c r="J126" s="522">
        <f t="shared" si="19"/>
        <v>0</v>
      </c>
      <c r="K126" s="522">
        <f t="shared" si="19"/>
        <v>0</v>
      </c>
      <c r="L126" s="522"/>
      <c r="M126" s="529">
        <f>SUMIF([2]APCO_2831001!$A$34:$A$85,$B126,[2]APCO_2831001!$L$34:$L$85)*-1</f>
        <v>0</v>
      </c>
      <c r="N126" s="529">
        <f>SUMIF([2]APCO_2831001!$A$86:$A$100,$B126,[2]APCO_2831001!$L$86:$L$100)*-1</f>
        <v>0</v>
      </c>
      <c r="O126" s="529">
        <f>SUMIF([2]APCO_2831001!$A$3:$A$33,$B126,[2]APCO_2831001!$L$3:$L$33)*-1</f>
        <v>0</v>
      </c>
      <c r="P126" s="522"/>
      <c r="Q126" s="529">
        <v>-0.01</v>
      </c>
      <c r="R126" s="529">
        <v>0</v>
      </c>
      <c r="S126" s="529">
        <v>0</v>
      </c>
    </row>
    <row r="127" spans="1:19">
      <c r="A127" s="525">
        <f t="shared" si="20"/>
        <v>109</v>
      </c>
      <c r="B127" s="182" t="s">
        <v>33</v>
      </c>
      <c r="C127" s="522">
        <f t="shared" si="18"/>
        <v>0</v>
      </c>
      <c r="D127" s="522">
        <f t="shared" si="16"/>
        <v>0</v>
      </c>
      <c r="E127" s="522"/>
      <c r="F127" s="522"/>
      <c r="G127" s="522">
        <f t="shared" si="17"/>
        <v>0</v>
      </c>
      <c r="H127" s="522"/>
      <c r="I127" s="522">
        <f t="shared" si="19"/>
        <v>0</v>
      </c>
      <c r="J127" s="522">
        <f t="shared" si="19"/>
        <v>0</v>
      </c>
      <c r="K127" s="522">
        <f t="shared" si="19"/>
        <v>0</v>
      </c>
      <c r="L127" s="522"/>
      <c r="M127" s="529">
        <f>SUMIF([2]APCO_2831001!$A$34:$A$85,$B127,[2]APCO_2831001!$L$34:$L$85)*-1</f>
        <v>0</v>
      </c>
      <c r="N127" s="529">
        <f>SUMIF([2]APCO_2831001!$A$86:$A$100,$B127,[2]APCO_2831001!$L$86:$L$100)*-1</f>
        <v>0</v>
      </c>
      <c r="O127" s="529">
        <f>SUMIF([2]APCO_2831001!$A$3:$A$33,$B127,[2]APCO_2831001!$L$3:$L$33)*-1</f>
        <v>0</v>
      </c>
      <c r="P127" s="522"/>
      <c r="Q127" s="529">
        <v>0</v>
      </c>
      <c r="R127" s="529">
        <v>0</v>
      </c>
      <c r="S127" s="529">
        <v>0</v>
      </c>
    </row>
    <row r="128" spans="1:19">
      <c r="A128" s="525">
        <f t="shared" si="20"/>
        <v>110</v>
      </c>
      <c r="B128" s="182" t="s">
        <v>34</v>
      </c>
      <c r="C128" s="522">
        <f t="shared" si="18"/>
        <v>0</v>
      </c>
      <c r="D128" s="522">
        <f t="shared" si="16"/>
        <v>8978.64</v>
      </c>
      <c r="E128" s="522"/>
      <c r="F128" s="522"/>
      <c r="G128" s="522">
        <f t="shared" si="17"/>
        <v>4489</v>
      </c>
      <c r="H128" s="522"/>
      <c r="I128" s="522">
        <f t="shared" si="19"/>
        <v>1705.915</v>
      </c>
      <c r="J128" s="522">
        <f t="shared" si="19"/>
        <v>0</v>
      </c>
      <c r="K128" s="522">
        <f t="shared" si="19"/>
        <v>2783.4050000000002</v>
      </c>
      <c r="L128" s="522"/>
      <c r="M128" s="529">
        <f>SUMIF([2]APCO_2831001!$A$34:$A$85,$B128,[2]APCO_2831001!$L$34:$L$85)*-1</f>
        <v>0</v>
      </c>
      <c r="N128" s="529">
        <f>SUMIF([2]APCO_2831001!$A$86:$A$100,$B128,[2]APCO_2831001!$L$86:$L$100)*-1</f>
        <v>0</v>
      </c>
      <c r="O128" s="529">
        <f>SUMIF([2]APCO_2831001!$A$3:$A$33,$B128,[2]APCO_2831001!$L$3:$L$33)*-1</f>
        <v>0</v>
      </c>
      <c r="P128" s="522"/>
      <c r="Q128" s="529">
        <v>3411.83</v>
      </c>
      <c r="R128" s="529">
        <v>0</v>
      </c>
      <c r="S128" s="529">
        <v>5566.81</v>
      </c>
    </row>
    <row r="129" spans="1:19">
      <c r="A129" s="525">
        <f t="shared" si="20"/>
        <v>111</v>
      </c>
      <c r="B129" s="182" t="s">
        <v>1047</v>
      </c>
      <c r="C129" s="522">
        <f t="shared" si="18"/>
        <v>10694910.449999999</v>
      </c>
      <c r="D129" s="522">
        <f t="shared" si="16"/>
        <v>6578573.4000000004</v>
      </c>
      <c r="E129" s="522"/>
      <c r="F129" s="522"/>
      <c r="G129" s="522">
        <f t="shared" si="17"/>
        <v>8636742</v>
      </c>
      <c r="H129" s="522"/>
      <c r="I129" s="522">
        <f t="shared" si="19"/>
        <v>0</v>
      </c>
      <c r="J129" s="522">
        <f t="shared" si="19"/>
        <v>0</v>
      </c>
      <c r="K129" s="522">
        <f t="shared" si="19"/>
        <v>8636741.9250000007</v>
      </c>
      <c r="L129" s="522"/>
      <c r="M129" s="529">
        <f>SUMIF([2]APCO_2831001!$A$34:$A$85,$B129,[2]APCO_2831001!$L$34:$L$85)*-1</f>
        <v>0</v>
      </c>
      <c r="N129" s="529">
        <f>SUMIF([2]APCO_2831001!$A$86:$A$100,$B129,[2]APCO_2831001!$L$86:$L$100)*-1</f>
        <v>0</v>
      </c>
      <c r="O129" s="529">
        <f>SUMIF([2]APCO_2831001!$A$3:$A$33,$B129,[2]APCO_2831001!$L$3:$L$33)*-1</f>
        <v>10694910.449999999</v>
      </c>
      <c r="P129" s="522"/>
      <c r="Q129" s="529">
        <v>0</v>
      </c>
      <c r="R129" s="529">
        <v>0</v>
      </c>
      <c r="S129" s="529">
        <v>6578573.4000000004</v>
      </c>
    </row>
    <row r="130" spans="1:19">
      <c r="A130" s="525">
        <f t="shared" si="20"/>
        <v>112</v>
      </c>
      <c r="B130" s="182" t="s">
        <v>1048</v>
      </c>
      <c r="C130" s="522">
        <f t="shared" si="18"/>
        <v>474631.81</v>
      </c>
      <c r="D130" s="522">
        <f t="shared" si="16"/>
        <v>102411.22</v>
      </c>
      <c r="E130" s="522"/>
      <c r="F130" s="522"/>
      <c r="G130" s="522">
        <f t="shared" si="17"/>
        <v>288522</v>
      </c>
      <c r="H130" s="522"/>
      <c r="I130" s="522">
        <f t="shared" si="19"/>
        <v>0</v>
      </c>
      <c r="J130" s="522">
        <f t="shared" si="19"/>
        <v>0</v>
      </c>
      <c r="K130" s="522">
        <f t="shared" si="19"/>
        <v>288521.51500000001</v>
      </c>
      <c r="L130" s="522"/>
      <c r="M130" s="529">
        <f>SUMIF([2]APCO_2831001!$A$34:$A$85,$B130,[2]APCO_2831001!$L$34:$L$85)*-1</f>
        <v>0</v>
      </c>
      <c r="N130" s="529">
        <f>SUMIF([2]APCO_2831001!$A$86:$A$100,$B130,[2]APCO_2831001!$L$86:$L$100)*-1</f>
        <v>0</v>
      </c>
      <c r="O130" s="529">
        <f>SUMIF([2]APCO_2831001!$A$3:$A$33,$B130,[2]APCO_2831001!$L$3:$L$33)*-1</f>
        <v>474631.81</v>
      </c>
      <c r="P130" s="522"/>
      <c r="Q130" s="529">
        <v>0</v>
      </c>
      <c r="R130" s="529">
        <v>0</v>
      </c>
      <c r="S130" s="529">
        <v>102411.22</v>
      </c>
    </row>
    <row r="131" spans="1:19">
      <c r="A131" s="525">
        <f t="shared" si="20"/>
        <v>113</v>
      </c>
      <c r="B131" s="434" t="s">
        <v>985</v>
      </c>
      <c r="C131" s="522">
        <f t="shared" si="18"/>
        <v>0</v>
      </c>
      <c r="D131" s="522">
        <f t="shared" si="16"/>
        <v>-442722.21</v>
      </c>
      <c r="E131" s="522"/>
      <c r="F131" s="522"/>
      <c r="G131" s="522">
        <f>ROUND(SUM(C131:F131)/2,0)</f>
        <v>-221361</v>
      </c>
      <c r="H131" s="522"/>
      <c r="I131" s="522">
        <f t="shared" si="19"/>
        <v>-221361.10500000001</v>
      </c>
      <c r="J131" s="522">
        <f t="shared" si="19"/>
        <v>0</v>
      </c>
      <c r="K131" s="522">
        <f t="shared" si="19"/>
        <v>0</v>
      </c>
      <c r="L131" s="522"/>
      <c r="M131" s="529">
        <f>SUMIF([2]APCO_2831001!$A$34:$A$85,$B131,[2]APCO_2831001!$L$34:$L$85)*-1</f>
        <v>0</v>
      </c>
      <c r="N131" s="529">
        <f>SUMIF([2]APCO_2831001!$A$86:$A$100,$B131,[2]APCO_2831001!$L$86:$L$100)*-1</f>
        <v>0</v>
      </c>
      <c r="O131" s="529">
        <f>SUMIF([2]APCO_2831001!$A$3:$A$33,$B131,[2]APCO_2831001!$L$3:$L$33)*-1</f>
        <v>0</v>
      </c>
      <c r="P131" s="522"/>
      <c r="Q131" s="529">
        <v>-442722.21</v>
      </c>
      <c r="R131" s="529">
        <v>0</v>
      </c>
      <c r="S131" s="529">
        <v>0</v>
      </c>
    </row>
    <row r="132" spans="1:19">
      <c r="A132" s="525">
        <f t="shared" si="20"/>
        <v>114</v>
      </c>
      <c r="B132" s="434" t="s">
        <v>986</v>
      </c>
      <c r="C132" s="522">
        <f t="shared" si="18"/>
        <v>0</v>
      </c>
      <c r="D132" s="522">
        <f t="shared" si="16"/>
        <v>378971.58</v>
      </c>
      <c r="E132" s="522"/>
      <c r="F132" s="522"/>
      <c r="G132" s="522">
        <f>ROUND(SUM(C132:F132)/2,0)</f>
        <v>189486</v>
      </c>
      <c r="H132" s="522"/>
      <c r="I132" s="522">
        <f t="shared" si="19"/>
        <v>189485.79</v>
      </c>
      <c r="J132" s="522">
        <f t="shared" si="19"/>
        <v>0</v>
      </c>
      <c r="K132" s="522">
        <f t="shared" si="19"/>
        <v>0</v>
      </c>
      <c r="L132" s="522"/>
      <c r="M132" s="529">
        <f>SUMIF([2]APCO_2831001!$A$34:$A$85,$B132,[2]APCO_2831001!$L$34:$L$85)*-1</f>
        <v>0</v>
      </c>
      <c r="N132" s="529">
        <f>SUMIF([2]APCO_2831001!$A$86:$A$100,$B132,[2]APCO_2831001!$L$86:$L$100)*-1</f>
        <v>0</v>
      </c>
      <c r="O132" s="529">
        <f>SUMIF([2]APCO_2831001!$A$3:$A$33,$B132,[2]APCO_2831001!$L$3:$L$33)*-1</f>
        <v>0</v>
      </c>
      <c r="P132" s="522"/>
      <c r="Q132" s="529">
        <v>378971.58</v>
      </c>
      <c r="R132" s="529">
        <v>0</v>
      </c>
      <c r="S132" s="529">
        <v>0</v>
      </c>
    </row>
    <row r="133" spans="1:19">
      <c r="A133" s="525">
        <f t="shared" si="20"/>
        <v>115</v>
      </c>
      <c r="B133" s="434" t="s">
        <v>987</v>
      </c>
      <c r="C133" s="522">
        <f t="shared" si="18"/>
        <v>0</v>
      </c>
      <c r="D133" s="522">
        <f t="shared" si="16"/>
        <v>871073.56</v>
      </c>
      <c r="E133" s="522"/>
      <c r="F133" s="522"/>
      <c r="G133" s="522">
        <f>ROUND(SUM(C133:F133)/2,0)</f>
        <v>435537</v>
      </c>
      <c r="H133" s="522"/>
      <c r="I133" s="522">
        <f t="shared" si="19"/>
        <v>435536.78</v>
      </c>
      <c r="J133" s="522">
        <f t="shared" si="19"/>
        <v>0</v>
      </c>
      <c r="K133" s="522">
        <f t="shared" si="19"/>
        <v>0</v>
      </c>
      <c r="L133" s="522"/>
      <c r="M133" s="529">
        <f>SUMIF([2]APCO_2831001!$A$34:$A$85,$B133,[2]APCO_2831001!$L$34:$L$85)*-1</f>
        <v>0</v>
      </c>
      <c r="N133" s="529">
        <f>SUMIF([2]APCO_2831001!$A$86:$A$100,$B133,[2]APCO_2831001!$L$86:$L$100)*-1</f>
        <v>0</v>
      </c>
      <c r="O133" s="529">
        <f>SUMIF([2]APCO_2831001!$A$3:$A$33,$B133,[2]APCO_2831001!$L$3:$L$33)*-1</f>
        <v>0</v>
      </c>
      <c r="P133" s="522"/>
      <c r="Q133" s="529">
        <v>871073.56</v>
      </c>
      <c r="R133" s="529">
        <v>0</v>
      </c>
      <c r="S133" s="529">
        <v>0</v>
      </c>
    </row>
    <row r="134" spans="1:19">
      <c r="A134" s="525">
        <f t="shared" si="20"/>
        <v>116</v>
      </c>
      <c r="B134" s="434" t="s">
        <v>1049</v>
      </c>
      <c r="C134" s="522">
        <f t="shared" si="18"/>
        <v>-327303.55</v>
      </c>
      <c r="D134" s="522">
        <f t="shared" si="16"/>
        <v>-231037.8</v>
      </c>
      <c r="E134" s="522"/>
      <c r="F134" s="522"/>
      <c r="G134" s="522">
        <f t="shared" ref="G134:G165" si="21">ROUND(SUM(C134:F134)/2,0)</f>
        <v>-279171</v>
      </c>
      <c r="H134" s="522"/>
      <c r="I134" s="522">
        <f t="shared" si="19"/>
        <v>-279170.67499999999</v>
      </c>
      <c r="J134" s="522">
        <f t="shared" si="19"/>
        <v>0</v>
      </c>
      <c r="K134" s="522">
        <f t="shared" si="19"/>
        <v>0</v>
      </c>
      <c r="L134" s="522"/>
      <c r="M134" s="529">
        <f>SUMIF([2]APCO_2831001!$A$34:$A$85,$B134,[2]APCO_2831001!$L$34:$L$85)*-1</f>
        <v>-327303.55</v>
      </c>
      <c r="N134" s="529">
        <f>SUMIF([2]APCO_2831001!$A$86:$A$100,$B134,[2]APCO_2831001!$L$86:$L$100)*-1</f>
        <v>0</v>
      </c>
      <c r="O134" s="529">
        <f>SUMIF([2]APCO_2831001!$A$3:$A$33,$B134,[2]APCO_2831001!$L$3:$L$33)*-1</f>
        <v>0</v>
      </c>
      <c r="P134" s="522"/>
      <c r="Q134" s="529">
        <v>-231037.8</v>
      </c>
      <c r="R134" s="529">
        <v>0</v>
      </c>
      <c r="S134" s="529">
        <v>0</v>
      </c>
    </row>
    <row r="135" spans="1:19">
      <c r="A135" s="525">
        <f t="shared" si="20"/>
        <v>117</v>
      </c>
      <c r="B135" s="434" t="s">
        <v>1050</v>
      </c>
      <c r="C135" s="522">
        <f t="shared" si="18"/>
        <v>1009881.6</v>
      </c>
      <c r="D135" s="522">
        <f t="shared" si="16"/>
        <v>712857.59999999998</v>
      </c>
      <c r="E135" s="522"/>
      <c r="F135" s="522"/>
      <c r="G135" s="522">
        <f t="shared" si="21"/>
        <v>861370</v>
      </c>
      <c r="H135" s="522"/>
      <c r="I135" s="522">
        <f t="shared" si="19"/>
        <v>861369.6</v>
      </c>
      <c r="J135" s="522">
        <f t="shared" si="19"/>
        <v>0</v>
      </c>
      <c r="K135" s="522">
        <f t="shared" si="19"/>
        <v>0</v>
      </c>
      <c r="L135" s="522"/>
      <c r="M135" s="529">
        <f>SUMIF([2]APCO_2831001!$A$34:$A$85,$B135,[2]APCO_2831001!$L$34:$L$85)*-1</f>
        <v>1009881.6</v>
      </c>
      <c r="N135" s="529">
        <f>SUMIF([2]APCO_2831001!$A$86:$A$100,$B135,[2]APCO_2831001!$L$86:$L$100)*-1</f>
        <v>0</v>
      </c>
      <c r="O135" s="529">
        <f>SUMIF([2]APCO_2831001!$A$3:$A$33,$B135,[2]APCO_2831001!$L$3:$L$33)*-1</f>
        <v>0</v>
      </c>
      <c r="P135" s="522"/>
      <c r="Q135" s="529">
        <v>712857.59999999998</v>
      </c>
      <c r="R135" s="529">
        <v>0</v>
      </c>
      <c r="S135" s="529">
        <v>0</v>
      </c>
    </row>
    <row r="136" spans="1:19">
      <c r="A136" s="525">
        <f t="shared" si="20"/>
        <v>118</v>
      </c>
      <c r="B136" s="434" t="s">
        <v>1051</v>
      </c>
      <c r="C136" s="522">
        <f t="shared" si="18"/>
        <v>3350678.86</v>
      </c>
      <c r="D136" s="522">
        <f t="shared" si="16"/>
        <v>3793221.36</v>
      </c>
      <c r="E136" s="522"/>
      <c r="F136" s="522"/>
      <c r="G136" s="522">
        <f t="shared" si="21"/>
        <v>3571950</v>
      </c>
      <c r="H136" s="522"/>
      <c r="I136" s="522">
        <f t="shared" si="19"/>
        <v>3571950.11</v>
      </c>
      <c r="J136" s="522">
        <f t="shared" si="19"/>
        <v>0</v>
      </c>
      <c r="K136" s="522">
        <f t="shared" si="19"/>
        <v>0</v>
      </c>
      <c r="L136" s="522"/>
      <c r="M136" s="529">
        <f>SUMIF([2]APCO_2831001!$A$34:$A$85,$B136,[2]APCO_2831001!$L$34:$L$85)*-1</f>
        <v>3350678.86</v>
      </c>
      <c r="N136" s="529">
        <f>SUMIF([2]APCO_2831001!$A$86:$A$100,$B136,[2]APCO_2831001!$L$86:$L$100)*-1</f>
        <v>0</v>
      </c>
      <c r="O136" s="529">
        <f>SUMIF([2]APCO_2831001!$A$3:$A$33,$B136,[2]APCO_2831001!$L$3:$L$33)*-1</f>
        <v>0</v>
      </c>
      <c r="P136" s="522"/>
      <c r="Q136" s="529">
        <v>3793221.36</v>
      </c>
      <c r="R136" s="529">
        <v>0</v>
      </c>
      <c r="S136" s="529">
        <v>0</v>
      </c>
    </row>
    <row r="137" spans="1:19">
      <c r="A137" s="525">
        <f t="shared" si="20"/>
        <v>119</v>
      </c>
      <c r="B137" s="434" t="s">
        <v>1179</v>
      </c>
      <c r="C137" s="522">
        <f t="shared" si="18"/>
        <v>407896.16</v>
      </c>
      <c r="D137" s="522">
        <f t="shared" si="16"/>
        <v>0</v>
      </c>
      <c r="E137" s="522"/>
      <c r="F137" s="522"/>
      <c r="G137" s="522">
        <f t="shared" si="21"/>
        <v>203948</v>
      </c>
      <c r="H137" s="522"/>
      <c r="I137" s="522">
        <f t="shared" ref="I137:K152" si="22">(M137+Q137)/2</f>
        <v>203948.08</v>
      </c>
      <c r="J137" s="522">
        <f t="shared" si="22"/>
        <v>0</v>
      </c>
      <c r="K137" s="522">
        <f t="shared" si="22"/>
        <v>0</v>
      </c>
      <c r="L137" s="522"/>
      <c r="M137" s="529">
        <f>SUMIF([2]APCO_2831001!$A$34:$A$85,$B137,[2]APCO_2831001!$L$34:$L$85)*-1</f>
        <v>407896.16</v>
      </c>
      <c r="N137" s="529">
        <f>SUMIF([2]APCO_2831001!$A$86:$A$100,$B137,[2]APCO_2831001!$L$86:$L$100)*-1</f>
        <v>0</v>
      </c>
      <c r="O137" s="529">
        <f>SUMIF([2]APCO_2831001!$A$3:$A$33,$B137,[2]APCO_2831001!$L$3:$L$33)*-1</f>
        <v>0</v>
      </c>
      <c r="P137" s="522"/>
      <c r="Q137" s="529">
        <v>0</v>
      </c>
      <c r="R137" s="529">
        <v>0</v>
      </c>
      <c r="S137" s="529">
        <v>0</v>
      </c>
    </row>
    <row r="138" spans="1:19">
      <c r="A138" s="525">
        <f t="shared" si="20"/>
        <v>120</v>
      </c>
      <c r="B138" s="434" t="s">
        <v>1180</v>
      </c>
      <c r="C138" s="522">
        <f t="shared" si="18"/>
        <v>215984.64000000001</v>
      </c>
      <c r="D138" s="522">
        <f t="shared" si="16"/>
        <v>0</v>
      </c>
      <c r="E138" s="522"/>
      <c r="F138" s="522"/>
      <c r="G138" s="522">
        <f t="shared" si="21"/>
        <v>107992</v>
      </c>
      <c r="H138" s="522"/>
      <c r="I138" s="522">
        <f t="shared" si="22"/>
        <v>107992.32000000001</v>
      </c>
      <c r="J138" s="522">
        <f t="shared" si="22"/>
        <v>0</v>
      </c>
      <c r="K138" s="522">
        <f t="shared" si="22"/>
        <v>0</v>
      </c>
      <c r="L138" s="522"/>
      <c r="M138" s="529">
        <f>SUMIF([2]APCO_2831001!$A$34:$A$85,$B138,[2]APCO_2831001!$L$34:$L$85)*-1</f>
        <v>215984.64000000001</v>
      </c>
      <c r="N138" s="529">
        <f>SUMIF([2]APCO_2831001!$A$86:$A$100,$B138,[2]APCO_2831001!$L$86:$L$100)*-1</f>
        <v>0</v>
      </c>
      <c r="O138" s="529">
        <f>SUMIF([2]APCO_2831001!$A$3:$A$33,$B138,[2]APCO_2831001!$L$3:$L$33)*-1</f>
        <v>0</v>
      </c>
      <c r="P138" s="522"/>
      <c r="Q138" s="529">
        <v>0</v>
      </c>
      <c r="R138" s="529">
        <v>0</v>
      </c>
      <c r="S138" s="529">
        <v>0</v>
      </c>
    </row>
    <row r="139" spans="1:19">
      <c r="A139" s="525">
        <f t="shared" si="20"/>
        <v>121</v>
      </c>
      <c r="B139" s="614" t="s">
        <v>1181</v>
      </c>
      <c r="C139" s="531">
        <f t="shared" si="18"/>
        <v>11440930.539999999</v>
      </c>
      <c r="D139" s="531">
        <f t="shared" si="16"/>
        <v>0</v>
      </c>
      <c r="E139" s="531"/>
      <c r="F139" s="531"/>
      <c r="G139" s="531">
        <f t="shared" si="21"/>
        <v>5720465</v>
      </c>
      <c r="H139" s="531"/>
      <c r="I139" s="531">
        <f t="shared" si="22"/>
        <v>5720465.2699999996</v>
      </c>
      <c r="J139" s="531">
        <f t="shared" si="22"/>
        <v>0</v>
      </c>
      <c r="K139" s="531">
        <f t="shared" si="22"/>
        <v>0</v>
      </c>
      <c r="L139" s="531"/>
      <c r="M139" s="531">
        <f>SUMIF([2]APCO_2831001!$A$34:$A$85,$B139,[2]APCO_2831001!$L$34:$L$85)*-1</f>
        <v>11440930.539999999</v>
      </c>
      <c r="N139" s="531">
        <f>SUMIF([2]APCO_2831001!$A$86:$A$100,$B139,[2]APCO_2831001!$L$86:$L$100)*-1</f>
        <v>0</v>
      </c>
      <c r="O139" s="531">
        <f>SUMIF([2]APCO_2831001!$A$3:$A$33,$B139,[2]APCO_2831001!$L$3:$L$33)*-1</f>
        <v>0</v>
      </c>
      <c r="P139" s="522"/>
      <c r="Q139" s="529">
        <v>0</v>
      </c>
      <c r="R139" s="529">
        <v>0</v>
      </c>
      <c r="S139" s="529">
        <v>0</v>
      </c>
    </row>
    <row r="140" spans="1:19">
      <c r="A140" s="525">
        <f t="shared" si="20"/>
        <v>122</v>
      </c>
      <c r="B140" s="434" t="s">
        <v>1182</v>
      </c>
      <c r="C140" s="522">
        <f t="shared" si="18"/>
        <v>16678000.300000001</v>
      </c>
      <c r="D140" s="522">
        <f t="shared" ref="D140:D159" si="23">SUM(Q140:S140)</f>
        <v>0</v>
      </c>
      <c r="E140" s="522"/>
      <c r="F140" s="522"/>
      <c r="G140" s="522">
        <f t="shared" si="21"/>
        <v>8339000</v>
      </c>
      <c r="H140" s="522"/>
      <c r="I140" s="522">
        <f t="shared" si="22"/>
        <v>8339000.1500000004</v>
      </c>
      <c r="J140" s="522">
        <f t="shared" si="22"/>
        <v>0</v>
      </c>
      <c r="K140" s="522">
        <f t="shared" si="22"/>
        <v>0</v>
      </c>
      <c r="L140" s="522"/>
      <c r="M140" s="529">
        <f>SUMIF([2]APCO_2831001!$A$34:$A$85,$B140,[2]APCO_2831001!$L$34:$L$85)*-1</f>
        <v>16678000.300000001</v>
      </c>
      <c r="N140" s="529">
        <f>SUMIF([2]APCO_2831001!$A$86:$A$100,$B140,[2]APCO_2831001!$L$86:$L$100)*-1</f>
        <v>0</v>
      </c>
      <c r="O140" s="529">
        <f>SUMIF([2]APCO_2831001!$A$3:$A$33,$B140,[2]APCO_2831001!$L$3:$L$33)*-1</f>
        <v>0</v>
      </c>
      <c r="P140" s="522"/>
      <c r="Q140" s="529">
        <v>0</v>
      </c>
      <c r="R140" s="529">
        <v>0</v>
      </c>
      <c r="S140" s="529">
        <v>0</v>
      </c>
    </row>
    <row r="141" spans="1:19">
      <c r="A141" s="525">
        <f t="shared" si="20"/>
        <v>123</v>
      </c>
      <c r="B141" s="434" t="s">
        <v>1183</v>
      </c>
      <c r="C141" s="522">
        <f t="shared" ref="C141:C159" si="24">SUM(M141:O141)</f>
        <v>9557</v>
      </c>
      <c r="D141" s="522">
        <f t="shared" si="23"/>
        <v>0</v>
      </c>
      <c r="E141" s="522"/>
      <c r="F141" s="522"/>
      <c r="G141" s="522">
        <f t="shared" si="21"/>
        <v>4779</v>
      </c>
      <c r="H141" s="522"/>
      <c r="I141" s="522">
        <f t="shared" si="22"/>
        <v>4778.5</v>
      </c>
      <c r="J141" s="522">
        <f t="shared" si="22"/>
        <v>0</v>
      </c>
      <c r="K141" s="522">
        <f t="shared" si="22"/>
        <v>0</v>
      </c>
      <c r="L141" s="522"/>
      <c r="M141" s="529">
        <f>SUMIF([2]APCO_2831001!$A$34:$A$85,$B141,[2]APCO_2831001!$L$34:$L$85)*-1</f>
        <v>9557</v>
      </c>
      <c r="N141" s="529">
        <f>SUMIF([2]APCO_2831001!$A$86:$A$100,$B141,[2]APCO_2831001!$L$86:$L$100)*-1</f>
        <v>0</v>
      </c>
      <c r="O141" s="529">
        <f>SUMIF([2]APCO_2831001!$A$3:$A$33,$B141,[2]APCO_2831001!$L$3:$L$33)*-1</f>
        <v>0</v>
      </c>
      <c r="P141" s="522"/>
      <c r="Q141" s="529">
        <v>0</v>
      </c>
      <c r="R141" s="529">
        <v>0</v>
      </c>
      <c r="S141" s="529">
        <v>0</v>
      </c>
    </row>
    <row r="142" spans="1:19">
      <c r="A142" s="525">
        <f t="shared" si="20"/>
        <v>124</v>
      </c>
      <c r="B142" s="434" t="s">
        <v>1184</v>
      </c>
      <c r="C142" s="522">
        <f t="shared" si="24"/>
        <v>3147405.74</v>
      </c>
      <c r="D142" s="522">
        <f t="shared" si="23"/>
        <v>0</v>
      </c>
      <c r="E142" s="522"/>
      <c r="F142" s="522"/>
      <c r="G142" s="522">
        <f t="shared" si="21"/>
        <v>1573703</v>
      </c>
      <c r="H142" s="522"/>
      <c r="I142" s="522">
        <f t="shared" si="22"/>
        <v>1573702.87</v>
      </c>
      <c r="J142" s="522">
        <f t="shared" si="22"/>
        <v>0</v>
      </c>
      <c r="K142" s="522">
        <f t="shared" si="22"/>
        <v>0</v>
      </c>
      <c r="L142" s="522"/>
      <c r="M142" s="529">
        <f>SUMIF([2]APCO_2831001!$A$34:$A$85,$B142,[2]APCO_2831001!$L$34:$L$85)*-1</f>
        <v>3147405.74</v>
      </c>
      <c r="N142" s="529">
        <f>SUMIF([2]APCO_2831001!$A$86:$A$100,$B142,[2]APCO_2831001!$L$86:$L$100)*-1</f>
        <v>0</v>
      </c>
      <c r="O142" s="529">
        <f>SUMIF([2]APCO_2831001!$A$3:$A$33,$B142,[2]APCO_2831001!$L$3:$L$33)*-1</f>
        <v>0</v>
      </c>
      <c r="P142" s="522"/>
      <c r="Q142" s="529">
        <v>0</v>
      </c>
      <c r="R142" s="529">
        <v>0</v>
      </c>
      <c r="S142" s="529">
        <v>0</v>
      </c>
    </row>
    <row r="143" spans="1:19">
      <c r="A143" s="525">
        <f t="shared" si="20"/>
        <v>125</v>
      </c>
      <c r="B143" s="434" t="s">
        <v>1185</v>
      </c>
      <c r="C143" s="522">
        <f t="shared" si="24"/>
        <v>8960200.7300000004</v>
      </c>
      <c r="D143" s="522">
        <f t="shared" si="23"/>
        <v>0</v>
      </c>
      <c r="E143" s="522"/>
      <c r="F143" s="522"/>
      <c r="G143" s="522">
        <f t="shared" si="21"/>
        <v>4480100</v>
      </c>
      <c r="H143" s="522"/>
      <c r="I143" s="522">
        <f t="shared" si="22"/>
        <v>4480100.3650000002</v>
      </c>
      <c r="J143" s="522">
        <f t="shared" si="22"/>
        <v>0</v>
      </c>
      <c r="K143" s="522">
        <f t="shared" si="22"/>
        <v>0</v>
      </c>
      <c r="L143" s="522"/>
      <c r="M143" s="529">
        <f>SUMIF([2]APCO_2831001!$A$34:$A$85,$B143,[2]APCO_2831001!$L$34:$L$85)*-1</f>
        <v>8960200.7300000004</v>
      </c>
      <c r="N143" s="529">
        <f>SUMIF([2]APCO_2831001!$A$86:$A$100,$B143,[2]APCO_2831001!$L$86:$L$100)*-1</f>
        <v>0</v>
      </c>
      <c r="O143" s="529">
        <f>SUMIF([2]APCO_2831001!$A$3:$A$33,$B143,[2]APCO_2831001!$L$3:$L$33)*-1</f>
        <v>0</v>
      </c>
      <c r="P143" s="522"/>
      <c r="Q143" s="529">
        <v>0</v>
      </c>
      <c r="R143" s="529">
        <v>0</v>
      </c>
      <c r="S143" s="529">
        <v>0</v>
      </c>
    </row>
    <row r="144" spans="1:19">
      <c r="A144" s="525">
        <f t="shared" si="20"/>
        <v>126</v>
      </c>
      <c r="B144" s="434" t="s">
        <v>1186</v>
      </c>
      <c r="C144" s="522">
        <f t="shared" si="24"/>
        <v>1529235.48</v>
      </c>
      <c r="D144" s="522">
        <f t="shared" si="23"/>
        <v>0</v>
      </c>
      <c r="E144" s="522"/>
      <c r="F144" s="522"/>
      <c r="G144" s="522">
        <f t="shared" si="21"/>
        <v>764618</v>
      </c>
      <c r="H144" s="522"/>
      <c r="I144" s="522">
        <f t="shared" si="22"/>
        <v>764617.74</v>
      </c>
      <c r="J144" s="522">
        <f t="shared" si="22"/>
        <v>0</v>
      </c>
      <c r="K144" s="522">
        <f t="shared" si="22"/>
        <v>0</v>
      </c>
      <c r="L144" s="522"/>
      <c r="M144" s="529">
        <f>SUMIF([2]APCO_2831001!$A$34:$A$85,$B144,[2]APCO_2831001!$L$34:$L$85)*-1</f>
        <v>1529235.48</v>
      </c>
      <c r="N144" s="529">
        <f>SUMIF([2]APCO_2831001!$A$86:$A$100,$B144,[2]APCO_2831001!$L$86:$L$100)*-1</f>
        <v>0</v>
      </c>
      <c r="O144" s="529">
        <f>SUMIF([2]APCO_2831001!$A$3:$A$33,$B144,[2]APCO_2831001!$L$3:$L$33)*-1</f>
        <v>0</v>
      </c>
      <c r="P144" s="522"/>
      <c r="Q144" s="529">
        <v>0</v>
      </c>
      <c r="R144" s="529">
        <v>0</v>
      </c>
      <c r="S144" s="529">
        <v>0</v>
      </c>
    </row>
    <row r="145" spans="1:19">
      <c r="A145" s="525">
        <f t="shared" si="20"/>
        <v>127</v>
      </c>
      <c r="B145" s="609" t="s">
        <v>1187</v>
      </c>
      <c r="C145" s="609">
        <f t="shared" si="24"/>
        <v>1221208.3400000001</v>
      </c>
      <c r="D145" s="609">
        <f t="shared" si="23"/>
        <v>0</v>
      </c>
      <c r="E145" s="609"/>
      <c r="F145" s="609"/>
      <c r="G145" s="609">
        <f t="shared" si="21"/>
        <v>610604</v>
      </c>
      <c r="H145" s="609"/>
      <c r="I145" s="609">
        <f t="shared" si="22"/>
        <v>0</v>
      </c>
      <c r="J145" s="609">
        <f t="shared" si="22"/>
        <v>0</v>
      </c>
      <c r="K145" s="609">
        <f t="shared" si="22"/>
        <v>610604.17000000004</v>
      </c>
      <c r="L145" s="609"/>
      <c r="M145" s="609">
        <f>SUMIF([2]APCO_2831001!$A$34:$A$85,$B145,[2]APCO_2831001!$L$34:$L$85)*-1</f>
        <v>0</v>
      </c>
      <c r="N145" s="609">
        <f>SUMIF([2]APCO_2831001!$A$86:$A$100,$B145,[2]APCO_2831001!$L$86:$L$100)*-1</f>
        <v>0</v>
      </c>
      <c r="O145" s="609">
        <f>SUMIF([2]APCO_2831001!$A$3:$A$33,$B145,[2]APCO_2831001!$L$3:$L$33)*-1</f>
        <v>1221208.3400000001</v>
      </c>
      <c r="P145" s="522"/>
      <c r="Q145" s="529">
        <v>0</v>
      </c>
      <c r="R145" s="529">
        <v>0</v>
      </c>
      <c r="S145" s="529">
        <v>0</v>
      </c>
    </row>
    <row r="146" spans="1:19">
      <c r="A146" s="525">
        <f t="shared" si="20"/>
        <v>128</v>
      </c>
      <c r="B146" s="434" t="s">
        <v>1188</v>
      </c>
      <c r="C146" s="522">
        <f t="shared" si="24"/>
        <v>-243789.53</v>
      </c>
      <c r="D146" s="522">
        <f t="shared" si="23"/>
        <v>0</v>
      </c>
      <c r="E146" s="522"/>
      <c r="F146" s="522"/>
      <c r="G146" s="522">
        <f t="shared" si="21"/>
        <v>-121895</v>
      </c>
      <c r="H146" s="522"/>
      <c r="I146" s="522">
        <f t="shared" si="22"/>
        <v>0</v>
      </c>
      <c r="J146" s="522">
        <f t="shared" si="22"/>
        <v>0</v>
      </c>
      <c r="K146" s="522">
        <f t="shared" si="22"/>
        <v>-121894.765</v>
      </c>
      <c r="L146" s="522"/>
      <c r="M146" s="529">
        <f>SUMIF([2]APCO_2831001!$A$34:$A$85,$B146,[2]APCO_2831001!$L$34:$L$85)*-1</f>
        <v>0</v>
      </c>
      <c r="N146" s="529">
        <f>SUMIF([2]APCO_2831001!$A$86:$A$100,$B146,[2]APCO_2831001!$L$86:$L$100)*-1</f>
        <v>0</v>
      </c>
      <c r="O146" s="529">
        <f>SUMIF([2]APCO_2831001!$A$3:$A$33,$B146,[2]APCO_2831001!$L$3:$L$33)*-1</f>
        <v>-243789.53</v>
      </c>
      <c r="P146" s="522"/>
      <c r="Q146" s="529">
        <v>0</v>
      </c>
      <c r="R146" s="529">
        <v>0</v>
      </c>
      <c r="S146" s="529">
        <v>0</v>
      </c>
    </row>
    <row r="147" spans="1:19">
      <c r="A147" s="525">
        <f t="shared" si="20"/>
        <v>129</v>
      </c>
      <c r="B147" s="434" t="s">
        <v>1189</v>
      </c>
      <c r="C147" s="522">
        <f t="shared" si="24"/>
        <v>1400.79</v>
      </c>
      <c r="D147" s="522">
        <f t="shared" si="23"/>
        <v>0</v>
      </c>
      <c r="E147" s="522"/>
      <c r="F147" s="522"/>
      <c r="G147" s="522">
        <f t="shared" si="21"/>
        <v>700</v>
      </c>
      <c r="H147" s="522"/>
      <c r="I147" s="522">
        <f t="shared" si="22"/>
        <v>0</v>
      </c>
      <c r="J147" s="522">
        <f t="shared" si="22"/>
        <v>0</v>
      </c>
      <c r="K147" s="522">
        <f t="shared" si="22"/>
        <v>700.39499999999998</v>
      </c>
      <c r="L147" s="522"/>
      <c r="M147" s="529">
        <f>SUMIF([2]APCO_2831001!$A$34:$A$85,$B147,[2]APCO_2831001!$L$34:$L$85)*-1</f>
        <v>0</v>
      </c>
      <c r="N147" s="529">
        <f>SUMIF([2]APCO_2831001!$A$86:$A$100,$B147,[2]APCO_2831001!$L$86:$L$100)*-1</f>
        <v>0</v>
      </c>
      <c r="O147" s="529">
        <f>SUMIF([2]APCO_2831001!$A$3:$A$33,$B147,[2]APCO_2831001!$L$3:$L$33)*-1</f>
        <v>1400.79</v>
      </c>
      <c r="P147" s="522"/>
      <c r="Q147" s="529">
        <v>0</v>
      </c>
      <c r="R147" s="529">
        <v>0</v>
      </c>
      <c r="S147" s="529">
        <v>0</v>
      </c>
    </row>
    <row r="148" spans="1:19">
      <c r="A148" s="525">
        <f t="shared" ref="A148:A194" si="25">A147+1</f>
        <v>130</v>
      </c>
      <c r="B148" s="434" t="s">
        <v>1190</v>
      </c>
      <c r="C148" s="522">
        <f t="shared" si="24"/>
        <v>13705.27</v>
      </c>
      <c r="D148" s="522">
        <f t="shared" si="23"/>
        <v>0</v>
      </c>
      <c r="E148" s="522"/>
      <c r="F148" s="522"/>
      <c r="G148" s="522">
        <f t="shared" si="21"/>
        <v>6853</v>
      </c>
      <c r="H148" s="522"/>
      <c r="I148" s="522">
        <f t="shared" si="22"/>
        <v>0</v>
      </c>
      <c r="J148" s="522">
        <f t="shared" si="22"/>
        <v>0</v>
      </c>
      <c r="K148" s="522">
        <f t="shared" si="22"/>
        <v>6852.6350000000002</v>
      </c>
      <c r="L148" s="522"/>
      <c r="M148" s="529">
        <f>SUMIF([2]APCO_2831001!$A$34:$A$85,$B148,[2]APCO_2831001!$L$34:$L$85)*-1</f>
        <v>0</v>
      </c>
      <c r="N148" s="529">
        <f>SUMIF([2]APCO_2831001!$A$86:$A$100,$B148,[2]APCO_2831001!$L$86:$L$100)*-1</f>
        <v>0</v>
      </c>
      <c r="O148" s="529">
        <f>SUMIF([2]APCO_2831001!$A$3:$A$33,$B148,[2]APCO_2831001!$L$3:$L$33)*-1</f>
        <v>13705.27</v>
      </c>
      <c r="P148" s="522"/>
      <c r="Q148" s="529">
        <v>0</v>
      </c>
      <c r="R148" s="529">
        <v>0</v>
      </c>
      <c r="S148" s="529">
        <v>0</v>
      </c>
    </row>
    <row r="149" spans="1:19">
      <c r="A149" s="525">
        <f t="shared" si="25"/>
        <v>131</v>
      </c>
      <c r="B149" s="434" t="s">
        <v>1191</v>
      </c>
      <c r="C149" s="522">
        <f t="shared" si="24"/>
        <v>638.54999999999995</v>
      </c>
      <c r="D149" s="522">
        <f t="shared" si="23"/>
        <v>0</v>
      </c>
      <c r="E149" s="522"/>
      <c r="F149" s="522"/>
      <c r="G149" s="522">
        <f t="shared" si="21"/>
        <v>319</v>
      </c>
      <c r="H149" s="522"/>
      <c r="I149" s="522">
        <f t="shared" si="22"/>
        <v>0</v>
      </c>
      <c r="J149" s="522">
        <f t="shared" si="22"/>
        <v>0</v>
      </c>
      <c r="K149" s="522">
        <f t="shared" si="22"/>
        <v>319.27499999999998</v>
      </c>
      <c r="L149" s="522"/>
      <c r="M149" s="529">
        <f>SUMIF([2]APCO_2831001!$A$34:$A$85,$B149,[2]APCO_2831001!$L$34:$L$85)*-1</f>
        <v>0</v>
      </c>
      <c r="N149" s="529">
        <f>SUMIF([2]APCO_2831001!$A$86:$A$100,$B149,[2]APCO_2831001!$L$86:$L$100)*-1</f>
        <v>0</v>
      </c>
      <c r="O149" s="529">
        <f>SUMIF([2]APCO_2831001!$A$3:$A$33,$B149,[2]APCO_2831001!$L$3:$L$33)*-1</f>
        <v>638.54999999999995</v>
      </c>
      <c r="P149" s="522"/>
      <c r="Q149" s="529">
        <v>0</v>
      </c>
      <c r="R149" s="529">
        <v>0</v>
      </c>
      <c r="S149" s="529">
        <v>0</v>
      </c>
    </row>
    <row r="150" spans="1:19">
      <c r="A150" s="525">
        <f t="shared" si="25"/>
        <v>132</v>
      </c>
      <c r="B150" s="434" t="s">
        <v>1192</v>
      </c>
      <c r="C150" s="522">
        <f t="shared" si="24"/>
        <v>7110.18</v>
      </c>
      <c r="D150" s="522">
        <f t="shared" si="23"/>
        <v>0</v>
      </c>
      <c r="E150" s="522"/>
      <c r="F150" s="522"/>
      <c r="G150" s="522">
        <f t="shared" si="21"/>
        <v>3555</v>
      </c>
      <c r="H150" s="522"/>
      <c r="I150" s="522">
        <f t="shared" si="22"/>
        <v>0</v>
      </c>
      <c r="J150" s="522">
        <f t="shared" si="22"/>
        <v>0</v>
      </c>
      <c r="K150" s="522">
        <f t="shared" si="22"/>
        <v>3555.09</v>
      </c>
      <c r="L150" s="522"/>
      <c r="M150" s="529">
        <f>SUMIF([2]APCO_2831001!$A$34:$A$85,$B150,[2]APCO_2831001!$L$34:$L$85)*-1</f>
        <v>0</v>
      </c>
      <c r="N150" s="529">
        <f>SUMIF([2]APCO_2831001!$A$86:$A$100,$B150,[2]APCO_2831001!$L$86:$L$100)*-1</f>
        <v>0</v>
      </c>
      <c r="O150" s="529">
        <f>SUMIF([2]APCO_2831001!$A$3:$A$33,$B150,[2]APCO_2831001!$L$3:$L$33)*-1</f>
        <v>7110.18</v>
      </c>
      <c r="P150" s="522"/>
      <c r="Q150" s="529">
        <v>0</v>
      </c>
      <c r="R150" s="529">
        <v>0</v>
      </c>
      <c r="S150" s="529">
        <v>0</v>
      </c>
    </row>
    <row r="151" spans="1:19">
      <c r="A151" s="525">
        <f t="shared" si="25"/>
        <v>133</v>
      </c>
      <c r="B151" s="434" t="s">
        <v>1193</v>
      </c>
      <c r="C151" s="522">
        <f t="shared" si="24"/>
        <v>506.31</v>
      </c>
      <c r="D151" s="522">
        <f t="shared" si="23"/>
        <v>0</v>
      </c>
      <c r="E151" s="522"/>
      <c r="F151" s="522"/>
      <c r="G151" s="522">
        <f t="shared" si="21"/>
        <v>253</v>
      </c>
      <c r="H151" s="522"/>
      <c r="I151" s="522">
        <f t="shared" si="22"/>
        <v>0</v>
      </c>
      <c r="J151" s="522">
        <f t="shared" si="22"/>
        <v>0</v>
      </c>
      <c r="K151" s="522">
        <f t="shared" si="22"/>
        <v>253.155</v>
      </c>
      <c r="L151" s="522"/>
      <c r="M151" s="529">
        <f>SUMIF([2]APCO_2831001!$A$34:$A$85,$B151,[2]APCO_2831001!$L$34:$L$85)*-1</f>
        <v>0</v>
      </c>
      <c r="N151" s="529">
        <f>SUMIF([2]APCO_2831001!$A$86:$A$100,$B151,[2]APCO_2831001!$L$86:$L$100)*-1</f>
        <v>0</v>
      </c>
      <c r="O151" s="529">
        <f>SUMIF([2]APCO_2831001!$A$3:$A$33,$B151,[2]APCO_2831001!$L$3:$L$33)*-1</f>
        <v>506.31</v>
      </c>
      <c r="P151" s="522"/>
      <c r="Q151" s="529">
        <v>0</v>
      </c>
      <c r="R151" s="529">
        <v>0</v>
      </c>
      <c r="S151" s="529">
        <v>0</v>
      </c>
    </row>
    <row r="152" spans="1:19">
      <c r="A152" s="525">
        <f t="shared" si="25"/>
        <v>134</v>
      </c>
      <c r="B152" s="434" t="s">
        <v>1194</v>
      </c>
      <c r="C152" s="522">
        <f t="shared" si="24"/>
        <v>-2065.66</v>
      </c>
      <c r="D152" s="522">
        <f t="shared" si="23"/>
        <v>0</v>
      </c>
      <c r="E152" s="522"/>
      <c r="F152" s="522"/>
      <c r="G152" s="522">
        <f t="shared" si="21"/>
        <v>-1033</v>
      </c>
      <c r="H152" s="522"/>
      <c r="I152" s="522">
        <f t="shared" si="22"/>
        <v>0</v>
      </c>
      <c r="J152" s="522">
        <f t="shared" si="22"/>
        <v>0</v>
      </c>
      <c r="K152" s="522">
        <f t="shared" si="22"/>
        <v>-1032.83</v>
      </c>
      <c r="L152" s="522"/>
      <c r="M152" s="529">
        <f>SUMIF([2]APCO_2831001!$A$34:$A$85,$B152,[2]APCO_2831001!$L$34:$L$85)*-1</f>
        <v>0</v>
      </c>
      <c r="N152" s="529">
        <f>SUMIF([2]APCO_2831001!$A$86:$A$100,$B152,[2]APCO_2831001!$L$86:$L$100)*-1</f>
        <v>0</v>
      </c>
      <c r="O152" s="529">
        <f>SUMIF([2]APCO_2831001!$A$3:$A$33,$B152,[2]APCO_2831001!$L$3:$L$33)*-1</f>
        <v>-2065.66</v>
      </c>
      <c r="P152" s="522"/>
      <c r="Q152" s="529">
        <v>0</v>
      </c>
      <c r="R152" s="529">
        <v>0</v>
      </c>
      <c r="S152" s="529">
        <v>0</v>
      </c>
    </row>
    <row r="153" spans="1:19">
      <c r="A153" s="525">
        <f t="shared" si="25"/>
        <v>135</v>
      </c>
      <c r="B153" s="182" t="s">
        <v>457</v>
      </c>
      <c r="C153" s="522">
        <f t="shared" si="24"/>
        <v>10602961.250000002</v>
      </c>
      <c r="D153" s="522">
        <f t="shared" si="23"/>
        <v>5127714.9000000004</v>
      </c>
      <c r="E153" s="522"/>
      <c r="F153" s="522"/>
      <c r="G153" s="522">
        <f t="shared" si="21"/>
        <v>7865338</v>
      </c>
      <c r="H153" s="522"/>
      <c r="I153" s="522">
        <f t="shared" ref="I153:K159" si="26">(M153+Q153)/2</f>
        <v>6109760.8250000002</v>
      </c>
      <c r="J153" s="522">
        <f t="shared" si="26"/>
        <v>325129.69999999995</v>
      </c>
      <c r="K153" s="522">
        <f t="shared" si="26"/>
        <v>1430447.5499999998</v>
      </c>
      <c r="L153" s="522"/>
      <c r="M153" s="529">
        <f>SUMIF([2]APCO_2831001!$A$34:$A$85,$B153,[2]APCO_2831001!$L$34:$L$85)*-1</f>
        <v>8671144.3000000007</v>
      </c>
      <c r="N153" s="529">
        <f>SUMIF([2]APCO_2831001!$A$86:$A$100,$B153,[2]APCO_2831001!$L$86:$L$100)*-1</f>
        <v>331034.55</v>
      </c>
      <c r="O153" s="529">
        <f>SUMIF([2]APCO_2831001!$A$3:$A$33,$B153,[2]APCO_2831001!$L$3:$L$33)*-1</f>
        <v>1600782.4</v>
      </c>
      <c r="P153" s="522"/>
      <c r="Q153" s="529">
        <v>3548377.35</v>
      </c>
      <c r="R153" s="529">
        <v>319224.84999999998</v>
      </c>
      <c r="S153" s="529">
        <v>1260112.7</v>
      </c>
    </row>
    <row r="154" spans="1:19">
      <c r="A154" s="525">
        <f t="shared" si="25"/>
        <v>136</v>
      </c>
      <c r="B154" s="604" t="s">
        <v>1052</v>
      </c>
      <c r="C154" s="605">
        <f t="shared" si="24"/>
        <v>14283400.149999999</v>
      </c>
      <c r="D154" s="605">
        <f t="shared" si="23"/>
        <v>12300482.850000001</v>
      </c>
      <c r="E154" s="605"/>
      <c r="F154" s="605"/>
      <c r="G154" s="605">
        <f t="shared" si="21"/>
        <v>13291942</v>
      </c>
      <c r="H154" s="605"/>
      <c r="I154" s="605">
        <f t="shared" si="26"/>
        <v>4839426.17</v>
      </c>
      <c r="J154" s="605">
        <f t="shared" si="26"/>
        <v>2753303.5049999999</v>
      </c>
      <c r="K154" s="605">
        <f t="shared" si="26"/>
        <v>5699211.8249999993</v>
      </c>
      <c r="L154" s="605"/>
      <c r="M154" s="605">
        <f>SUMIF([2]APCO_2831001!$A$34:$A$85,$B154,[2]APCO_2831001!$L$34:$L$85)*-1</f>
        <v>5132474.5199999996</v>
      </c>
      <c r="N154" s="605">
        <f>SUMIF([2]APCO_2831001!$A$86:$A$100,$B154,[2]APCO_2831001!$L$86:$L$100)*-1</f>
        <v>2955773.78</v>
      </c>
      <c r="O154" s="605">
        <f>SUMIF([2]APCO_2831001!$A$3:$A$33,$B154,[2]APCO_2831001!$L$3:$L$33)*-1</f>
        <v>6195151.8499999996</v>
      </c>
      <c r="P154" s="522"/>
      <c r="Q154" s="529">
        <v>4546377.82</v>
      </c>
      <c r="R154" s="529">
        <v>2550833.23</v>
      </c>
      <c r="S154" s="529">
        <v>5203271.8</v>
      </c>
    </row>
    <row r="155" spans="1:19">
      <c r="A155" s="525">
        <f t="shared" si="25"/>
        <v>137</v>
      </c>
      <c r="B155" s="182" t="s">
        <v>458</v>
      </c>
      <c r="C155" s="522">
        <f t="shared" si="24"/>
        <v>35523154.270000003</v>
      </c>
      <c r="D155" s="522">
        <f t="shared" si="23"/>
        <v>3873499.49</v>
      </c>
      <c r="E155" s="522"/>
      <c r="F155" s="522"/>
      <c r="G155" s="522">
        <f t="shared" si="21"/>
        <v>19698327</v>
      </c>
      <c r="H155" s="522"/>
      <c r="I155" s="522">
        <f t="shared" si="26"/>
        <v>9756182.5800000001</v>
      </c>
      <c r="J155" s="522">
        <f t="shared" si="26"/>
        <v>3924535.375</v>
      </c>
      <c r="K155" s="522">
        <f t="shared" si="26"/>
        <v>6017608.9250000007</v>
      </c>
      <c r="L155" s="522"/>
      <c r="M155" s="529">
        <f>SUMIF([2]APCO_2831001!$A$34:$A$85,$B155,[2]APCO_2831001!$L$34:$L$85)*-1</f>
        <v>17500633.030000001</v>
      </c>
      <c r="N155" s="529">
        <f>SUMIF([2]APCO_2831001!$A$86:$A$100,$B155,[2]APCO_2831001!$L$86:$L$100)*-1</f>
        <v>7209322.3600000003</v>
      </c>
      <c r="O155" s="529">
        <f>SUMIF([2]APCO_2831001!$A$3:$A$33,$B155,[2]APCO_2831001!$L$3:$L$33)*-1</f>
        <v>10813198.880000001</v>
      </c>
      <c r="P155" s="522"/>
      <c r="Q155" s="529">
        <v>2011732.13</v>
      </c>
      <c r="R155" s="529">
        <v>639748.39</v>
      </c>
      <c r="S155" s="529">
        <v>1222018.97</v>
      </c>
    </row>
    <row r="156" spans="1:19">
      <c r="A156" s="525">
        <f t="shared" si="25"/>
        <v>138</v>
      </c>
      <c r="B156" s="604" t="s">
        <v>571</v>
      </c>
      <c r="C156" s="605">
        <f t="shared" si="24"/>
        <v>0</v>
      </c>
      <c r="D156" s="605">
        <f t="shared" si="23"/>
        <v>0</v>
      </c>
      <c r="E156" s="605"/>
      <c r="F156" s="605"/>
      <c r="G156" s="605">
        <f t="shared" si="21"/>
        <v>0</v>
      </c>
      <c r="H156" s="605"/>
      <c r="I156" s="605">
        <f t="shared" si="26"/>
        <v>0</v>
      </c>
      <c r="J156" s="605">
        <f t="shared" si="26"/>
        <v>0</v>
      </c>
      <c r="K156" s="605">
        <f t="shared" si="26"/>
        <v>0</v>
      </c>
      <c r="L156" s="605"/>
      <c r="M156" s="605">
        <f>SUMIF([2]APCO_2831001!$A$34:$A$85,$B156,[2]APCO_2831001!$L$34:$L$85)*-1</f>
        <v>0</v>
      </c>
      <c r="N156" s="605">
        <f>SUMIF([2]APCO_2831001!$A$86:$A$100,$B156,[2]APCO_2831001!$L$86:$L$100)*-1</f>
        <v>0</v>
      </c>
      <c r="O156" s="605">
        <f>SUMIF([2]APCO_2831001!$A$3:$A$33,$B156,[2]APCO_2831001!$L$3:$L$33)*-1</f>
        <v>0</v>
      </c>
      <c r="P156" s="522"/>
      <c r="Q156" s="529">
        <v>0</v>
      </c>
      <c r="R156" s="529">
        <v>0</v>
      </c>
      <c r="S156" s="529">
        <v>0</v>
      </c>
    </row>
    <row r="157" spans="1:19">
      <c r="A157" s="525">
        <f t="shared" si="25"/>
        <v>139</v>
      </c>
      <c r="B157" s="615" t="s">
        <v>1053</v>
      </c>
      <c r="C157" s="605">
        <f t="shared" si="24"/>
        <v>1854777.52</v>
      </c>
      <c r="D157" s="605">
        <f t="shared" si="23"/>
        <v>2060863.92</v>
      </c>
      <c r="E157" s="605"/>
      <c r="F157" s="605"/>
      <c r="G157" s="605">
        <f>ROUND(SUM(C157:F157)/2,0)</f>
        <v>1957821</v>
      </c>
      <c r="H157" s="605"/>
      <c r="I157" s="605">
        <f t="shared" si="26"/>
        <v>809781.5</v>
      </c>
      <c r="J157" s="605">
        <f t="shared" si="26"/>
        <v>126435.47</v>
      </c>
      <c r="K157" s="605">
        <f t="shared" si="26"/>
        <v>1021603.75</v>
      </c>
      <c r="L157" s="605"/>
      <c r="M157" s="605">
        <f>SUMIF([2]APCO_2831001!$A$34:$A$85,$B157,[2]APCO_2831001!$L$34:$L$85)*-1</f>
        <v>767161.41</v>
      </c>
      <c r="N157" s="605">
        <f>SUMIF([2]APCO_2831001!$A$86:$A$100,$B157,[2]APCO_2831001!$L$86:$L$100)*-1</f>
        <v>119780.97</v>
      </c>
      <c r="O157" s="605">
        <f>SUMIF([2]APCO_2831001!$A$3:$A$33,$B157,[2]APCO_2831001!$L$3:$L$33)*-1</f>
        <v>967835.14</v>
      </c>
      <c r="P157" s="522"/>
      <c r="Q157" s="529">
        <v>852401.59</v>
      </c>
      <c r="R157" s="529">
        <v>133089.97</v>
      </c>
      <c r="S157" s="529">
        <v>1075372.3600000001</v>
      </c>
    </row>
    <row r="158" spans="1:19">
      <c r="A158" s="525">
        <f t="shared" si="25"/>
        <v>140</v>
      </c>
      <c r="B158" s="604" t="s">
        <v>80</v>
      </c>
      <c r="C158" s="605">
        <f t="shared" si="24"/>
        <v>6866424.7799999993</v>
      </c>
      <c r="D158" s="605">
        <f t="shared" si="23"/>
        <v>6216182.4800000004</v>
      </c>
      <c r="E158" s="605"/>
      <c r="F158" s="605"/>
      <c r="G158" s="605">
        <f t="shared" si="21"/>
        <v>6541304</v>
      </c>
      <c r="H158" s="605"/>
      <c r="I158" s="605">
        <f t="shared" si="26"/>
        <v>3112427.52</v>
      </c>
      <c r="J158" s="605">
        <f t="shared" si="26"/>
        <v>499095.36499999999</v>
      </c>
      <c r="K158" s="605">
        <f t="shared" si="26"/>
        <v>2929780.7450000001</v>
      </c>
      <c r="L158" s="605"/>
      <c r="M158" s="605">
        <f>SUMIF([2]APCO_2831001!$A$34:$A$85,$B158,[2]APCO_2831001!$L$34:$L$85)*-1</f>
        <v>3036180.42</v>
      </c>
      <c r="N158" s="605">
        <f>SUMIF([2]APCO_2831001!$A$86:$A$100,$B158,[2]APCO_2831001!$L$86:$L$100)*-1</f>
        <v>521215.01</v>
      </c>
      <c r="O158" s="605">
        <f>SUMIF([2]APCO_2831001!$A$3:$A$33,$B158,[2]APCO_2831001!$L$3:$L$33)*-1</f>
        <v>3309029.35</v>
      </c>
      <c r="P158" s="522"/>
      <c r="Q158" s="529">
        <v>3188674.62</v>
      </c>
      <c r="R158" s="529">
        <v>476975.72</v>
      </c>
      <c r="S158" s="529">
        <v>2550532.14</v>
      </c>
    </row>
    <row r="159" spans="1:19">
      <c r="A159" s="525">
        <f t="shared" si="25"/>
        <v>141</v>
      </c>
      <c r="B159" s="182" t="s">
        <v>35</v>
      </c>
      <c r="C159" s="522">
        <f t="shared" si="24"/>
        <v>1779558.55</v>
      </c>
      <c r="D159" s="522">
        <f t="shared" si="23"/>
        <v>1779558.55</v>
      </c>
      <c r="E159" s="522"/>
      <c r="F159" s="522"/>
      <c r="G159" s="522">
        <f t="shared" si="21"/>
        <v>1779559</v>
      </c>
      <c r="H159" s="522"/>
      <c r="I159" s="522">
        <f t="shared" si="26"/>
        <v>1779558.55</v>
      </c>
      <c r="J159" s="522">
        <f t="shared" si="26"/>
        <v>0</v>
      </c>
      <c r="K159" s="522">
        <f t="shared" si="26"/>
        <v>0</v>
      </c>
      <c r="L159" s="522"/>
      <c r="M159" s="529">
        <f>SUMIF([2]APCO_2831001!$A$34:$A$85,$B159,[2]APCO_2831001!$L$34:$L$85)*-1</f>
        <v>1779558.55</v>
      </c>
      <c r="N159" s="529">
        <f>SUMIF([2]APCO_2831001!$A$86:$A$100,$B159,[2]APCO_2831001!$L$86:$L$100)*-1</f>
        <v>0</v>
      </c>
      <c r="O159" s="529">
        <f>SUMIF([2]APCO_2831001!$A$3:$A$33,$B159,[2]APCO_2831001!$L$3:$L$33)*-1</f>
        <v>0</v>
      </c>
      <c r="P159" s="522"/>
      <c r="Q159" s="529">
        <v>1779558.55</v>
      </c>
      <c r="R159" s="529">
        <v>0</v>
      </c>
      <c r="S159" s="529">
        <v>0</v>
      </c>
    </row>
    <row r="160" spans="1:19">
      <c r="A160" s="525">
        <f t="shared" si="25"/>
        <v>142</v>
      </c>
      <c r="B160" s="524" t="s">
        <v>485</v>
      </c>
      <c r="C160" s="526">
        <v>378847.35</v>
      </c>
      <c r="D160" s="526">
        <v>749475.65</v>
      </c>
      <c r="E160" s="522">
        <f t="shared" ref="E160:F165" si="27">-C160</f>
        <v>-378847.35</v>
      </c>
      <c r="F160" s="522">
        <f t="shared" si="27"/>
        <v>-749475.65</v>
      </c>
      <c r="G160" s="522">
        <f t="shared" si="21"/>
        <v>0</v>
      </c>
      <c r="H160" s="522"/>
      <c r="I160" s="522"/>
      <c r="J160" s="522"/>
      <c r="K160" s="522"/>
      <c r="L160" s="522"/>
      <c r="M160" s="522"/>
      <c r="N160" s="522"/>
      <c r="O160" s="522"/>
      <c r="P160" s="522"/>
      <c r="Q160" s="522"/>
      <c r="R160" s="522"/>
      <c r="S160" s="522"/>
    </row>
    <row r="161" spans="1:19">
      <c r="A161" s="525">
        <f t="shared" si="25"/>
        <v>143</v>
      </c>
      <c r="B161" s="524" t="s">
        <v>81</v>
      </c>
      <c r="C161" s="526">
        <v>152029235.34</v>
      </c>
      <c r="D161" s="526">
        <v>137507003.62</v>
      </c>
      <c r="E161" s="522">
        <f t="shared" si="27"/>
        <v>-152029235.34</v>
      </c>
      <c r="F161" s="522">
        <f t="shared" si="27"/>
        <v>-137507003.62</v>
      </c>
      <c r="G161" s="522">
        <f t="shared" si="21"/>
        <v>0</v>
      </c>
      <c r="H161" s="522"/>
      <c r="I161" s="522"/>
      <c r="J161" s="522"/>
      <c r="K161" s="522"/>
      <c r="L161" s="522"/>
      <c r="M161" s="522"/>
      <c r="N161" s="522"/>
      <c r="O161" s="522"/>
      <c r="P161" s="522"/>
      <c r="Q161" s="522"/>
      <c r="R161" s="522"/>
      <c r="S161" s="522"/>
    </row>
    <row r="162" spans="1:19">
      <c r="A162" s="525">
        <f t="shared" si="25"/>
        <v>144</v>
      </c>
      <c r="B162" s="524" t="s">
        <v>82</v>
      </c>
      <c r="C162" s="526">
        <v>0</v>
      </c>
      <c r="D162" s="526">
        <v>0</v>
      </c>
      <c r="E162" s="522">
        <f t="shared" si="27"/>
        <v>0</v>
      </c>
      <c r="F162" s="522">
        <f t="shared" si="27"/>
        <v>0</v>
      </c>
      <c r="G162" s="522">
        <f t="shared" si="21"/>
        <v>0</v>
      </c>
      <c r="H162" s="522"/>
      <c r="I162" s="522"/>
      <c r="J162" s="522"/>
      <c r="K162" s="522"/>
      <c r="L162" s="522"/>
      <c r="M162" s="522"/>
      <c r="N162" s="522"/>
      <c r="O162" s="522"/>
      <c r="P162" s="522"/>
      <c r="Q162" s="522"/>
      <c r="R162" s="522"/>
      <c r="S162" s="522"/>
    </row>
    <row r="163" spans="1:19">
      <c r="A163" s="525">
        <f t="shared" si="25"/>
        <v>145</v>
      </c>
      <c r="B163" s="535" t="s">
        <v>36</v>
      </c>
      <c r="C163" s="526">
        <f>1125135.56+944273.89+1378859.18</f>
        <v>3448268.63</v>
      </c>
      <c r="D163" s="526">
        <f>1205905.91+823206.1+1946576.67</f>
        <v>3975688.6799999997</v>
      </c>
      <c r="E163" s="522">
        <f>-C163</f>
        <v>-3448268.63</v>
      </c>
      <c r="F163" s="522">
        <f>-D163</f>
        <v>-3975688.6799999997</v>
      </c>
      <c r="G163" s="522">
        <f t="shared" si="21"/>
        <v>0</v>
      </c>
      <c r="H163" s="522"/>
      <c r="I163" s="522"/>
      <c r="J163" s="522"/>
      <c r="K163" s="522"/>
      <c r="L163" s="522"/>
      <c r="M163" s="522"/>
      <c r="N163" s="522"/>
      <c r="O163" s="522"/>
      <c r="P163" s="522"/>
      <c r="Q163" s="522"/>
      <c r="R163" s="522"/>
      <c r="S163" s="522"/>
    </row>
    <row r="164" spans="1:19">
      <c r="A164" s="525">
        <f t="shared" si="25"/>
        <v>146</v>
      </c>
      <c r="B164" s="535" t="s">
        <v>37</v>
      </c>
      <c r="C164" s="526">
        <f>28333.38+11631.36</f>
        <v>39964.740000000005</v>
      </c>
      <c r="D164" s="526">
        <f>31893.42+12358.32</f>
        <v>44251.74</v>
      </c>
      <c r="E164" s="522">
        <f>-C164</f>
        <v>-39964.740000000005</v>
      </c>
      <c r="F164" s="522">
        <f>-D164</f>
        <v>-44251.74</v>
      </c>
      <c r="G164" s="522">
        <f t="shared" si="21"/>
        <v>0</v>
      </c>
      <c r="H164" s="522"/>
      <c r="I164" s="522"/>
      <c r="J164" s="522"/>
      <c r="K164" s="522"/>
      <c r="L164" s="522"/>
      <c r="M164" s="522"/>
      <c r="N164" s="522"/>
      <c r="O164" s="522"/>
      <c r="P164" s="522"/>
      <c r="Q164" s="522"/>
      <c r="R164" s="522"/>
      <c r="S164" s="522"/>
    </row>
    <row r="165" spans="1:19">
      <c r="A165" s="525">
        <f t="shared" si="25"/>
        <v>147</v>
      </c>
      <c r="B165" s="524" t="s">
        <v>572</v>
      </c>
      <c r="C165" s="526">
        <v>0</v>
      </c>
      <c r="D165" s="526">
        <v>0</v>
      </c>
      <c r="E165" s="522">
        <f t="shared" si="27"/>
        <v>0</v>
      </c>
      <c r="F165" s="522">
        <f t="shared" si="27"/>
        <v>0</v>
      </c>
      <c r="G165" s="522">
        <f t="shared" si="21"/>
        <v>0</v>
      </c>
      <c r="H165" s="522"/>
      <c r="I165" s="522"/>
      <c r="J165" s="522"/>
      <c r="K165" s="522"/>
      <c r="L165" s="522"/>
      <c r="M165" s="522"/>
      <c r="N165" s="522"/>
      <c r="O165" s="522"/>
      <c r="P165" s="522"/>
      <c r="Q165" s="522"/>
      <c r="R165" s="522"/>
      <c r="S165" s="522"/>
    </row>
    <row r="166" spans="1:19">
      <c r="A166" s="525">
        <f t="shared" si="25"/>
        <v>148</v>
      </c>
      <c r="B166" s="516"/>
      <c r="C166" s="522"/>
      <c r="D166" s="522"/>
      <c r="E166" s="522"/>
      <c r="F166" s="522"/>
      <c r="G166" s="522"/>
      <c r="H166" s="522"/>
      <c r="I166" s="522"/>
      <c r="J166" s="522"/>
      <c r="K166" s="522"/>
      <c r="L166" s="522"/>
      <c r="M166" s="522"/>
      <c r="N166" s="522"/>
      <c r="O166" s="522"/>
      <c r="P166" s="522"/>
      <c r="Q166" s="522"/>
      <c r="R166" s="522"/>
      <c r="S166" s="522"/>
    </row>
    <row r="167" spans="1:19" ht="13.8" thickBot="1">
      <c r="A167" s="525">
        <f t="shared" si="25"/>
        <v>149</v>
      </c>
      <c r="B167" s="524"/>
      <c r="C167" s="527">
        <f>SUM(C76:C166)</f>
        <v>556471661.95000005</v>
      </c>
      <c r="D167" s="527">
        <f>SUM(D76:D166)</f>
        <v>460615757.36000013</v>
      </c>
      <c r="E167" s="527">
        <f>SUM(E76:E166)</f>
        <v>-155896316.06</v>
      </c>
      <c r="F167" s="527">
        <f>SUM(F76:F166)</f>
        <v>-142276419.69000003</v>
      </c>
      <c r="G167" s="527">
        <f>SUM(G76:G166)</f>
        <v>359457339</v>
      </c>
      <c r="H167" s="549"/>
      <c r="I167" s="527">
        <f>SUM(I76:I166)</f>
        <v>235230505.85000005</v>
      </c>
      <c r="J167" s="527">
        <f>SUM(J76:J166)</f>
        <v>34357596.859999999</v>
      </c>
      <c r="K167" s="527">
        <f>SUM(K76:K166)</f>
        <v>89869239.070000023</v>
      </c>
      <c r="L167" s="549"/>
      <c r="M167" s="527">
        <f>SUM(M76:M166)</f>
        <v>260854135.80000004</v>
      </c>
      <c r="N167" s="527">
        <f>SUM(N76:N166)</f>
        <v>41618988.57</v>
      </c>
      <c r="O167" s="527">
        <f>SUM(O76:O166)</f>
        <v>98102221.520000011</v>
      </c>
      <c r="P167" s="549"/>
      <c r="Q167" s="527">
        <f>SUM(Q76:Q166)</f>
        <v>209606875.90000007</v>
      </c>
      <c r="R167" s="527">
        <f>SUM(R76:R166)</f>
        <v>27096205.149999999</v>
      </c>
      <c r="S167" s="527">
        <f>SUM(S76:S166)</f>
        <v>81636256.61999999</v>
      </c>
    </row>
    <row r="168" spans="1:19" ht="13.8" thickTop="1">
      <c r="A168" s="525">
        <f t="shared" si="25"/>
        <v>150</v>
      </c>
      <c r="B168" s="516"/>
      <c r="C168" s="528"/>
      <c r="D168" s="528"/>
      <c r="E168" s="528"/>
      <c r="F168" s="528"/>
      <c r="G168" s="528"/>
      <c r="H168" s="522"/>
      <c r="I168" s="528"/>
      <c r="J168" s="528"/>
      <c r="K168" s="528"/>
      <c r="L168" s="522"/>
      <c r="M168" s="528"/>
      <c r="N168" s="528"/>
      <c r="O168" s="528"/>
      <c r="P168" s="522"/>
      <c r="Q168" s="528"/>
      <c r="R168" s="528"/>
      <c r="S168" s="528"/>
    </row>
    <row r="169" spans="1:19">
      <c r="A169" s="525">
        <f t="shared" si="25"/>
        <v>151</v>
      </c>
      <c r="B169" s="516"/>
      <c r="C169" s="522"/>
      <c r="D169" s="522"/>
      <c r="E169" s="522"/>
      <c r="F169" s="522"/>
      <c r="G169" s="522"/>
      <c r="H169" s="522"/>
      <c r="I169" s="522"/>
      <c r="J169" s="522"/>
      <c r="K169" s="522"/>
      <c r="L169" s="522"/>
      <c r="M169" s="522"/>
      <c r="N169" s="522"/>
      <c r="O169" s="522"/>
      <c r="P169" s="522"/>
      <c r="Q169" s="522"/>
      <c r="R169" s="522"/>
      <c r="S169" s="522"/>
    </row>
    <row r="170" spans="1:19">
      <c r="A170" s="525">
        <f t="shared" si="25"/>
        <v>152</v>
      </c>
      <c r="B170" s="182" t="s">
        <v>452</v>
      </c>
      <c r="C170" s="522">
        <f>SUM(M170:O170)</f>
        <v>61981829.269999996</v>
      </c>
      <c r="D170" s="522">
        <f>SUM(Q170:S170)</f>
        <v>59301985</v>
      </c>
      <c r="E170" s="522"/>
      <c r="F170" s="522"/>
      <c r="G170" s="522">
        <f>ROUND(SUM(C170:F170)/2,0)</f>
        <v>60641907</v>
      </c>
      <c r="H170" s="522"/>
      <c r="I170" s="522">
        <f t="shared" ref="I170:K170" si="28">(M170+Q170)/2</f>
        <v>39072836.5</v>
      </c>
      <c r="J170" s="522">
        <f t="shared" si="28"/>
        <v>9113256.25</v>
      </c>
      <c r="K170" s="522">
        <f t="shared" si="28"/>
        <v>12455814.385</v>
      </c>
      <c r="L170" s="522"/>
      <c r="M170" s="526">
        <v>40917989</v>
      </c>
      <c r="N170" s="526">
        <v>8899512.5</v>
      </c>
      <c r="O170" s="526">
        <v>12164327.77</v>
      </c>
      <c r="P170" s="522"/>
      <c r="Q170" s="526">
        <f>58453062+18846157-45018934+4947399</f>
        <v>37227684</v>
      </c>
      <c r="R170" s="526">
        <f>18331300-9004300</f>
        <v>9327000</v>
      </c>
      <c r="S170" s="526">
        <f>23791676-11044375</f>
        <v>12747301</v>
      </c>
    </row>
    <row r="171" spans="1:19">
      <c r="A171" s="525">
        <f t="shared" si="25"/>
        <v>153</v>
      </c>
      <c r="B171" s="524" t="s">
        <v>83</v>
      </c>
      <c r="C171" s="526">
        <v>246830335</v>
      </c>
      <c r="D171" s="526">
        <v>180514169.30000001</v>
      </c>
      <c r="E171" s="522">
        <f>-C171</f>
        <v>-246830335</v>
      </c>
      <c r="F171" s="522">
        <f>-D171</f>
        <v>-180514169.30000001</v>
      </c>
      <c r="G171" s="522">
        <f>ROUND(SUM(C171:F171)/2,0)</f>
        <v>0</v>
      </c>
      <c r="H171" s="522"/>
      <c r="I171" s="522"/>
      <c r="J171" s="522"/>
      <c r="K171" s="522"/>
      <c r="L171" s="522"/>
      <c r="M171" s="522"/>
      <c r="N171" s="522"/>
      <c r="O171" s="522"/>
      <c r="P171" s="522"/>
      <c r="Q171" s="522"/>
      <c r="R171" s="522"/>
      <c r="S171" s="522"/>
    </row>
    <row r="172" spans="1:19">
      <c r="A172" s="525">
        <f t="shared" si="25"/>
        <v>154</v>
      </c>
      <c r="B172" s="516"/>
      <c r="C172" s="522"/>
      <c r="D172" s="522"/>
      <c r="E172" s="522"/>
      <c r="F172" s="522"/>
      <c r="G172" s="522"/>
      <c r="H172" s="522"/>
      <c r="I172" s="522"/>
      <c r="J172" s="522"/>
      <c r="K172" s="522"/>
      <c r="L172" s="522"/>
      <c r="M172" s="522"/>
      <c r="N172" s="522"/>
      <c r="O172" s="522"/>
      <c r="P172" s="522"/>
      <c r="Q172" s="522"/>
      <c r="R172" s="522"/>
      <c r="S172" s="522"/>
    </row>
    <row r="173" spans="1:19" ht="13.8" thickBot="1">
      <c r="A173" s="525">
        <f t="shared" si="25"/>
        <v>155</v>
      </c>
      <c r="B173" s="524" t="s">
        <v>84</v>
      </c>
      <c r="C173" s="527">
        <f>SUM(C167:C172)</f>
        <v>865283826.22000003</v>
      </c>
      <c r="D173" s="527">
        <f>SUM(D167:D172)</f>
        <v>700431911.66000009</v>
      </c>
      <c r="E173" s="527">
        <f>SUM(E167:E172)</f>
        <v>-402726651.06</v>
      </c>
      <c r="F173" s="527">
        <f>SUM(F167:F172)</f>
        <v>-322790588.99000001</v>
      </c>
      <c r="G173" s="527">
        <f>SUM(G167:G172)</f>
        <v>420099246</v>
      </c>
      <c r="H173" s="522"/>
      <c r="I173" s="527">
        <f>SUM(I167:I172)</f>
        <v>274303342.35000002</v>
      </c>
      <c r="J173" s="527">
        <f>SUM(J167:J172)</f>
        <v>43470853.109999999</v>
      </c>
      <c r="K173" s="527">
        <f>SUM(K167:K172)</f>
        <v>102325053.45500003</v>
      </c>
      <c r="L173" s="522"/>
      <c r="M173" s="603">
        <f>SUM(M167:M172)</f>
        <v>301772124.80000007</v>
      </c>
      <c r="N173" s="603">
        <f>SUM(N167:N172)</f>
        <v>50518501.07</v>
      </c>
      <c r="O173" s="603">
        <f>SUM(O167:O172)</f>
        <v>110266549.29000001</v>
      </c>
      <c r="P173" s="522"/>
      <c r="Q173" s="527">
        <f>SUM(Q167:Q172)</f>
        <v>246834559.90000007</v>
      </c>
      <c r="R173" s="527">
        <f>SUM(R167:R172)</f>
        <v>36423205.149999999</v>
      </c>
      <c r="S173" s="527">
        <f>SUM(S167:S172)</f>
        <v>94383557.61999999</v>
      </c>
    </row>
    <row r="174" spans="1:19" ht="13.8" thickTop="1">
      <c r="A174" s="525">
        <f t="shared" si="25"/>
        <v>156</v>
      </c>
      <c r="B174" s="516"/>
      <c r="C174" s="528"/>
      <c r="D174" s="528"/>
      <c r="E174" s="528"/>
      <c r="F174" s="528"/>
      <c r="G174" s="528"/>
      <c r="H174" s="522"/>
      <c r="I174" s="528"/>
      <c r="J174" s="528"/>
      <c r="K174" s="528"/>
      <c r="L174" s="522"/>
      <c r="M174" s="522"/>
      <c r="N174" s="522"/>
      <c r="O174" s="522"/>
      <c r="P174" s="522"/>
      <c r="Q174" s="528"/>
      <c r="R174" s="528"/>
      <c r="S174" s="528"/>
    </row>
    <row r="175" spans="1:19">
      <c r="A175" s="525">
        <f t="shared" si="25"/>
        <v>157</v>
      </c>
      <c r="B175" s="516"/>
      <c r="C175" s="535"/>
      <c r="D175" s="535"/>
      <c r="E175" s="522"/>
      <c r="F175" s="522"/>
      <c r="G175" s="522"/>
      <c r="H175" s="522"/>
      <c r="I175" s="522"/>
      <c r="J175" s="522"/>
      <c r="K175" s="522"/>
      <c r="L175" s="522"/>
      <c r="M175" s="522"/>
      <c r="N175" s="522"/>
      <c r="O175" s="522"/>
      <c r="P175" s="522"/>
      <c r="Q175" s="522"/>
      <c r="R175" s="522"/>
      <c r="S175" s="522"/>
    </row>
    <row r="176" spans="1:19">
      <c r="A176" s="525"/>
      <c r="B176" s="604" t="s">
        <v>695</v>
      </c>
      <c r="C176" s="604"/>
      <c r="D176" s="604"/>
      <c r="E176" s="604"/>
      <c r="F176" s="604"/>
      <c r="G176" s="604"/>
      <c r="H176" s="604"/>
      <c r="I176" s="604"/>
      <c r="J176" s="604"/>
      <c r="K176" s="604"/>
      <c r="L176" s="604"/>
      <c r="M176" s="616">
        <f>M89+M90+M107+M108+M109+M154+M156+M157+M158</f>
        <v>30060202.829999998</v>
      </c>
      <c r="N176" s="616">
        <f t="shared" ref="N176:O176" si="29">N89+N90+N107+N108+N109+N154+N156+N157+N158</f>
        <v>5893345.5299999993</v>
      </c>
      <c r="O176" s="616">
        <f t="shared" si="29"/>
        <v>37996259.880000003</v>
      </c>
      <c r="P176" s="522"/>
      <c r="Q176" s="522"/>
      <c r="R176" s="522"/>
      <c r="S176" s="522"/>
    </row>
    <row r="177" spans="1:19">
      <c r="A177" s="525"/>
      <c r="B177" s="609" t="s">
        <v>696</v>
      </c>
      <c r="C177" s="609"/>
      <c r="D177" s="609"/>
      <c r="E177" s="609"/>
      <c r="F177" s="609"/>
      <c r="G177" s="609"/>
      <c r="H177" s="609"/>
      <c r="I177" s="609"/>
      <c r="J177" s="609"/>
      <c r="K177" s="609"/>
      <c r="L177" s="609"/>
      <c r="M177" s="609">
        <f>M77+M78+M79+M80+M81+M82+M83+M99+M100+M101+M112+M113+M145</f>
        <v>38824254.619999997</v>
      </c>
      <c r="N177" s="609">
        <f t="shared" ref="N177:O177" si="30">N77+N78+N79+N80+N81+N82+N83+N99+N100+N101+N112+N113+N145</f>
        <v>0</v>
      </c>
      <c r="O177" s="609">
        <f t="shared" si="30"/>
        <v>1221208.3400000001</v>
      </c>
      <c r="P177" s="522"/>
      <c r="Q177" s="522"/>
      <c r="R177" s="522"/>
      <c r="S177" s="522"/>
    </row>
    <row r="178" spans="1:19">
      <c r="A178" s="525"/>
      <c r="B178" s="533" t="s">
        <v>295</v>
      </c>
      <c r="C178" s="551"/>
      <c r="D178" s="551"/>
      <c r="E178" s="531"/>
      <c r="F178" s="531"/>
      <c r="G178" s="531"/>
      <c r="H178" s="531"/>
      <c r="I178" s="531"/>
      <c r="J178" s="531"/>
      <c r="K178" s="531"/>
      <c r="L178" s="531"/>
      <c r="M178" s="531">
        <f>M106+M139</f>
        <v>12274741.299999999</v>
      </c>
      <c r="N178" s="531">
        <f t="shared" ref="N178:O178" si="31">N106+N139</f>
        <v>0</v>
      </c>
      <c r="O178" s="531">
        <f t="shared" si="31"/>
        <v>0</v>
      </c>
      <c r="P178" s="522"/>
      <c r="Q178" s="522"/>
      <c r="R178" s="522"/>
      <c r="S178" s="522"/>
    </row>
    <row r="179" spans="1:19">
      <c r="A179" s="525"/>
      <c r="B179" s="516" t="s">
        <v>697</v>
      </c>
      <c r="C179" s="535"/>
      <c r="D179" s="535"/>
      <c r="E179" s="522"/>
      <c r="F179" s="522"/>
      <c r="G179" s="522"/>
      <c r="H179" s="522"/>
      <c r="I179" s="522"/>
      <c r="J179" s="522"/>
      <c r="K179" s="522"/>
      <c r="L179" s="522"/>
      <c r="M179" s="522">
        <f>M173-M176-M177-M178</f>
        <v>220612926.05000007</v>
      </c>
      <c r="N179" s="522">
        <f t="shared" ref="N179:O179" si="32">N173-N176-N177-N178</f>
        <v>44625155.539999999</v>
      </c>
      <c r="O179" s="522">
        <f t="shared" si="32"/>
        <v>71049081.069999993</v>
      </c>
      <c r="P179" s="522"/>
      <c r="Q179" s="522"/>
      <c r="R179" s="522"/>
      <c r="S179" s="522"/>
    </row>
    <row r="180" spans="1:19">
      <c r="A180" s="525"/>
      <c r="B180" s="611" t="s">
        <v>699</v>
      </c>
      <c r="C180" s="613"/>
      <c r="D180" s="613"/>
      <c r="E180" s="612"/>
      <c r="F180" s="612"/>
      <c r="G180" s="612"/>
      <c r="H180" s="612"/>
      <c r="I180" s="612"/>
      <c r="J180" s="612"/>
      <c r="K180" s="612"/>
      <c r="L180" s="612"/>
      <c r="M180" s="612">
        <f>N173+O173+M178</f>
        <v>173059791.66000003</v>
      </c>
      <c r="N180" s="612"/>
      <c r="O180" s="612"/>
      <c r="P180" s="522"/>
      <c r="Q180" s="522"/>
      <c r="R180" s="522"/>
      <c r="S180" s="522"/>
    </row>
    <row r="181" spans="1:19">
      <c r="A181" s="525"/>
      <c r="B181" s="516"/>
      <c r="C181" s="535"/>
      <c r="D181" s="535"/>
      <c r="E181" s="522"/>
      <c r="F181" s="522"/>
      <c r="G181" s="522"/>
      <c r="H181" s="522"/>
      <c r="I181" s="522"/>
      <c r="J181" s="522"/>
      <c r="K181" s="522"/>
      <c r="L181" s="522"/>
      <c r="M181" s="522"/>
      <c r="N181" s="522"/>
      <c r="O181" s="522"/>
      <c r="P181" s="522"/>
      <c r="Q181" s="522"/>
      <c r="R181" s="522"/>
      <c r="S181" s="522"/>
    </row>
    <row r="182" spans="1:19">
      <c r="A182" s="525"/>
      <c r="B182" s="516"/>
      <c r="C182" s="535"/>
      <c r="D182" s="535"/>
      <c r="E182" s="522"/>
      <c r="F182" s="522"/>
      <c r="G182" s="522"/>
      <c r="H182" s="522"/>
      <c r="I182" s="522"/>
      <c r="J182" s="522"/>
      <c r="K182" s="522"/>
      <c r="L182" s="522"/>
      <c r="M182" s="522"/>
      <c r="N182" s="522"/>
      <c r="O182" s="522"/>
      <c r="P182" s="522"/>
      <c r="Q182" s="522"/>
      <c r="R182" s="522"/>
      <c r="S182" s="522"/>
    </row>
    <row r="183" spans="1:19">
      <c r="A183" s="525">
        <f>A175+1</f>
        <v>158</v>
      </c>
      <c r="B183" s="524" t="s">
        <v>85</v>
      </c>
      <c r="C183" s="522"/>
      <c r="D183" s="522"/>
      <c r="E183" s="522"/>
      <c r="F183" s="522"/>
      <c r="G183" s="522"/>
      <c r="H183" s="522"/>
      <c r="I183" s="522"/>
      <c r="J183" s="522"/>
      <c r="K183" s="522"/>
      <c r="L183" s="522"/>
      <c r="M183" s="522"/>
      <c r="N183" s="522"/>
      <c r="O183" s="522"/>
      <c r="P183" s="522"/>
      <c r="Q183" s="522"/>
      <c r="R183" s="522"/>
      <c r="S183" s="522"/>
    </row>
    <row r="184" spans="1:19">
      <c r="A184" s="525">
        <f t="shared" si="25"/>
        <v>159</v>
      </c>
      <c r="B184" s="516"/>
      <c r="C184" s="522"/>
      <c r="D184" s="522"/>
      <c r="E184" s="522"/>
      <c r="F184" s="522"/>
      <c r="G184" s="522"/>
      <c r="H184" s="522"/>
      <c r="I184" s="522"/>
      <c r="J184" s="522"/>
      <c r="K184" s="522"/>
      <c r="L184" s="522"/>
      <c r="M184" s="522"/>
      <c r="N184" s="522"/>
      <c r="O184" s="522"/>
      <c r="P184" s="522"/>
      <c r="Q184" s="522"/>
      <c r="R184" s="522"/>
      <c r="S184" s="522"/>
    </row>
    <row r="185" spans="1:19">
      <c r="A185" s="525">
        <f t="shared" si="25"/>
        <v>160</v>
      </c>
      <c r="B185" s="524" t="s">
        <v>86</v>
      </c>
      <c r="C185" s="522"/>
      <c r="D185" s="522"/>
      <c r="E185" s="522"/>
      <c r="F185" s="522"/>
      <c r="G185" s="522"/>
      <c r="H185" s="522"/>
      <c r="I185" s="522"/>
      <c r="J185" s="522"/>
      <c r="K185" s="522"/>
      <c r="L185" s="522"/>
      <c r="M185" s="522"/>
      <c r="N185" s="522"/>
      <c r="O185" s="522"/>
      <c r="P185" s="522"/>
      <c r="Q185" s="522"/>
      <c r="R185" s="522"/>
      <c r="S185" s="522"/>
    </row>
    <row r="186" spans="1:19">
      <c r="A186" s="525">
        <f t="shared" si="25"/>
        <v>161</v>
      </c>
      <c r="B186" s="516"/>
      <c r="C186" s="522"/>
      <c r="D186" s="417"/>
      <c r="E186" s="417"/>
      <c r="F186" s="417"/>
      <c r="G186" s="417"/>
      <c r="H186" s="417"/>
      <c r="I186" s="417"/>
      <c r="J186" s="417"/>
      <c r="K186" s="417"/>
      <c r="L186" s="417"/>
      <c r="M186" s="522"/>
      <c r="N186" s="522"/>
      <c r="O186" s="522"/>
      <c r="P186" s="522"/>
      <c r="Q186" s="522"/>
      <c r="R186" s="522"/>
      <c r="S186" s="522"/>
    </row>
    <row r="187" spans="1:19">
      <c r="A187" s="525">
        <f t="shared" si="25"/>
        <v>162</v>
      </c>
      <c r="B187" s="524" t="s">
        <v>87</v>
      </c>
      <c r="C187" s="522"/>
      <c r="D187" s="417"/>
      <c r="E187" s="417"/>
      <c r="F187" s="417"/>
      <c r="G187" s="417"/>
      <c r="H187" s="417"/>
      <c r="I187" s="417"/>
      <c r="J187" s="417"/>
      <c r="K187" s="417"/>
      <c r="L187" s="417"/>
      <c r="M187" s="522"/>
      <c r="N187" s="522"/>
      <c r="O187" s="522"/>
      <c r="P187" s="522"/>
      <c r="Q187" s="522"/>
      <c r="R187" s="522"/>
      <c r="S187" s="522"/>
    </row>
    <row r="188" spans="1:19">
      <c r="A188" s="525">
        <f t="shared" si="25"/>
        <v>163</v>
      </c>
      <c r="B188" s="516"/>
      <c r="C188" s="522"/>
      <c r="D188" s="522"/>
      <c r="E188" s="522"/>
      <c r="F188" s="522"/>
      <c r="G188" s="522"/>
      <c r="H188" s="522"/>
      <c r="I188" s="522"/>
      <c r="J188" s="522"/>
      <c r="K188" s="522"/>
      <c r="L188" s="522"/>
      <c r="M188" s="522"/>
      <c r="N188" s="522"/>
      <c r="O188" s="522"/>
      <c r="P188" s="522"/>
      <c r="Q188" s="522"/>
      <c r="R188" s="522"/>
      <c r="S188" s="522"/>
    </row>
    <row r="189" spans="1:19">
      <c r="A189" s="525">
        <f t="shared" si="25"/>
        <v>164</v>
      </c>
      <c r="B189" s="182" t="s">
        <v>88</v>
      </c>
      <c r="C189" s="522"/>
      <c r="D189" s="522"/>
      <c r="E189" s="522"/>
      <c r="F189" s="522"/>
      <c r="G189" s="522"/>
      <c r="H189" s="522"/>
      <c r="I189" s="522"/>
      <c r="J189" s="522"/>
      <c r="K189" s="522"/>
      <c r="L189" s="522"/>
      <c r="M189" s="522"/>
      <c r="N189" s="522"/>
      <c r="O189" s="522"/>
      <c r="P189" s="522"/>
      <c r="Q189" s="522"/>
      <c r="R189" s="522"/>
      <c r="S189" s="522"/>
    </row>
    <row r="190" spans="1:19">
      <c r="A190" s="525">
        <f t="shared" si="25"/>
        <v>165</v>
      </c>
      <c r="B190" s="182" t="s">
        <v>89</v>
      </c>
      <c r="C190" s="522"/>
      <c r="D190" s="522"/>
      <c r="E190" s="522"/>
      <c r="F190" s="522"/>
      <c r="G190" s="522"/>
      <c r="H190" s="522"/>
      <c r="I190" s="522"/>
      <c r="J190" s="522"/>
      <c r="K190" s="522"/>
      <c r="L190" s="522"/>
      <c r="M190" s="522"/>
      <c r="N190" s="522"/>
      <c r="O190" s="522"/>
      <c r="P190" s="522"/>
      <c r="Q190" s="522"/>
      <c r="R190" s="522"/>
      <c r="S190" s="522"/>
    </row>
    <row r="191" spans="1:19">
      <c r="A191" s="525">
        <f t="shared" si="25"/>
        <v>166</v>
      </c>
      <c r="B191" s="182" t="s">
        <v>38</v>
      </c>
      <c r="C191" s="522">
        <f>SUM(M191:O191)</f>
        <v>172882</v>
      </c>
      <c r="D191" s="522">
        <f>SUM(Q191:S191)</f>
        <v>438855</v>
      </c>
      <c r="E191" s="522"/>
      <c r="F191" s="522"/>
      <c r="G191" s="522">
        <f>ROUND(SUM(C191:F191)/2,0)</f>
        <v>305869</v>
      </c>
      <c r="H191" s="522"/>
      <c r="I191" s="522">
        <f t="shared" ref="I191:K192" si="33">(M191+Q191)/2</f>
        <v>91437</v>
      </c>
      <c r="J191" s="522">
        <f t="shared" si="33"/>
        <v>172907</v>
      </c>
      <c r="K191" s="522">
        <f t="shared" si="33"/>
        <v>41524.5</v>
      </c>
      <c r="L191" s="522"/>
      <c r="M191" s="526">
        <v>37336</v>
      </c>
      <c r="N191" s="526">
        <v>115806</v>
      </c>
      <c r="O191" s="526">
        <v>19740</v>
      </c>
      <c r="P191" s="522"/>
      <c r="Q191" s="526">
        <v>145538</v>
      </c>
      <c r="R191" s="526">
        <v>230008</v>
      </c>
      <c r="S191" s="526">
        <v>63309</v>
      </c>
    </row>
    <row r="192" spans="1:19">
      <c r="A192" s="525">
        <f t="shared" si="25"/>
        <v>167</v>
      </c>
      <c r="B192" s="182" t="s">
        <v>39</v>
      </c>
      <c r="C192" s="522">
        <f>SUM(M192:O192)</f>
        <v>851995</v>
      </c>
      <c r="D192" s="522">
        <f>SUM(Q192:S192)</f>
        <v>873076</v>
      </c>
      <c r="E192" s="522"/>
      <c r="F192" s="522"/>
      <c r="G192" s="522">
        <f>ROUND(SUM(C192:F192)/2,0)</f>
        <v>862536</v>
      </c>
      <c r="H192" s="522"/>
      <c r="I192" s="522">
        <f t="shared" si="33"/>
        <v>862535.5</v>
      </c>
      <c r="J192" s="522">
        <f t="shared" si="33"/>
        <v>0</v>
      </c>
      <c r="K192" s="522">
        <f t="shared" si="33"/>
        <v>0</v>
      </c>
      <c r="L192" s="522"/>
      <c r="M192" s="526">
        <v>851995</v>
      </c>
      <c r="N192" s="526">
        <v>0</v>
      </c>
      <c r="O192" s="526">
        <v>0</v>
      </c>
      <c r="P192" s="522"/>
      <c r="Q192" s="526">
        <v>873076</v>
      </c>
      <c r="R192" s="526">
        <v>0</v>
      </c>
      <c r="S192" s="526">
        <v>0</v>
      </c>
    </row>
    <row r="193" spans="1:19">
      <c r="A193" s="525">
        <f t="shared" si="25"/>
        <v>168</v>
      </c>
      <c r="B193" s="524"/>
      <c r="C193" s="522"/>
      <c r="D193" s="522"/>
      <c r="E193" s="522"/>
      <c r="F193" s="522"/>
      <c r="G193" s="522"/>
      <c r="H193" s="522"/>
      <c r="I193" s="522"/>
      <c r="J193" s="522"/>
      <c r="K193" s="522"/>
      <c r="L193" s="522"/>
      <c r="M193" s="522"/>
      <c r="N193" s="522"/>
      <c r="O193" s="522"/>
      <c r="P193" s="522"/>
      <c r="Q193" s="522"/>
      <c r="R193" s="522"/>
      <c r="S193" s="522"/>
    </row>
    <row r="194" spans="1:19" ht="13.8" thickBot="1">
      <c r="A194" s="525">
        <f t="shared" si="25"/>
        <v>169</v>
      </c>
      <c r="B194" s="182" t="s">
        <v>90</v>
      </c>
      <c r="C194" s="527">
        <f>SUM(C191:C193)</f>
        <v>1024877</v>
      </c>
      <c r="D194" s="527">
        <f>SUM(D191:D193)</f>
        <v>1311931</v>
      </c>
      <c r="E194" s="527">
        <f>SUM(E191:E193)</f>
        <v>0</v>
      </c>
      <c r="F194" s="527">
        <f>SUM(F191:F193)</f>
        <v>0</v>
      </c>
      <c r="G194" s="527">
        <f>SUM(G191:G193)</f>
        <v>1168405</v>
      </c>
      <c r="H194" s="522"/>
      <c r="I194" s="527">
        <f>SUM(I191:I193)</f>
        <v>953972.5</v>
      </c>
      <c r="J194" s="527">
        <f>SUM(J191:J193)</f>
        <v>172907</v>
      </c>
      <c r="K194" s="527">
        <f>SUM(K191:K193)</f>
        <v>41524.5</v>
      </c>
      <c r="L194" s="522"/>
      <c r="M194" s="527">
        <f>SUM(M191:M193)</f>
        <v>889331</v>
      </c>
      <c r="N194" s="527">
        <f>SUM(N191:N193)</f>
        <v>115806</v>
      </c>
      <c r="O194" s="527">
        <f>SUM(O191:O193)</f>
        <v>19740</v>
      </c>
      <c r="P194" s="522"/>
      <c r="Q194" s="527">
        <f>SUM(Q191:Q193)</f>
        <v>1018614</v>
      </c>
      <c r="R194" s="527">
        <f>SUM(R191:R193)</f>
        <v>230008</v>
      </c>
      <c r="S194" s="527">
        <f>SUM(S191:S193)</f>
        <v>63309</v>
      </c>
    </row>
    <row r="195" spans="1:19" ht="13.8" thickTop="1">
      <c r="A195" s="525"/>
      <c r="B195" s="516"/>
      <c r="C195" s="528"/>
      <c r="D195" s="528"/>
      <c r="E195" s="528"/>
      <c r="F195" s="528"/>
      <c r="G195" s="528"/>
      <c r="H195" s="522"/>
      <c r="I195" s="528"/>
      <c r="J195" s="528"/>
      <c r="K195" s="528"/>
      <c r="L195" s="522"/>
      <c r="M195" s="528"/>
      <c r="N195" s="528"/>
      <c r="O195" s="528"/>
      <c r="P195" s="522"/>
      <c r="Q195" s="528"/>
      <c r="R195" s="528"/>
      <c r="S195" s="528"/>
    </row>
    <row r="196" spans="1:19">
      <c r="A196" s="426"/>
      <c r="C196" s="431"/>
      <c r="D196" s="431"/>
      <c r="E196" s="431"/>
      <c r="F196" s="431"/>
      <c r="G196" s="431"/>
      <c r="H196" s="431"/>
      <c r="I196" s="431"/>
      <c r="J196" s="431"/>
      <c r="K196" s="431"/>
      <c r="L196" s="431"/>
      <c r="M196" s="431"/>
      <c r="N196" s="431"/>
      <c r="O196" s="431"/>
    </row>
    <row r="197" spans="1:19">
      <c r="A197" s="426"/>
      <c r="C197" s="431"/>
      <c r="D197" s="431"/>
      <c r="E197" s="431"/>
      <c r="F197" s="431"/>
      <c r="G197" s="431"/>
      <c r="H197" s="431"/>
      <c r="I197" s="431"/>
      <c r="J197" s="431"/>
      <c r="K197" s="431"/>
      <c r="L197" s="431"/>
      <c r="M197" s="431"/>
      <c r="N197" s="431"/>
      <c r="O197" s="431"/>
    </row>
    <row r="198" spans="1:19">
      <c r="A198" s="426"/>
      <c r="C198" s="431"/>
      <c r="D198" s="431"/>
      <c r="E198" s="431"/>
      <c r="F198" s="431"/>
      <c r="G198" s="431"/>
      <c r="H198" s="431"/>
      <c r="I198" s="431"/>
      <c r="J198" s="431"/>
      <c r="K198" s="431"/>
      <c r="L198" s="431"/>
      <c r="M198" s="431"/>
      <c r="N198" s="431"/>
      <c r="O198" s="431"/>
    </row>
    <row r="199" spans="1:19">
      <c r="A199" s="426"/>
      <c r="C199" s="431"/>
      <c r="D199" s="431"/>
      <c r="E199" s="431"/>
      <c r="F199" s="431"/>
      <c r="G199" s="431"/>
      <c r="H199" s="431"/>
      <c r="I199" s="431"/>
      <c r="J199" s="431"/>
      <c r="K199" s="431"/>
      <c r="L199" s="431"/>
      <c r="M199" s="431"/>
      <c r="N199" s="431"/>
      <c r="O199" s="431"/>
    </row>
    <row r="200" spans="1:19">
      <c r="A200" s="426"/>
      <c r="C200" s="431"/>
      <c r="D200" s="431"/>
      <c r="E200" s="431"/>
      <c r="F200" s="431"/>
      <c r="G200" s="431"/>
      <c r="H200" s="431"/>
      <c r="I200" s="431"/>
      <c r="J200" s="431"/>
      <c r="K200" s="431"/>
      <c r="L200" s="431"/>
      <c r="M200" s="431"/>
      <c r="N200" s="431"/>
      <c r="O200" s="431"/>
    </row>
    <row r="201" spans="1:19">
      <c r="A201" s="426"/>
      <c r="C201" s="431"/>
      <c r="D201" s="431"/>
      <c r="E201" s="431"/>
      <c r="F201" s="431"/>
      <c r="G201" s="431"/>
      <c r="H201" s="431"/>
      <c r="I201" s="431"/>
      <c r="J201" s="431"/>
      <c r="K201" s="431"/>
      <c r="L201" s="431"/>
      <c r="M201" s="431"/>
      <c r="N201" s="431"/>
      <c r="O201" s="431"/>
    </row>
    <row r="202" spans="1:19">
      <c r="A202" s="426"/>
      <c r="C202" s="431"/>
      <c r="D202" s="431"/>
      <c r="E202" s="431"/>
      <c r="F202" s="431"/>
      <c r="G202" s="431"/>
      <c r="H202" s="431"/>
      <c r="I202" s="431"/>
      <c r="J202" s="431"/>
      <c r="K202" s="431"/>
      <c r="L202" s="431"/>
      <c r="M202" s="431"/>
      <c r="N202" s="431"/>
      <c r="O202" s="431"/>
    </row>
    <row r="203" spans="1:19">
      <c r="A203" s="426"/>
      <c r="C203" s="431"/>
      <c r="D203" s="431"/>
      <c r="E203" s="431"/>
      <c r="F203" s="431"/>
      <c r="G203" s="431"/>
      <c r="H203" s="431"/>
      <c r="I203" s="431"/>
      <c r="J203" s="431"/>
      <c r="K203" s="431"/>
      <c r="L203" s="431"/>
      <c r="M203" s="431"/>
      <c r="N203" s="431"/>
      <c r="O203" s="431"/>
    </row>
    <row r="204" spans="1:19">
      <c r="A204" s="426"/>
      <c r="C204" s="431"/>
      <c r="D204" s="431"/>
      <c r="E204" s="431"/>
      <c r="F204" s="431"/>
      <c r="G204" s="431"/>
      <c r="H204" s="431"/>
      <c r="I204" s="431"/>
      <c r="J204" s="431"/>
      <c r="K204" s="431"/>
      <c r="L204" s="431"/>
      <c r="M204" s="431"/>
      <c r="N204" s="431"/>
      <c r="O204" s="431"/>
    </row>
    <row r="205" spans="1:19">
      <c r="A205" s="426"/>
      <c r="C205" s="431"/>
      <c r="D205" s="431"/>
      <c r="E205" s="431"/>
      <c r="F205" s="431"/>
      <c r="G205" s="431"/>
      <c r="H205" s="431"/>
      <c r="I205" s="431"/>
      <c r="J205" s="431"/>
      <c r="K205" s="431"/>
      <c r="L205" s="431"/>
      <c r="M205" s="431"/>
      <c r="N205" s="431"/>
      <c r="O205" s="431"/>
    </row>
    <row r="206" spans="1:19">
      <c r="A206" s="426"/>
      <c r="C206" s="431"/>
      <c r="D206" s="431"/>
      <c r="E206" s="431"/>
      <c r="F206" s="431"/>
      <c r="G206" s="431"/>
      <c r="H206" s="431"/>
      <c r="I206" s="431"/>
      <c r="J206" s="431"/>
      <c r="K206" s="431"/>
      <c r="L206" s="431"/>
      <c r="M206" s="431"/>
      <c r="N206" s="431"/>
      <c r="O206" s="431"/>
    </row>
    <row r="207" spans="1:19">
      <c r="A207" s="426"/>
      <c r="C207" s="431"/>
      <c r="D207" s="431"/>
      <c r="E207" s="431"/>
      <c r="F207" s="431"/>
      <c r="G207" s="431"/>
      <c r="H207" s="431"/>
      <c r="I207" s="431"/>
      <c r="J207" s="431"/>
      <c r="K207" s="431"/>
      <c r="L207" s="431"/>
      <c r="M207" s="431"/>
      <c r="N207" s="431"/>
      <c r="O207" s="431"/>
    </row>
    <row r="208" spans="1:19">
      <c r="A208" s="426"/>
      <c r="C208" s="431"/>
      <c r="D208" s="431"/>
      <c r="E208" s="431"/>
      <c r="F208" s="431"/>
      <c r="G208" s="431"/>
      <c r="H208" s="431"/>
      <c r="I208" s="431"/>
      <c r="J208" s="431"/>
      <c r="K208" s="431"/>
      <c r="L208" s="431"/>
      <c r="M208" s="431"/>
      <c r="N208" s="431"/>
      <c r="O208" s="431"/>
    </row>
    <row r="209" spans="1:15">
      <c r="A209" s="426"/>
      <c r="C209" s="431"/>
      <c r="D209" s="431"/>
      <c r="E209" s="431"/>
      <c r="F209" s="431"/>
      <c r="G209" s="431"/>
      <c r="H209" s="431"/>
      <c r="I209" s="431"/>
      <c r="J209" s="431"/>
      <c r="K209" s="431"/>
      <c r="L209" s="431"/>
      <c r="M209" s="431"/>
      <c r="N209" s="431"/>
      <c r="O209" s="431"/>
    </row>
    <row r="210" spans="1:15">
      <c r="A210" s="426"/>
      <c r="C210" s="431"/>
      <c r="D210" s="431"/>
      <c r="E210" s="431"/>
      <c r="F210" s="431"/>
      <c r="G210" s="431"/>
      <c r="H210" s="431"/>
      <c r="I210" s="431"/>
      <c r="J210" s="431"/>
      <c r="K210" s="431"/>
      <c r="L210" s="431"/>
      <c r="M210" s="431"/>
      <c r="N210" s="431"/>
      <c r="O210" s="431"/>
    </row>
    <row r="211" spans="1:15">
      <c r="A211" s="426"/>
      <c r="C211" s="431"/>
      <c r="D211" s="431"/>
      <c r="E211" s="431"/>
      <c r="F211" s="431"/>
      <c r="G211" s="431"/>
      <c r="H211" s="431"/>
      <c r="I211" s="431"/>
      <c r="J211" s="431"/>
      <c r="K211" s="431"/>
      <c r="L211" s="431"/>
      <c r="M211" s="431"/>
      <c r="N211" s="431"/>
      <c r="O211" s="431"/>
    </row>
    <row r="212" spans="1:15">
      <c r="A212" s="426"/>
      <c r="C212" s="431"/>
      <c r="D212" s="431"/>
      <c r="E212" s="431"/>
      <c r="F212" s="431"/>
      <c r="G212" s="431"/>
      <c r="H212" s="431"/>
      <c r="I212" s="431"/>
      <c r="J212" s="431"/>
      <c r="K212" s="431"/>
      <c r="L212" s="431"/>
      <c r="M212" s="431"/>
      <c r="N212" s="431"/>
      <c r="O212" s="431"/>
    </row>
    <row r="213" spans="1:15">
      <c r="A213" s="426"/>
      <c r="C213" s="431"/>
      <c r="D213" s="431"/>
      <c r="E213" s="431"/>
      <c r="F213" s="431"/>
      <c r="G213" s="431"/>
      <c r="H213" s="431"/>
      <c r="I213" s="431"/>
      <c r="J213" s="431"/>
      <c r="K213" s="431"/>
      <c r="L213" s="431"/>
      <c r="M213" s="431"/>
      <c r="N213" s="431"/>
      <c r="O213" s="431"/>
    </row>
    <row r="214" spans="1:15">
      <c r="A214" s="426"/>
      <c r="C214" s="431"/>
      <c r="D214" s="431"/>
      <c r="E214" s="431"/>
      <c r="F214" s="431"/>
      <c r="G214" s="431"/>
      <c r="H214" s="431"/>
      <c r="I214" s="431"/>
      <c r="J214" s="431"/>
      <c r="K214" s="431"/>
      <c r="L214" s="431"/>
      <c r="M214" s="431"/>
      <c r="N214" s="431"/>
      <c r="O214" s="431"/>
    </row>
    <row r="215" spans="1:15">
      <c r="A215" s="426"/>
      <c r="C215" s="431"/>
      <c r="D215" s="431"/>
      <c r="E215" s="431"/>
      <c r="F215" s="431"/>
      <c r="G215" s="431"/>
      <c r="H215" s="431"/>
      <c r="I215" s="431"/>
      <c r="J215" s="431"/>
      <c r="K215" s="431"/>
      <c r="L215" s="431"/>
      <c r="M215" s="431"/>
      <c r="N215" s="431"/>
      <c r="O215" s="431"/>
    </row>
    <row r="216" spans="1:15">
      <c r="A216" s="426"/>
      <c r="C216" s="431"/>
      <c r="D216" s="431"/>
      <c r="E216" s="431"/>
      <c r="F216" s="431"/>
      <c r="G216" s="431"/>
      <c r="H216" s="431"/>
      <c r="I216" s="431"/>
      <c r="J216" s="431"/>
      <c r="K216" s="431"/>
      <c r="L216" s="431"/>
      <c r="M216" s="431"/>
      <c r="N216" s="431"/>
      <c r="O216" s="431"/>
    </row>
    <row r="217" spans="1:15">
      <c r="A217" s="426"/>
      <c r="C217" s="431"/>
      <c r="D217" s="431"/>
      <c r="E217" s="431"/>
      <c r="F217" s="431"/>
      <c r="G217" s="431"/>
      <c r="H217" s="431"/>
      <c r="I217" s="431"/>
      <c r="J217" s="431"/>
      <c r="K217" s="431"/>
      <c r="L217" s="431"/>
      <c r="M217" s="431"/>
      <c r="N217" s="431"/>
      <c r="O217" s="431"/>
    </row>
    <row r="218" spans="1:15">
      <c r="A218" s="426"/>
      <c r="C218" s="431"/>
      <c r="D218" s="431"/>
      <c r="E218" s="431"/>
      <c r="F218" s="431"/>
      <c r="G218" s="431"/>
      <c r="H218" s="431"/>
      <c r="I218" s="431"/>
      <c r="J218" s="431"/>
      <c r="K218" s="431"/>
      <c r="L218" s="431"/>
      <c r="M218" s="431"/>
      <c r="N218" s="431"/>
      <c r="O218" s="431"/>
    </row>
    <row r="219" spans="1:15">
      <c r="A219" s="426"/>
      <c r="C219" s="431"/>
      <c r="D219" s="431"/>
      <c r="E219" s="431"/>
      <c r="F219" s="431"/>
      <c r="G219" s="431"/>
      <c r="H219" s="431"/>
      <c r="I219" s="431"/>
      <c r="J219" s="431"/>
      <c r="K219" s="431"/>
      <c r="L219" s="431"/>
      <c r="M219" s="431"/>
      <c r="N219" s="431"/>
      <c r="O219" s="431"/>
    </row>
    <row r="220" spans="1:15">
      <c r="A220" s="426"/>
      <c r="C220" s="431"/>
      <c r="D220" s="431"/>
      <c r="E220" s="431"/>
      <c r="F220" s="431"/>
      <c r="G220" s="431"/>
      <c r="H220" s="431"/>
      <c r="I220" s="431"/>
      <c r="J220" s="431"/>
      <c r="K220" s="431"/>
      <c r="L220" s="431"/>
      <c r="M220" s="431"/>
      <c r="N220" s="431"/>
      <c r="O220" s="431"/>
    </row>
  </sheetData>
  <pageMargins left="0.5" right="0.5" top="0.5" bottom="0.5" header="0.5" footer="0.25"/>
  <pageSetup scale="52" fitToHeight="0" orientation="landscape" r:id="rId1"/>
  <headerFooter alignWithMargins="0">
    <oddFooter>&amp;C&amp;A</oddFooter>
  </headerFooter>
  <rowBreaks count="1" manualBreakCount="1">
    <brk id="73" max="21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U528"/>
  <sheetViews>
    <sheetView tabSelected="1" showOutlineSymbols="0" view="pageBreakPreview" topLeftCell="A10" zoomScale="60" zoomScaleNormal="90" workbookViewId="0">
      <pane xSplit="3" ySplit="1" topLeftCell="E90" activePane="bottomRight" state="frozen"/>
      <selection activeCell="L9" sqref="L9"/>
      <selection pane="topRight" activeCell="L9" sqref="L9"/>
      <selection pane="bottomLeft" activeCell="L9" sqref="L9"/>
      <selection pane="bottomRight" activeCell="M118" sqref="M118"/>
    </sheetView>
  </sheetViews>
  <sheetFormatPr defaultColWidth="12.6640625" defaultRowHeight="13.2"/>
  <cols>
    <col min="1" max="1" width="5.88671875" style="435" customWidth="1"/>
    <col min="2" max="2" width="48.33203125" style="426" customWidth="1"/>
    <col min="3" max="3" width="28.109375" style="436" customWidth="1"/>
    <col min="4" max="4" width="25.44140625" style="436" hidden="1" customWidth="1"/>
    <col min="5" max="5" width="31" style="436" customWidth="1"/>
    <col min="6" max="6" width="16.44140625" style="436" hidden="1" customWidth="1"/>
    <col min="7" max="7" width="18.44140625" style="436" hidden="1" customWidth="1"/>
    <col min="8" max="8" width="3" style="436" hidden="1" customWidth="1"/>
    <col min="9" max="9" width="14" style="426" hidden="1" customWidth="1"/>
    <col min="10" max="10" width="15.88671875" style="426" hidden="1" customWidth="1"/>
    <col min="11" max="11" width="15.109375" style="426" hidden="1" customWidth="1"/>
    <col min="12" max="12" width="2.88671875" style="426" customWidth="1"/>
    <col min="13" max="13" width="21" style="426" customWidth="1"/>
    <col min="14" max="14" width="20.6640625" style="426" customWidth="1"/>
    <col min="15" max="15" width="20.109375" style="426" customWidth="1"/>
    <col min="16" max="16" width="17.6640625" style="436" hidden="1" customWidth="1"/>
    <col min="17" max="19" width="12.6640625" style="436" hidden="1" customWidth="1"/>
    <col min="20" max="252" width="12.6640625" style="436"/>
    <col min="253" max="253" width="5.88671875" style="436" customWidth="1"/>
    <col min="254" max="254" width="48.33203125" style="436" customWidth="1"/>
    <col min="255" max="255" width="14.109375" style="436" customWidth="1"/>
    <col min="256" max="256" width="13.5546875" style="436" customWidth="1"/>
    <col min="257" max="257" width="15.88671875" style="436" customWidth="1"/>
    <col min="258" max="258" width="16.44140625" style="436" customWidth="1"/>
    <col min="259" max="259" width="18.44140625" style="436" customWidth="1"/>
    <col min="260" max="260" width="3.109375" style="436" customWidth="1"/>
    <col min="261" max="263" width="18.44140625" style="436" customWidth="1"/>
    <col min="264" max="264" width="3" style="436" customWidth="1"/>
    <col min="265" max="265" width="14" style="436" customWidth="1"/>
    <col min="266" max="266" width="15.88671875" style="436" customWidth="1"/>
    <col min="267" max="267" width="15.109375" style="436" customWidth="1"/>
    <col min="268" max="268" width="2.88671875" style="436" customWidth="1"/>
    <col min="269" max="269" width="14.109375" style="436" customWidth="1"/>
    <col min="270" max="270" width="15.88671875" style="436" customWidth="1"/>
    <col min="271" max="271" width="19.33203125" style="436" customWidth="1"/>
    <col min="272" max="272" width="17.6640625" style="436" bestFit="1" customWidth="1"/>
    <col min="273" max="508" width="12.6640625" style="436"/>
    <col min="509" max="509" width="5.88671875" style="436" customWidth="1"/>
    <col min="510" max="510" width="48.33203125" style="436" customWidth="1"/>
    <col min="511" max="511" width="14.109375" style="436" customWidth="1"/>
    <col min="512" max="512" width="13.5546875" style="436" customWidth="1"/>
    <col min="513" max="513" width="15.88671875" style="436" customWidth="1"/>
    <col min="514" max="514" width="16.44140625" style="436" customWidth="1"/>
    <col min="515" max="515" width="18.44140625" style="436" customWidth="1"/>
    <col min="516" max="516" width="3.109375" style="436" customWidth="1"/>
    <col min="517" max="519" width="18.44140625" style="436" customWidth="1"/>
    <col min="520" max="520" width="3" style="436" customWidth="1"/>
    <col min="521" max="521" width="14" style="436" customWidth="1"/>
    <col min="522" max="522" width="15.88671875" style="436" customWidth="1"/>
    <col min="523" max="523" width="15.109375" style="436" customWidth="1"/>
    <col min="524" max="524" width="2.88671875" style="436" customWidth="1"/>
    <col min="525" max="525" width="14.109375" style="436" customWidth="1"/>
    <col min="526" max="526" width="15.88671875" style="436" customWidth="1"/>
    <col min="527" max="527" width="19.33203125" style="436" customWidth="1"/>
    <col min="528" max="528" width="17.6640625" style="436" bestFit="1" customWidth="1"/>
    <col min="529" max="764" width="12.6640625" style="436"/>
    <col min="765" max="765" width="5.88671875" style="436" customWidth="1"/>
    <col min="766" max="766" width="48.33203125" style="436" customWidth="1"/>
    <col min="767" max="767" width="14.109375" style="436" customWidth="1"/>
    <col min="768" max="768" width="13.5546875" style="436" customWidth="1"/>
    <col min="769" max="769" width="15.88671875" style="436" customWidth="1"/>
    <col min="770" max="770" width="16.44140625" style="436" customWidth="1"/>
    <col min="771" max="771" width="18.44140625" style="436" customWidth="1"/>
    <col min="772" max="772" width="3.109375" style="436" customWidth="1"/>
    <col min="773" max="775" width="18.44140625" style="436" customWidth="1"/>
    <col min="776" max="776" width="3" style="436" customWidth="1"/>
    <col min="777" max="777" width="14" style="436" customWidth="1"/>
    <col min="778" max="778" width="15.88671875" style="436" customWidth="1"/>
    <col min="779" max="779" width="15.109375" style="436" customWidth="1"/>
    <col min="780" max="780" width="2.88671875" style="436" customWidth="1"/>
    <col min="781" max="781" width="14.109375" style="436" customWidth="1"/>
    <col min="782" max="782" width="15.88671875" style="436" customWidth="1"/>
    <col min="783" max="783" width="19.33203125" style="436" customWidth="1"/>
    <col min="784" max="784" width="17.6640625" style="436" bestFit="1" customWidth="1"/>
    <col min="785" max="1020" width="12.6640625" style="436"/>
    <col min="1021" max="1021" width="5.88671875" style="436" customWidth="1"/>
    <col min="1022" max="1022" width="48.33203125" style="436" customWidth="1"/>
    <col min="1023" max="1023" width="14.109375" style="436" customWidth="1"/>
    <col min="1024" max="1024" width="13.5546875" style="436" customWidth="1"/>
    <col min="1025" max="1025" width="15.88671875" style="436" customWidth="1"/>
    <col min="1026" max="1026" width="16.44140625" style="436" customWidth="1"/>
    <col min="1027" max="1027" width="18.44140625" style="436" customWidth="1"/>
    <col min="1028" max="1028" width="3.109375" style="436" customWidth="1"/>
    <col min="1029" max="1031" width="18.44140625" style="436" customWidth="1"/>
    <col min="1032" max="1032" width="3" style="436" customWidth="1"/>
    <col min="1033" max="1033" width="14" style="436" customWidth="1"/>
    <col min="1034" max="1034" width="15.88671875" style="436" customWidth="1"/>
    <col min="1035" max="1035" width="15.109375" style="436" customWidth="1"/>
    <col min="1036" max="1036" width="2.88671875" style="436" customWidth="1"/>
    <col min="1037" max="1037" width="14.109375" style="436" customWidth="1"/>
    <col min="1038" max="1038" width="15.88671875" style="436" customWidth="1"/>
    <col min="1039" max="1039" width="19.33203125" style="436" customWidth="1"/>
    <col min="1040" max="1040" width="17.6640625" style="436" bestFit="1" customWidth="1"/>
    <col min="1041" max="1276" width="12.6640625" style="436"/>
    <col min="1277" max="1277" width="5.88671875" style="436" customWidth="1"/>
    <col min="1278" max="1278" width="48.33203125" style="436" customWidth="1"/>
    <col min="1279" max="1279" width="14.109375" style="436" customWidth="1"/>
    <col min="1280" max="1280" width="13.5546875" style="436" customWidth="1"/>
    <col min="1281" max="1281" width="15.88671875" style="436" customWidth="1"/>
    <col min="1282" max="1282" width="16.44140625" style="436" customWidth="1"/>
    <col min="1283" max="1283" width="18.44140625" style="436" customWidth="1"/>
    <col min="1284" max="1284" width="3.109375" style="436" customWidth="1"/>
    <col min="1285" max="1287" width="18.44140625" style="436" customWidth="1"/>
    <col min="1288" max="1288" width="3" style="436" customWidth="1"/>
    <col min="1289" max="1289" width="14" style="436" customWidth="1"/>
    <col min="1290" max="1290" width="15.88671875" style="436" customWidth="1"/>
    <col min="1291" max="1291" width="15.109375" style="436" customWidth="1"/>
    <col min="1292" max="1292" width="2.88671875" style="436" customWidth="1"/>
    <col min="1293" max="1293" width="14.109375" style="436" customWidth="1"/>
    <col min="1294" max="1294" width="15.88671875" style="436" customWidth="1"/>
    <col min="1295" max="1295" width="19.33203125" style="436" customWidth="1"/>
    <col min="1296" max="1296" width="17.6640625" style="436" bestFit="1" customWidth="1"/>
    <col min="1297" max="1532" width="12.6640625" style="436"/>
    <col min="1533" max="1533" width="5.88671875" style="436" customWidth="1"/>
    <col min="1534" max="1534" width="48.33203125" style="436" customWidth="1"/>
    <col min="1535" max="1535" width="14.109375" style="436" customWidth="1"/>
    <col min="1536" max="1536" width="13.5546875" style="436" customWidth="1"/>
    <col min="1537" max="1537" width="15.88671875" style="436" customWidth="1"/>
    <col min="1538" max="1538" width="16.44140625" style="436" customWidth="1"/>
    <col min="1539" max="1539" width="18.44140625" style="436" customWidth="1"/>
    <col min="1540" max="1540" width="3.109375" style="436" customWidth="1"/>
    <col min="1541" max="1543" width="18.44140625" style="436" customWidth="1"/>
    <col min="1544" max="1544" width="3" style="436" customWidth="1"/>
    <col min="1545" max="1545" width="14" style="436" customWidth="1"/>
    <col min="1546" max="1546" width="15.88671875" style="436" customWidth="1"/>
    <col min="1547" max="1547" width="15.109375" style="436" customWidth="1"/>
    <col min="1548" max="1548" width="2.88671875" style="436" customWidth="1"/>
    <col min="1549" max="1549" width="14.109375" style="436" customWidth="1"/>
    <col min="1550" max="1550" width="15.88671875" style="436" customWidth="1"/>
    <col min="1551" max="1551" width="19.33203125" style="436" customWidth="1"/>
    <col min="1552" max="1552" width="17.6640625" style="436" bestFit="1" customWidth="1"/>
    <col min="1553" max="1788" width="12.6640625" style="436"/>
    <col min="1789" max="1789" width="5.88671875" style="436" customWidth="1"/>
    <col min="1790" max="1790" width="48.33203125" style="436" customWidth="1"/>
    <col min="1791" max="1791" width="14.109375" style="436" customWidth="1"/>
    <col min="1792" max="1792" width="13.5546875" style="436" customWidth="1"/>
    <col min="1793" max="1793" width="15.88671875" style="436" customWidth="1"/>
    <col min="1794" max="1794" width="16.44140625" style="436" customWidth="1"/>
    <col min="1795" max="1795" width="18.44140625" style="436" customWidth="1"/>
    <col min="1796" max="1796" width="3.109375" style="436" customWidth="1"/>
    <col min="1797" max="1799" width="18.44140625" style="436" customWidth="1"/>
    <col min="1800" max="1800" width="3" style="436" customWidth="1"/>
    <col min="1801" max="1801" width="14" style="436" customWidth="1"/>
    <col min="1802" max="1802" width="15.88671875" style="436" customWidth="1"/>
    <col min="1803" max="1803" width="15.109375" style="436" customWidth="1"/>
    <col min="1804" max="1804" width="2.88671875" style="436" customWidth="1"/>
    <col min="1805" max="1805" width="14.109375" style="436" customWidth="1"/>
    <col min="1806" max="1806" width="15.88671875" style="436" customWidth="1"/>
    <col min="1807" max="1807" width="19.33203125" style="436" customWidth="1"/>
    <col min="1808" max="1808" width="17.6640625" style="436" bestFit="1" customWidth="1"/>
    <col min="1809" max="2044" width="12.6640625" style="436"/>
    <col min="2045" max="2045" width="5.88671875" style="436" customWidth="1"/>
    <col min="2046" max="2046" width="48.33203125" style="436" customWidth="1"/>
    <col min="2047" max="2047" width="14.109375" style="436" customWidth="1"/>
    <col min="2048" max="2048" width="13.5546875" style="436" customWidth="1"/>
    <col min="2049" max="2049" width="15.88671875" style="436" customWidth="1"/>
    <col min="2050" max="2050" width="16.44140625" style="436" customWidth="1"/>
    <col min="2051" max="2051" width="18.44140625" style="436" customWidth="1"/>
    <col min="2052" max="2052" width="3.109375" style="436" customWidth="1"/>
    <col min="2053" max="2055" width="18.44140625" style="436" customWidth="1"/>
    <col min="2056" max="2056" width="3" style="436" customWidth="1"/>
    <col min="2057" max="2057" width="14" style="436" customWidth="1"/>
    <col min="2058" max="2058" width="15.88671875" style="436" customWidth="1"/>
    <col min="2059" max="2059" width="15.109375" style="436" customWidth="1"/>
    <col min="2060" max="2060" width="2.88671875" style="436" customWidth="1"/>
    <col min="2061" max="2061" width="14.109375" style="436" customWidth="1"/>
    <col min="2062" max="2062" width="15.88671875" style="436" customWidth="1"/>
    <col min="2063" max="2063" width="19.33203125" style="436" customWidth="1"/>
    <col min="2064" max="2064" width="17.6640625" style="436" bestFit="1" customWidth="1"/>
    <col min="2065" max="2300" width="12.6640625" style="436"/>
    <col min="2301" max="2301" width="5.88671875" style="436" customWidth="1"/>
    <col min="2302" max="2302" width="48.33203125" style="436" customWidth="1"/>
    <col min="2303" max="2303" width="14.109375" style="436" customWidth="1"/>
    <col min="2304" max="2304" width="13.5546875" style="436" customWidth="1"/>
    <col min="2305" max="2305" width="15.88671875" style="436" customWidth="1"/>
    <col min="2306" max="2306" width="16.44140625" style="436" customWidth="1"/>
    <col min="2307" max="2307" width="18.44140625" style="436" customWidth="1"/>
    <col min="2308" max="2308" width="3.109375" style="436" customWidth="1"/>
    <col min="2309" max="2311" width="18.44140625" style="436" customWidth="1"/>
    <col min="2312" max="2312" width="3" style="436" customWidth="1"/>
    <col min="2313" max="2313" width="14" style="436" customWidth="1"/>
    <col min="2314" max="2314" width="15.88671875" style="436" customWidth="1"/>
    <col min="2315" max="2315" width="15.109375" style="436" customWidth="1"/>
    <col min="2316" max="2316" width="2.88671875" style="436" customWidth="1"/>
    <col min="2317" max="2317" width="14.109375" style="436" customWidth="1"/>
    <col min="2318" max="2318" width="15.88671875" style="436" customWidth="1"/>
    <col min="2319" max="2319" width="19.33203125" style="436" customWidth="1"/>
    <col min="2320" max="2320" width="17.6640625" style="436" bestFit="1" customWidth="1"/>
    <col min="2321" max="2556" width="12.6640625" style="436"/>
    <col min="2557" max="2557" width="5.88671875" style="436" customWidth="1"/>
    <col min="2558" max="2558" width="48.33203125" style="436" customWidth="1"/>
    <col min="2559" max="2559" width="14.109375" style="436" customWidth="1"/>
    <col min="2560" max="2560" width="13.5546875" style="436" customWidth="1"/>
    <col min="2561" max="2561" width="15.88671875" style="436" customWidth="1"/>
    <col min="2562" max="2562" width="16.44140625" style="436" customWidth="1"/>
    <col min="2563" max="2563" width="18.44140625" style="436" customWidth="1"/>
    <col min="2564" max="2564" width="3.109375" style="436" customWidth="1"/>
    <col min="2565" max="2567" width="18.44140625" style="436" customWidth="1"/>
    <col min="2568" max="2568" width="3" style="436" customWidth="1"/>
    <col min="2569" max="2569" width="14" style="436" customWidth="1"/>
    <col min="2570" max="2570" width="15.88671875" style="436" customWidth="1"/>
    <col min="2571" max="2571" width="15.109375" style="436" customWidth="1"/>
    <col min="2572" max="2572" width="2.88671875" style="436" customWidth="1"/>
    <col min="2573" max="2573" width="14.109375" style="436" customWidth="1"/>
    <col min="2574" max="2574" width="15.88671875" style="436" customWidth="1"/>
    <col min="2575" max="2575" width="19.33203125" style="436" customWidth="1"/>
    <col min="2576" max="2576" width="17.6640625" style="436" bestFit="1" customWidth="1"/>
    <col min="2577" max="2812" width="12.6640625" style="436"/>
    <col min="2813" max="2813" width="5.88671875" style="436" customWidth="1"/>
    <col min="2814" max="2814" width="48.33203125" style="436" customWidth="1"/>
    <col min="2815" max="2815" width="14.109375" style="436" customWidth="1"/>
    <col min="2816" max="2816" width="13.5546875" style="436" customWidth="1"/>
    <col min="2817" max="2817" width="15.88671875" style="436" customWidth="1"/>
    <col min="2818" max="2818" width="16.44140625" style="436" customWidth="1"/>
    <col min="2819" max="2819" width="18.44140625" style="436" customWidth="1"/>
    <col min="2820" max="2820" width="3.109375" style="436" customWidth="1"/>
    <col min="2821" max="2823" width="18.44140625" style="436" customWidth="1"/>
    <col min="2824" max="2824" width="3" style="436" customWidth="1"/>
    <col min="2825" max="2825" width="14" style="436" customWidth="1"/>
    <col min="2826" max="2826" width="15.88671875" style="436" customWidth="1"/>
    <col min="2827" max="2827" width="15.109375" style="436" customWidth="1"/>
    <col min="2828" max="2828" width="2.88671875" style="436" customWidth="1"/>
    <col min="2829" max="2829" width="14.109375" style="436" customWidth="1"/>
    <col min="2830" max="2830" width="15.88671875" style="436" customWidth="1"/>
    <col min="2831" max="2831" width="19.33203125" style="436" customWidth="1"/>
    <col min="2832" max="2832" width="17.6640625" style="436" bestFit="1" customWidth="1"/>
    <col min="2833" max="3068" width="12.6640625" style="436"/>
    <col min="3069" max="3069" width="5.88671875" style="436" customWidth="1"/>
    <col min="3070" max="3070" width="48.33203125" style="436" customWidth="1"/>
    <col min="3071" max="3071" width="14.109375" style="436" customWidth="1"/>
    <col min="3072" max="3072" width="13.5546875" style="436" customWidth="1"/>
    <col min="3073" max="3073" width="15.88671875" style="436" customWidth="1"/>
    <col min="3074" max="3074" width="16.44140625" style="436" customWidth="1"/>
    <col min="3075" max="3075" width="18.44140625" style="436" customWidth="1"/>
    <col min="3076" max="3076" width="3.109375" style="436" customWidth="1"/>
    <col min="3077" max="3079" width="18.44140625" style="436" customWidth="1"/>
    <col min="3080" max="3080" width="3" style="436" customWidth="1"/>
    <col min="3081" max="3081" width="14" style="436" customWidth="1"/>
    <col min="3082" max="3082" width="15.88671875" style="436" customWidth="1"/>
    <col min="3083" max="3083" width="15.109375" style="436" customWidth="1"/>
    <col min="3084" max="3084" width="2.88671875" style="436" customWidth="1"/>
    <col min="3085" max="3085" width="14.109375" style="436" customWidth="1"/>
    <col min="3086" max="3086" width="15.88671875" style="436" customWidth="1"/>
    <col min="3087" max="3087" width="19.33203125" style="436" customWidth="1"/>
    <col min="3088" max="3088" width="17.6640625" style="436" bestFit="1" customWidth="1"/>
    <col min="3089" max="3324" width="12.6640625" style="436"/>
    <col min="3325" max="3325" width="5.88671875" style="436" customWidth="1"/>
    <col min="3326" max="3326" width="48.33203125" style="436" customWidth="1"/>
    <col min="3327" max="3327" width="14.109375" style="436" customWidth="1"/>
    <col min="3328" max="3328" width="13.5546875" style="436" customWidth="1"/>
    <col min="3329" max="3329" width="15.88671875" style="436" customWidth="1"/>
    <col min="3330" max="3330" width="16.44140625" style="436" customWidth="1"/>
    <col min="3331" max="3331" width="18.44140625" style="436" customWidth="1"/>
    <col min="3332" max="3332" width="3.109375" style="436" customWidth="1"/>
    <col min="3333" max="3335" width="18.44140625" style="436" customWidth="1"/>
    <col min="3336" max="3336" width="3" style="436" customWidth="1"/>
    <col min="3337" max="3337" width="14" style="436" customWidth="1"/>
    <col min="3338" max="3338" width="15.88671875" style="436" customWidth="1"/>
    <col min="3339" max="3339" width="15.109375" style="436" customWidth="1"/>
    <col min="3340" max="3340" width="2.88671875" style="436" customWidth="1"/>
    <col min="3341" max="3341" width="14.109375" style="436" customWidth="1"/>
    <col min="3342" max="3342" width="15.88671875" style="436" customWidth="1"/>
    <col min="3343" max="3343" width="19.33203125" style="436" customWidth="1"/>
    <col min="3344" max="3344" width="17.6640625" style="436" bestFit="1" customWidth="1"/>
    <col min="3345" max="3580" width="12.6640625" style="436"/>
    <col min="3581" max="3581" width="5.88671875" style="436" customWidth="1"/>
    <col min="3582" max="3582" width="48.33203125" style="436" customWidth="1"/>
    <col min="3583" max="3583" width="14.109375" style="436" customWidth="1"/>
    <col min="3584" max="3584" width="13.5546875" style="436" customWidth="1"/>
    <col min="3585" max="3585" width="15.88671875" style="436" customWidth="1"/>
    <col min="3586" max="3586" width="16.44140625" style="436" customWidth="1"/>
    <col min="3587" max="3587" width="18.44140625" style="436" customWidth="1"/>
    <col min="3588" max="3588" width="3.109375" style="436" customWidth="1"/>
    <col min="3589" max="3591" width="18.44140625" style="436" customWidth="1"/>
    <col min="3592" max="3592" width="3" style="436" customWidth="1"/>
    <col min="3593" max="3593" width="14" style="436" customWidth="1"/>
    <col min="3594" max="3594" width="15.88671875" style="436" customWidth="1"/>
    <col min="3595" max="3595" width="15.109375" style="436" customWidth="1"/>
    <col min="3596" max="3596" width="2.88671875" style="436" customWidth="1"/>
    <col min="3597" max="3597" width="14.109375" style="436" customWidth="1"/>
    <col min="3598" max="3598" width="15.88671875" style="436" customWidth="1"/>
    <col min="3599" max="3599" width="19.33203125" style="436" customWidth="1"/>
    <col min="3600" max="3600" width="17.6640625" style="436" bestFit="1" customWidth="1"/>
    <col min="3601" max="3836" width="12.6640625" style="436"/>
    <col min="3837" max="3837" width="5.88671875" style="436" customWidth="1"/>
    <col min="3838" max="3838" width="48.33203125" style="436" customWidth="1"/>
    <col min="3839" max="3839" width="14.109375" style="436" customWidth="1"/>
    <col min="3840" max="3840" width="13.5546875" style="436" customWidth="1"/>
    <col min="3841" max="3841" width="15.88671875" style="436" customWidth="1"/>
    <col min="3842" max="3842" width="16.44140625" style="436" customWidth="1"/>
    <col min="3843" max="3843" width="18.44140625" style="436" customWidth="1"/>
    <col min="3844" max="3844" width="3.109375" style="436" customWidth="1"/>
    <col min="3845" max="3847" width="18.44140625" style="436" customWidth="1"/>
    <col min="3848" max="3848" width="3" style="436" customWidth="1"/>
    <col min="3849" max="3849" width="14" style="436" customWidth="1"/>
    <col min="3850" max="3850" width="15.88671875" style="436" customWidth="1"/>
    <col min="3851" max="3851" width="15.109375" style="436" customWidth="1"/>
    <col min="3852" max="3852" width="2.88671875" style="436" customWidth="1"/>
    <col min="3853" max="3853" width="14.109375" style="436" customWidth="1"/>
    <col min="3854" max="3854" width="15.88671875" style="436" customWidth="1"/>
    <col min="3855" max="3855" width="19.33203125" style="436" customWidth="1"/>
    <col min="3856" max="3856" width="17.6640625" style="436" bestFit="1" customWidth="1"/>
    <col min="3857" max="4092" width="12.6640625" style="436"/>
    <col min="4093" max="4093" width="5.88671875" style="436" customWidth="1"/>
    <col min="4094" max="4094" width="48.33203125" style="436" customWidth="1"/>
    <col min="4095" max="4095" width="14.109375" style="436" customWidth="1"/>
    <col min="4096" max="4096" width="13.5546875" style="436" customWidth="1"/>
    <col min="4097" max="4097" width="15.88671875" style="436" customWidth="1"/>
    <col min="4098" max="4098" width="16.44140625" style="436" customWidth="1"/>
    <col min="4099" max="4099" width="18.44140625" style="436" customWidth="1"/>
    <col min="4100" max="4100" width="3.109375" style="436" customWidth="1"/>
    <col min="4101" max="4103" width="18.44140625" style="436" customWidth="1"/>
    <col min="4104" max="4104" width="3" style="436" customWidth="1"/>
    <col min="4105" max="4105" width="14" style="436" customWidth="1"/>
    <col min="4106" max="4106" width="15.88671875" style="436" customWidth="1"/>
    <col min="4107" max="4107" width="15.109375" style="436" customWidth="1"/>
    <col min="4108" max="4108" width="2.88671875" style="436" customWidth="1"/>
    <col min="4109" max="4109" width="14.109375" style="436" customWidth="1"/>
    <col min="4110" max="4110" width="15.88671875" style="436" customWidth="1"/>
    <col min="4111" max="4111" width="19.33203125" style="436" customWidth="1"/>
    <col min="4112" max="4112" width="17.6640625" style="436" bestFit="1" customWidth="1"/>
    <col min="4113" max="4348" width="12.6640625" style="436"/>
    <col min="4349" max="4349" width="5.88671875" style="436" customWidth="1"/>
    <col min="4350" max="4350" width="48.33203125" style="436" customWidth="1"/>
    <col min="4351" max="4351" width="14.109375" style="436" customWidth="1"/>
    <col min="4352" max="4352" width="13.5546875" style="436" customWidth="1"/>
    <col min="4353" max="4353" width="15.88671875" style="436" customWidth="1"/>
    <col min="4354" max="4354" width="16.44140625" style="436" customWidth="1"/>
    <col min="4355" max="4355" width="18.44140625" style="436" customWidth="1"/>
    <col min="4356" max="4356" width="3.109375" style="436" customWidth="1"/>
    <col min="4357" max="4359" width="18.44140625" style="436" customWidth="1"/>
    <col min="4360" max="4360" width="3" style="436" customWidth="1"/>
    <col min="4361" max="4361" width="14" style="436" customWidth="1"/>
    <col min="4362" max="4362" width="15.88671875" style="436" customWidth="1"/>
    <col min="4363" max="4363" width="15.109375" style="436" customWidth="1"/>
    <col min="4364" max="4364" width="2.88671875" style="436" customWidth="1"/>
    <col min="4365" max="4365" width="14.109375" style="436" customWidth="1"/>
    <col min="4366" max="4366" width="15.88671875" style="436" customWidth="1"/>
    <col min="4367" max="4367" width="19.33203125" style="436" customWidth="1"/>
    <col min="4368" max="4368" width="17.6640625" style="436" bestFit="1" customWidth="1"/>
    <col min="4369" max="4604" width="12.6640625" style="436"/>
    <col min="4605" max="4605" width="5.88671875" style="436" customWidth="1"/>
    <col min="4606" max="4606" width="48.33203125" style="436" customWidth="1"/>
    <col min="4607" max="4607" width="14.109375" style="436" customWidth="1"/>
    <col min="4608" max="4608" width="13.5546875" style="436" customWidth="1"/>
    <col min="4609" max="4609" width="15.88671875" style="436" customWidth="1"/>
    <col min="4610" max="4610" width="16.44140625" style="436" customWidth="1"/>
    <col min="4611" max="4611" width="18.44140625" style="436" customWidth="1"/>
    <col min="4612" max="4612" width="3.109375" style="436" customWidth="1"/>
    <col min="4613" max="4615" width="18.44140625" style="436" customWidth="1"/>
    <col min="4616" max="4616" width="3" style="436" customWidth="1"/>
    <col min="4617" max="4617" width="14" style="436" customWidth="1"/>
    <col min="4618" max="4618" width="15.88671875" style="436" customWidth="1"/>
    <col min="4619" max="4619" width="15.109375" style="436" customWidth="1"/>
    <col min="4620" max="4620" width="2.88671875" style="436" customWidth="1"/>
    <col min="4621" max="4621" width="14.109375" style="436" customWidth="1"/>
    <col min="4622" max="4622" width="15.88671875" style="436" customWidth="1"/>
    <col min="4623" max="4623" width="19.33203125" style="436" customWidth="1"/>
    <col min="4624" max="4624" width="17.6640625" style="436" bestFit="1" customWidth="1"/>
    <col min="4625" max="4860" width="12.6640625" style="436"/>
    <col min="4861" max="4861" width="5.88671875" style="436" customWidth="1"/>
    <col min="4862" max="4862" width="48.33203125" style="436" customWidth="1"/>
    <col min="4863" max="4863" width="14.109375" style="436" customWidth="1"/>
    <col min="4864" max="4864" width="13.5546875" style="436" customWidth="1"/>
    <col min="4865" max="4865" width="15.88671875" style="436" customWidth="1"/>
    <col min="4866" max="4866" width="16.44140625" style="436" customWidth="1"/>
    <col min="4867" max="4867" width="18.44140625" style="436" customWidth="1"/>
    <col min="4868" max="4868" width="3.109375" style="436" customWidth="1"/>
    <col min="4869" max="4871" width="18.44140625" style="436" customWidth="1"/>
    <col min="4872" max="4872" width="3" style="436" customWidth="1"/>
    <col min="4873" max="4873" width="14" style="436" customWidth="1"/>
    <col min="4874" max="4874" width="15.88671875" style="436" customWidth="1"/>
    <col min="4875" max="4875" width="15.109375" style="436" customWidth="1"/>
    <col min="4876" max="4876" width="2.88671875" style="436" customWidth="1"/>
    <col min="4877" max="4877" width="14.109375" style="436" customWidth="1"/>
    <col min="4878" max="4878" width="15.88671875" style="436" customWidth="1"/>
    <col min="4879" max="4879" width="19.33203125" style="436" customWidth="1"/>
    <col min="4880" max="4880" width="17.6640625" style="436" bestFit="1" customWidth="1"/>
    <col min="4881" max="5116" width="12.6640625" style="436"/>
    <col min="5117" max="5117" width="5.88671875" style="436" customWidth="1"/>
    <col min="5118" max="5118" width="48.33203125" style="436" customWidth="1"/>
    <col min="5119" max="5119" width="14.109375" style="436" customWidth="1"/>
    <col min="5120" max="5120" width="13.5546875" style="436" customWidth="1"/>
    <col min="5121" max="5121" width="15.88671875" style="436" customWidth="1"/>
    <col min="5122" max="5122" width="16.44140625" style="436" customWidth="1"/>
    <col min="5123" max="5123" width="18.44140625" style="436" customWidth="1"/>
    <col min="5124" max="5124" width="3.109375" style="436" customWidth="1"/>
    <col min="5125" max="5127" width="18.44140625" style="436" customWidth="1"/>
    <col min="5128" max="5128" width="3" style="436" customWidth="1"/>
    <col min="5129" max="5129" width="14" style="436" customWidth="1"/>
    <col min="5130" max="5130" width="15.88671875" style="436" customWidth="1"/>
    <col min="5131" max="5131" width="15.109375" style="436" customWidth="1"/>
    <col min="5132" max="5132" width="2.88671875" style="436" customWidth="1"/>
    <col min="5133" max="5133" width="14.109375" style="436" customWidth="1"/>
    <col min="5134" max="5134" width="15.88671875" style="436" customWidth="1"/>
    <col min="5135" max="5135" width="19.33203125" style="436" customWidth="1"/>
    <col min="5136" max="5136" width="17.6640625" style="436" bestFit="1" customWidth="1"/>
    <col min="5137" max="5372" width="12.6640625" style="436"/>
    <col min="5373" max="5373" width="5.88671875" style="436" customWidth="1"/>
    <col min="5374" max="5374" width="48.33203125" style="436" customWidth="1"/>
    <col min="5375" max="5375" width="14.109375" style="436" customWidth="1"/>
    <col min="5376" max="5376" width="13.5546875" style="436" customWidth="1"/>
    <col min="5377" max="5377" width="15.88671875" style="436" customWidth="1"/>
    <col min="5378" max="5378" width="16.44140625" style="436" customWidth="1"/>
    <col min="5379" max="5379" width="18.44140625" style="436" customWidth="1"/>
    <col min="5380" max="5380" width="3.109375" style="436" customWidth="1"/>
    <col min="5381" max="5383" width="18.44140625" style="436" customWidth="1"/>
    <col min="5384" max="5384" width="3" style="436" customWidth="1"/>
    <col min="5385" max="5385" width="14" style="436" customWidth="1"/>
    <col min="5386" max="5386" width="15.88671875" style="436" customWidth="1"/>
    <col min="5387" max="5387" width="15.109375" style="436" customWidth="1"/>
    <col min="5388" max="5388" width="2.88671875" style="436" customWidth="1"/>
    <col min="5389" max="5389" width="14.109375" style="436" customWidth="1"/>
    <col min="5390" max="5390" width="15.88671875" style="436" customWidth="1"/>
    <col min="5391" max="5391" width="19.33203125" style="436" customWidth="1"/>
    <col min="5392" max="5392" width="17.6640625" style="436" bestFit="1" customWidth="1"/>
    <col min="5393" max="5628" width="12.6640625" style="436"/>
    <col min="5629" max="5629" width="5.88671875" style="436" customWidth="1"/>
    <col min="5630" max="5630" width="48.33203125" style="436" customWidth="1"/>
    <col min="5631" max="5631" width="14.109375" style="436" customWidth="1"/>
    <col min="5632" max="5632" width="13.5546875" style="436" customWidth="1"/>
    <col min="5633" max="5633" width="15.88671875" style="436" customWidth="1"/>
    <col min="5634" max="5634" width="16.44140625" style="436" customWidth="1"/>
    <col min="5635" max="5635" width="18.44140625" style="436" customWidth="1"/>
    <col min="5636" max="5636" width="3.109375" style="436" customWidth="1"/>
    <col min="5637" max="5639" width="18.44140625" style="436" customWidth="1"/>
    <col min="5640" max="5640" width="3" style="436" customWidth="1"/>
    <col min="5641" max="5641" width="14" style="436" customWidth="1"/>
    <col min="5642" max="5642" width="15.88671875" style="436" customWidth="1"/>
    <col min="5643" max="5643" width="15.109375" style="436" customWidth="1"/>
    <col min="5644" max="5644" width="2.88671875" style="436" customWidth="1"/>
    <col min="5645" max="5645" width="14.109375" style="436" customWidth="1"/>
    <col min="5646" max="5646" width="15.88671875" style="436" customWidth="1"/>
    <col min="5647" max="5647" width="19.33203125" style="436" customWidth="1"/>
    <col min="5648" max="5648" width="17.6640625" style="436" bestFit="1" customWidth="1"/>
    <col min="5649" max="5884" width="12.6640625" style="436"/>
    <col min="5885" max="5885" width="5.88671875" style="436" customWidth="1"/>
    <col min="5886" max="5886" width="48.33203125" style="436" customWidth="1"/>
    <col min="5887" max="5887" width="14.109375" style="436" customWidth="1"/>
    <col min="5888" max="5888" width="13.5546875" style="436" customWidth="1"/>
    <col min="5889" max="5889" width="15.88671875" style="436" customWidth="1"/>
    <col min="5890" max="5890" width="16.44140625" style="436" customWidth="1"/>
    <col min="5891" max="5891" width="18.44140625" style="436" customWidth="1"/>
    <col min="5892" max="5892" width="3.109375" style="436" customWidth="1"/>
    <col min="5893" max="5895" width="18.44140625" style="436" customWidth="1"/>
    <col min="5896" max="5896" width="3" style="436" customWidth="1"/>
    <col min="5897" max="5897" width="14" style="436" customWidth="1"/>
    <col min="5898" max="5898" width="15.88671875" style="436" customWidth="1"/>
    <col min="5899" max="5899" width="15.109375" style="436" customWidth="1"/>
    <col min="5900" max="5900" width="2.88671875" style="436" customWidth="1"/>
    <col min="5901" max="5901" width="14.109375" style="436" customWidth="1"/>
    <col min="5902" max="5902" width="15.88671875" style="436" customWidth="1"/>
    <col min="5903" max="5903" width="19.33203125" style="436" customWidth="1"/>
    <col min="5904" max="5904" width="17.6640625" style="436" bestFit="1" customWidth="1"/>
    <col min="5905" max="6140" width="12.6640625" style="436"/>
    <col min="6141" max="6141" width="5.88671875" style="436" customWidth="1"/>
    <col min="6142" max="6142" width="48.33203125" style="436" customWidth="1"/>
    <col min="6143" max="6143" width="14.109375" style="436" customWidth="1"/>
    <col min="6144" max="6144" width="13.5546875" style="436" customWidth="1"/>
    <col min="6145" max="6145" width="15.88671875" style="436" customWidth="1"/>
    <col min="6146" max="6146" width="16.44140625" style="436" customWidth="1"/>
    <col min="6147" max="6147" width="18.44140625" style="436" customWidth="1"/>
    <col min="6148" max="6148" width="3.109375" style="436" customWidth="1"/>
    <col min="6149" max="6151" width="18.44140625" style="436" customWidth="1"/>
    <col min="6152" max="6152" width="3" style="436" customWidth="1"/>
    <col min="6153" max="6153" width="14" style="436" customWidth="1"/>
    <col min="6154" max="6154" width="15.88671875" style="436" customWidth="1"/>
    <col min="6155" max="6155" width="15.109375" style="436" customWidth="1"/>
    <col min="6156" max="6156" width="2.88671875" style="436" customWidth="1"/>
    <col min="6157" max="6157" width="14.109375" style="436" customWidth="1"/>
    <col min="6158" max="6158" width="15.88671875" style="436" customWidth="1"/>
    <col min="6159" max="6159" width="19.33203125" style="436" customWidth="1"/>
    <col min="6160" max="6160" width="17.6640625" style="436" bestFit="1" customWidth="1"/>
    <col min="6161" max="6396" width="12.6640625" style="436"/>
    <col min="6397" max="6397" width="5.88671875" style="436" customWidth="1"/>
    <col min="6398" max="6398" width="48.33203125" style="436" customWidth="1"/>
    <col min="6399" max="6399" width="14.109375" style="436" customWidth="1"/>
    <col min="6400" max="6400" width="13.5546875" style="436" customWidth="1"/>
    <col min="6401" max="6401" width="15.88671875" style="436" customWidth="1"/>
    <col min="6402" max="6402" width="16.44140625" style="436" customWidth="1"/>
    <col min="6403" max="6403" width="18.44140625" style="436" customWidth="1"/>
    <col min="6404" max="6404" width="3.109375" style="436" customWidth="1"/>
    <col min="6405" max="6407" width="18.44140625" style="436" customWidth="1"/>
    <col min="6408" max="6408" width="3" style="436" customWidth="1"/>
    <col min="6409" max="6409" width="14" style="436" customWidth="1"/>
    <col min="6410" max="6410" width="15.88671875" style="436" customWidth="1"/>
    <col min="6411" max="6411" width="15.109375" style="436" customWidth="1"/>
    <col min="6412" max="6412" width="2.88671875" style="436" customWidth="1"/>
    <col min="6413" max="6413" width="14.109375" style="436" customWidth="1"/>
    <col min="6414" max="6414" width="15.88671875" style="436" customWidth="1"/>
    <col min="6415" max="6415" width="19.33203125" style="436" customWidth="1"/>
    <col min="6416" max="6416" width="17.6640625" style="436" bestFit="1" customWidth="1"/>
    <col min="6417" max="6652" width="12.6640625" style="436"/>
    <col min="6653" max="6653" width="5.88671875" style="436" customWidth="1"/>
    <col min="6654" max="6654" width="48.33203125" style="436" customWidth="1"/>
    <col min="6655" max="6655" width="14.109375" style="436" customWidth="1"/>
    <col min="6656" max="6656" width="13.5546875" style="436" customWidth="1"/>
    <col min="6657" max="6657" width="15.88671875" style="436" customWidth="1"/>
    <col min="6658" max="6658" width="16.44140625" style="436" customWidth="1"/>
    <col min="6659" max="6659" width="18.44140625" style="436" customWidth="1"/>
    <col min="6660" max="6660" width="3.109375" style="436" customWidth="1"/>
    <col min="6661" max="6663" width="18.44140625" style="436" customWidth="1"/>
    <col min="6664" max="6664" width="3" style="436" customWidth="1"/>
    <col min="6665" max="6665" width="14" style="436" customWidth="1"/>
    <col min="6666" max="6666" width="15.88671875" style="436" customWidth="1"/>
    <col min="6667" max="6667" width="15.109375" style="436" customWidth="1"/>
    <col min="6668" max="6668" width="2.88671875" style="436" customWidth="1"/>
    <col min="6669" max="6669" width="14.109375" style="436" customWidth="1"/>
    <col min="6670" max="6670" width="15.88671875" style="436" customWidth="1"/>
    <col min="6671" max="6671" width="19.33203125" style="436" customWidth="1"/>
    <col min="6672" max="6672" width="17.6640625" style="436" bestFit="1" customWidth="1"/>
    <col min="6673" max="6908" width="12.6640625" style="436"/>
    <col min="6909" max="6909" width="5.88671875" style="436" customWidth="1"/>
    <col min="6910" max="6910" width="48.33203125" style="436" customWidth="1"/>
    <col min="6911" max="6911" width="14.109375" style="436" customWidth="1"/>
    <col min="6912" max="6912" width="13.5546875" style="436" customWidth="1"/>
    <col min="6913" max="6913" width="15.88671875" style="436" customWidth="1"/>
    <col min="6914" max="6914" width="16.44140625" style="436" customWidth="1"/>
    <col min="6915" max="6915" width="18.44140625" style="436" customWidth="1"/>
    <col min="6916" max="6916" width="3.109375" style="436" customWidth="1"/>
    <col min="6917" max="6919" width="18.44140625" style="436" customWidth="1"/>
    <col min="6920" max="6920" width="3" style="436" customWidth="1"/>
    <col min="6921" max="6921" width="14" style="436" customWidth="1"/>
    <col min="6922" max="6922" width="15.88671875" style="436" customWidth="1"/>
    <col min="6923" max="6923" width="15.109375" style="436" customWidth="1"/>
    <col min="6924" max="6924" width="2.88671875" style="436" customWidth="1"/>
    <col min="6925" max="6925" width="14.109375" style="436" customWidth="1"/>
    <col min="6926" max="6926" width="15.88671875" style="436" customWidth="1"/>
    <col min="6927" max="6927" width="19.33203125" style="436" customWidth="1"/>
    <col min="6928" max="6928" width="17.6640625" style="436" bestFit="1" customWidth="1"/>
    <col min="6929" max="7164" width="12.6640625" style="436"/>
    <col min="7165" max="7165" width="5.88671875" style="436" customWidth="1"/>
    <col min="7166" max="7166" width="48.33203125" style="436" customWidth="1"/>
    <col min="7167" max="7167" width="14.109375" style="436" customWidth="1"/>
    <col min="7168" max="7168" width="13.5546875" style="436" customWidth="1"/>
    <col min="7169" max="7169" width="15.88671875" style="436" customWidth="1"/>
    <col min="7170" max="7170" width="16.44140625" style="436" customWidth="1"/>
    <col min="7171" max="7171" width="18.44140625" style="436" customWidth="1"/>
    <col min="7172" max="7172" width="3.109375" style="436" customWidth="1"/>
    <col min="7173" max="7175" width="18.44140625" style="436" customWidth="1"/>
    <col min="7176" max="7176" width="3" style="436" customWidth="1"/>
    <col min="7177" max="7177" width="14" style="436" customWidth="1"/>
    <col min="7178" max="7178" width="15.88671875" style="436" customWidth="1"/>
    <col min="7179" max="7179" width="15.109375" style="436" customWidth="1"/>
    <col min="7180" max="7180" width="2.88671875" style="436" customWidth="1"/>
    <col min="7181" max="7181" width="14.109375" style="436" customWidth="1"/>
    <col min="7182" max="7182" width="15.88671875" style="436" customWidth="1"/>
    <col min="7183" max="7183" width="19.33203125" style="436" customWidth="1"/>
    <col min="7184" max="7184" width="17.6640625" style="436" bestFit="1" customWidth="1"/>
    <col min="7185" max="7420" width="12.6640625" style="436"/>
    <col min="7421" max="7421" width="5.88671875" style="436" customWidth="1"/>
    <col min="7422" max="7422" width="48.33203125" style="436" customWidth="1"/>
    <col min="7423" max="7423" width="14.109375" style="436" customWidth="1"/>
    <col min="7424" max="7424" width="13.5546875" style="436" customWidth="1"/>
    <col min="7425" max="7425" width="15.88671875" style="436" customWidth="1"/>
    <col min="7426" max="7426" width="16.44140625" style="436" customWidth="1"/>
    <col min="7427" max="7427" width="18.44140625" style="436" customWidth="1"/>
    <col min="7428" max="7428" width="3.109375" style="436" customWidth="1"/>
    <col min="7429" max="7431" width="18.44140625" style="436" customWidth="1"/>
    <col min="7432" max="7432" width="3" style="436" customWidth="1"/>
    <col min="7433" max="7433" width="14" style="436" customWidth="1"/>
    <col min="7434" max="7434" width="15.88671875" style="436" customWidth="1"/>
    <col min="7435" max="7435" width="15.109375" style="436" customWidth="1"/>
    <col min="7436" max="7436" width="2.88671875" style="436" customWidth="1"/>
    <col min="7437" max="7437" width="14.109375" style="436" customWidth="1"/>
    <col min="7438" max="7438" width="15.88671875" style="436" customWidth="1"/>
    <col min="7439" max="7439" width="19.33203125" style="436" customWidth="1"/>
    <col min="7440" max="7440" width="17.6640625" style="436" bestFit="1" customWidth="1"/>
    <col min="7441" max="7676" width="12.6640625" style="436"/>
    <col min="7677" max="7677" width="5.88671875" style="436" customWidth="1"/>
    <col min="7678" max="7678" width="48.33203125" style="436" customWidth="1"/>
    <col min="7679" max="7679" width="14.109375" style="436" customWidth="1"/>
    <col min="7680" max="7680" width="13.5546875" style="436" customWidth="1"/>
    <col min="7681" max="7681" width="15.88671875" style="436" customWidth="1"/>
    <col min="7682" max="7682" width="16.44140625" style="436" customWidth="1"/>
    <col min="7683" max="7683" width="18.44140625" style="436" customWidth="1"/>
    <col min="7684" max="7684" width="3.109375" style="436" customWidth="1"/>
    <col min="7685" max="7687" width="18.44140625" style="436" customWidth="1"/>
    <col min="7688" max="7688" width="3" style="436" customWidth="1"/>
    <col min="7689" max="7689" width="14" style="436" customWidth="1"/>
    <col min="7690" max="7690" width="15.88671875" style="436" customWidth="1"/>
    <col min="7691" max="7691" width="15.109375" style="436" customWidth="1"/>
    <col min="7692" max="7692" width="2.88671875" style="436" customWidth="1"/>
    <col min="7693" max="7693" width="14.109375" style="436" customWidth="1"/>
    <col min="7694" max="7694" width="15.88671875" style="436" customWidth="1"/>
    <col min="7695" max="7695" width="19.33203125" style="436" customWidth="1"/>
    <col min="7696" max="7696" width="17.6640625" style="436" bestFit="1" customWidth="1"/>
    <col min="7697" max="7932" width="12.6640625" style="436"/>
    <col min="7933" max="7933" width="5.88671875" style="436" customWidth="1"/>
    <col min="7934" max="7934" width="48.33203125" style="436" customWidth="1"/>
    <col min="7935" max="7935" width="14.109375" style="436" customWidth="1"/>
    <col min="7936" max="7936" width="13.5546875" style="436" customWidth="1"/>
    <col min="7937" max="7937" width="15.88671875" style="436" customWidth="1"/>
    <col min="7938" max="7938" width="16.44140625" style="436" customWidth="1"/>
    <col min="7939" max="7939" width="18.44140625" style="436" customWidth="1"/>
    <col min="7940" max="7940" width="3.109375" style="436" customWidth="1"/>
    <col min="7941" max="7943" width="18.44140625" style="436" customWidth="1"/>
    <col min="7944" max="7944" width="3" style="436" customWidth="1"/>
    <col min="7945" max="7945" width="14" style="436" customWidth="1"/>
    <col min="7946" max="7946" width="15.88671875" style="436" customWidth="1"/>
    <col min="7947" max="7947" width="15.109375" style="436" customWidth="1"/>
    <col min="7948" max="7948" width="2.88671875" style="436" customWidth="1"/>
    <col min="7949" max="7949" width="14.109375" style="436" customWidth="1"/>
    <col min="7950" max="7950" width="15.88671875" style="436" customWidth="1"/>
    <col min="7951" max="7951" width="19.33203125" style="436" customWidth="1"/>
    <col min="7952" max="7952" width="17.6640625" style="436" bestFit="1" customWidth="1"/>
    <col min="7953" max="8188" width="12.6640625" style="436"/>
    <col min="8189" max="8189" width="5.88671875" style="436" customWidth="1"/>
    <col min="8190" max="8190" width="48.33203125" style="436" customWidth="1"/>
    <col min="8191" max="8191" width="14.109375" style="436" customWidth="1"/>
    <col min="8192" max="8192" width="13.5546875" style="436" customWidth="1"/>
    <col min="8193" max="8193" width="15.88671875" style="436" customWidth="1"/>
    <col min="8194" max="8194" width="16.44140625" style="436" customWidth="1"/>
    <col min="8195" max="8195" width="18.44140625" style="436" customWidth="1"/>
    <col min="8196" max="8196" width="3.109375" style="436" customWidth="1"/>
    <col min="8197" max="8199" width="18.44140625" style="436" customWidth="1"/>
    <col min="8200" max="8200" width="3" style="436" customWidth="1"/>
    <col min="8201" max="8201" width="14" style="436" customWidth="1"/>
    <col min="8202" max="8202" width="15.88671875" style="436" customWidth="1"/>
    <col min="8203" max="8203" width="15.109375" style="436" customWidth="1"/>
    <col min="8204" max="8204" width="2.88671875" style="436" customWidth="1"/>
    <col min="8205" max="8205" width="14.109375" style="436" customWidth="1"/>
    <col min="8206" max="8206" width="15.88671875" style="436" customWidth="1"/>
    <col min="8207" max="8207" width="19.33203125" style="436" customWidth="1"/>
    <col min="8208" max="8208" width="17.6640625" style="436" bestFit="1" customWidth="1"/>
    <col min="8209" max="8444" width="12.6640625" style="436"/>
    <col min="8445" max="8445" width="5.88671875" style="436" customWidth="1"/>
    <col min="8446" max="8446" width="48.33203125" style="436" customWidth="1"/>
    <col min="8447" max="8447" width="14.109375" style="436" customWidth="1"/>
    <col min="8448" max="8448" width="13.5546875" style="436" customWidth="1"/>
    <col min="8449" max="8449" width="15.88671875" style="436" customWidth="1"/>
    <col min="8450" max="8450" width="16.44140625" style="436" customWidth="1"/>
    <col min="8451" max="8451" width="18.44140625" style="436" customWidth="1"/>
    <col min="8452" max="8452" width="3.109375" style="436" customWidth="1"/>
    <col min="8453" max="8455" width="18.44140625" style="436" customWidth="1"/>
    <col min="8456" max="8456" width="3" style="436" customWidth="1"/>
    <col min="8457" max="8457" width="14" style="436" customWidth="1"/>
    <col min="8458" max="8458" width="15.88671875" style="436" customWidth="1"/>
    <col min="8459" max="8459" width="15.109375" style="436" customWidth="1"/>
    <col min="8460" max="8460" width="2.88671875" style="436" customWidth="1"/>
    <col min="8461" max="8461" width="14.109375" style="436" customWidth="1"/>
    <col min="8462" max="8462" width="15.88671875" style="436" customWidth="1"/>
    <col min="8463" max="8463" width="19.33203125" style="436" customWidth="1"/>
    <col min="8464" max="8464" width="17.6640625" style="436" bestFit="1" customWidth="1"/>
    <col min="8465" max="8700" width="12.6640625" style="436"/>
    <col min="8701" max="8701" width="5.88671875" style="436" customWidth="1"/>
    <col min="8702" max="8702" width="48.33203125" style="436" customWidth="1"/>
    <col min="8703" max="8703" width="14.109375" style="436" customWidth="1"/>
    <col min="8704" max="8704" width="13.5546875" style="436" customWidth="1"/>
    <col min="8705" max="8705" width="15.88671875" style="436" customWidth="1"/>
    <col min="8706" max="8706" width="16.44140625" style="436" customWidth="1"/>
    <col min="8707" max="8707" width="18.44140625" style="436" customWidth="1"/>
    <col min="8708" max="8708" width="3.109375" style="436" customWidth="1"/>
    <col min="8709" max="8711" width="18.44140625" style="436" customWidth="1"/>
    <col min="8712" max="8712" width="3" style="436" customWidth="1"/>
    <col min="8713" max="8713" width="14" style="436" customWidth="1"/>
    <col min="8714" max="8714" width="15.88671875" style="436" customWidth="1"/>
    <col min="8715" max="8715" width="15.109375" style="436" customWidth="1"/>
    <col min="8716" max="8716" width="2.88671875" style="436" customWidth="1"/>
    <col min="8717" max="8717" width="14.109375" style="436" customWidth="1"/>
    <col min="8718" max="8718" width="15.88671875" style="436" customWidth="1"/>
    <col min="8719" max="8719" width="19.33203125" style="436" customWidth="1"/>
    <col min="8720" max="8720" width="17.6640625" style="436" bestFit="1" customWidth="1"/>
    <col min="8721" max="8956" width="12.6640625" style="436"/>
    <col min="8957" max="8957" width="5.88671875" style="436" customWidth="1"/>
    <col min="8958" max="8958" width="48.33203125" style="436" customWidth="1"/>
    <col min="8959" max="8959" width="14.109375" style="436" customWidth="1"/>
    <col min="8960" max="8960" width="13.5546875" style="436" customWidth="1"/>
    <col min="8961" max="8961" width="15.88671875" style="436" customWidth="1"/>
    <col min="8962" max="8962" width="16.44140625" style="436" customWidth="1"/>
    <col min="8963" max="8963" width="18.44140625" style="436" customWidth="1"/>
    <col min="8964" max="8964" width="3.109375" style="436" customWidth="1"/>
    <col min="8965" max="8967" width="18.44140625" style="436" customWidth="1"/>
    <col min="8968" max="8968" width="3" style="436" customWidth="1"/>
    <col min="8969" max="8969" width="14" style="436" customWidth="1"/>
    <col min="8970" max="8970" width="15.88671875" style="436" customWidth="1"/>
    <col min="8971" max="8971" width="15.109375" style="436" customWidth="1"/>
    <col min="8972" max="8972" width="2.88671875" style="436" customWidth="1"/>
    <col min="8973" max="8973" width="14.109375" style="436" customWidth="1"/>
    <col min="8974" max="8974" width="15.88671875" style="436" customWidth="1"/>
    <col min="8975" max="8975" width="19.33203125" style="436" customWidth="1"/>
    <col min="8976" max="8976" width="17.6640625" style="436" bestFit="1" customWidth="1"/>
    <col min="8977" max="9212" width="12.6640625" style="436"/>
    <col min="9213" max="9213" width="5.88671875" style="436" customWidth="1"/>
    <col min="9214" max="9214" width="48.33203125" style="436" customWidth="1"/>
    <col min="9215" max="9215" width="14.109375" style="436" customWidth="1"/>
    <col min="9216" max="9216" width="13.5546875" style="436" customWidth="1"/>
    <col min="9217" max="9217" width="15.88671875" style="436" customWidth="1"/>
    <col min="9218" max="9218" width="16.44140625" style="436" customWidth="1"/>
    <col min="9219" max="9219" width="18.44140625" style="436" customWidth="1"/>
    <col min="9220" max="9220" width="3.109375" style="436" customWidth="1"/>
    <col min="9221" max="9223" width="18.44140625" style="436" customWidth="1"/>
    <col min="9224" max="9224" width="3" style="436" customWidth="1"/>
    <col min="9225" max="9225" width="14" style="436" customWidth="1"/>
    <col min="9226" max="9226" width="15.88671875" style="436" customWidth="1"/>
    <col min="9227" max="9227" width="15.109375" style="436" customWidth="1"/>
    <col min="9228" max="9228" width="2.88671875" style="436" customWidth="1"/>
    <col min="9229" max="9229" width="14.109375" style="436" customWidth="1"/>
    <col min="9230" max="9230" width="15.88671875" style="436" customWidth="1"/>
    <col min="9231" max="9231" width="19.33203125" style="436" customWidth="1"/>
    <col min="9232" max="9232" width="17.6640625" style="436" bestFit="1" customWidth="1"/>
    <col min="9233" max="9468" width="12.6640625" style="436"/>
    <col min="9469" max="9469" width="5.88671875" style="436" customWidth="1"/>
    <col min="9470" max="9470" width="48.33203125" style="436" customWidth="1"/>
    <col min="9471" max="9471" width="14.109375" style="436" customWidth="1"/>
    <col min="9472" max="9472" width="13.5546875" style="436" customWidth="1"/>
    <col min="9473" max="9473" width="15.88671875" style="436" customWidth="1"/>
    <col min="9474" max="9474" width="16.44140625" style="436" customWidth="1"/>
    <col min="9475" max="9475" width="18.44140625" style="436" customWidth="1"/>
    <col min="9476" max="9476" width="3.109375" style="436" customWidth="1"/>
    <col min="9477" max="9479" width="18.44140625" style="436" customWidth="1"/>
    <col min="9480" max="9480" width="3" style="436" customWidth="1"/>
    <col min="9481" max="9481" width="14" style="436" customWidth="1"/>
    <col min="9482" max="9482" width="15.88671875" style="436" customWidth="1"/>
    <col min="9483" max="9483" width="15.109375" style="436" customWidth="1"/>
    <col min="9484" max="9484" width="2.88671875" style="436" customWidth="1"/>
    <col min="9485" max="9485" width="14.109375" style="436" customWidth="1"/>
    <col min="9486" max="9486" width="15.88671875" style="436" customWidth="1"/>
    <col min="9487" max="9487" width="19.33203125" style="436" customWidth="1"/>
    <col min="9488" max="9488" width="17.6640625" style="436" bestFit="1" customWidth="1"/>
    <col min="9489" max="9724" width="12.6640625" style="436"/>
    <col min="9725" max="9725" width="5.88671875" style="436" customWidth="1"/>
    <col min="9726" max="9726" width="48.33203125" style="436" customWidth="1"/>
    <col min="9727" max="9727" width="14.109375" style="436" customWidth="1"/>
    <col min="9728" max="9728" width="13.5546875" style="436" customWidth="1"/>
    <col min="9729" max="9729" width="15.88671875" style="436" customWidth="1"/>
    <col min="9730" max="9730" width="16.44140625" style="436" customWidth="1"/>
    <col min="9731" max="9731" width="18.44140625" style="436" customWidth="1"/>
    <col min="9732" max="9732" width="3.109375" style="436" customWidth="1"/>
    <col min="9733" max="9735" width="18.44140625" style="436" customWidth="1"/>
    <col min="9736" max="9736" width="3" style="436" customWidth="1"/>
    <col min="9737" max="9737" width="14" style="436" customWidth="1"/>
    <col min="9738" max="9738" width="15.88671875" style="436" customWidth="1"/>
    <col min="9739" max="9739" width="15.109375" style="436" customWidth="1"/>
    <col min="9740" max="9740" width="2.88671875" style="436" customWidth="1"/>
    <col min="9741" max="9741" width="14.109375" style="436" customWidth="1"/>
    <col min="9742" max="9742" width="15.88671875" style="436" customWidth="1"/>
    <col min="9743" max="9743" width="19.33203125" style="436" customWidth="1"/>
    <col min="9744" max="9744" width="17.6640625" style="436" bestFit="1" customWidth="1"/>
    <col min="9745" max="9980" width="12.6640625" style="436"/>
    <col min="9981" max="9981" width="5.88671875" style="436" customWidth="1"/>
    <col min="9982" max="9982" width="48.33203125" style="436" customWidth="1"/>
    <col min="9983" max="9983" width="14.109375" style="436" customWidth="1"/>
    <col min="9984" max="9984" width="13.5546875" style="436" customWidth="1"/>
    <col min="9985" max="9985" width="15.88671875" style="436" customWidth="1"/>
    <col min="9986" max="9986" width="16.44140625" style="436" customWidth="1"/>
    <col min="9987" max="9987" width="18.44140625" style="436" customWidth="1"/>
    <col min="9988" max="9988" width="3.109375" style="436" customWidth="1"/>
    <col min="9989" max="9991" width="18.44140625" style="436" customWidth="1"/>
    <col min="9992" max="9992" width="3" style="436" customWidth="1"/>
    <col min="9993" max="9993" width="14" style="436" customWidth="1"/>
    <col min="9994" max="9994" width="15.88671875" style="436" customWidth="1"/>
    <col min="9995" max="9995" width="15.109375" style="436" customWidth="1"/>
    <col min="9996" max="9996" width="2.88671875" style="436" customWidth="1"/>
    <col min="9997" max="9997" width="14.109375" style="436" customWidth="1"/>
    <col min="9998" max="9998" width="15.88671875" style="436" customWidth="1"/>
    <col min="9999" max="9999" width="19.33203125" style="436" customWidth="1"/>
    <col min="10000" max="10000" width="17.6640625" style="436" bestFit="1" customWidth="1"/>
    <col min="10001" max="10236" width="12.6640625" style="436"/>
    <col min="10237" max="10237" width="5.88671875" style="436" customWidth="1"/>
    <col min="10238" max="10238" width="48.33203125" style="436" customWidth="1"/>
    <col min="10239" max="10239" width="14.109375" style="436" customWidth="1"/>
    <col min="10240" max="10240" width="13.5546875" style="436" customWidth="1"/>
    <col min="10241" max="10241" width="15.88671875" style="436" customWidth="1"/>
    <col min="10242" max="10242" width="16.44140625" style="436" customWidth="1"/>
    <col min="10243" max="10243" width="18.44140625" style="436" customWidth="1"/>
    <col min="10244" max="10244" width="3.109375" style="436" customWidth="1"/>
    <col min="10245" max="10247" width="18.44140625" style="436" customWidth="1"/>
    <col min="10248" max="10248" width="3" style="436" customWidth="1"/>
    <col min="10249" max="10249" width="14" style="436" customWidth="1"/>
    <col min="10250" max="10250" width="15.88671875" style="436" customWidth="1"/>
    <col min="10251" max="10251" width="15.109375" style="436" customWidth="1"/>
    <col min="10252" max="10252" width="2.88671875" style="436" customWidth="1"/>
    <col min="10253" max="10253" width="14.109375" style="436" customWidth="1"/>
    <col min="10254" max="10254" width="15.88671875" style="436" customWidth="1"/>
    <col min="10255" max="10255" width="19.33203125" style="436" customWidth="1"/>
    <col min="10256" max="10256" width="17.6640625" style="436" bestFit="1" customWidth="1"/>
    <col min="10257" max="10492" width="12.6640625" style="436"/>
    <col min="10493" max="10493" width="5.88671875" style="436" customWidth="1"/>
    <col min="10494" max="10494" width="48.33203125" style="436" customWidth="1"/>
    <col min="10495" max="10495" width="14.109375" style="436" customWidth="1"/>
    <col min="10496" max="10496" width="13.5546875" style="436" customWidth="1"/>
    <col min="10497" max="10497" width="15.88671875" style="436" customWidth="1"/>
    <col min="10498" max="10498" width="16.44140625" style="436" customWidth="1"/>
    <col min="10499" max="10499" width="18.44140625" style="436" customWidth="1"/>
    <col min="10500" max="10500" width="3.109375" style="436" customWidth="1"/>
    <col min="10501" max="10503" width="18.44140625" style="436" customWidth="1"/>
    <col min="10504" max="10504" width="3" style="436" customWidth="1"/>
    <col min="10505" max="10505" width="14" style="436" customWidth="1"/>
    <col min="10506" max="10506" width="15.88671875" style="436" customWidth="1"/>
    <col min="10507" max="10507" width="15.109375" style="436" customWidth="1"/>
    <col min="10508" max="10508" width="2.88671875" style="436" customWidth="1"/>
    <col min="10509" max="10509" width="14.109375" style="436" customWidth="1"/>
    <col min="10510" max="10510" width="15.88671875" style="436" customWidth="1"/>
    <col min="10511" max="10511" width="19.33203125" style="436" customWidth="1"/>
    <col min="10512" max="10512" width="17.6640625" style="436" bestFit="1" customWidth="1"/>
    <col min="10513" max="10748" width="12.6640625" style="436"/>
    <col min="10749" max="10749" width="5.88671875" style="436" customWidth="1"/>
    <col min="10750" max="10750" width="48.33203125" style="436" customWidth="1"/>
    <col min="10751" max="10751" width="14.109375" style="436" customWidth="1"/>
    <col min="10752" max="10752" width="13.5546875" style="436" customWidth="1"/>
    <col min="10753" max="10753" width="15.88671875" style="436" customWidth="1"/>
    <col min="10754" max="10754" width="16.44140625" style="436" customWidth="1"/>
    <col min="10755" max="10755" width="18.44140625" style="436" customWidth="1"/>
    <col min="10756" max="10756" width="3.109375" style="436" customWidth="1"/>
    <col min="10757" max="10759" width="18.44140625" style="436" customWidth="1"/>
    <col min="10760" max="10760" width="3" style="436" customWidth="1"/>
    <col min="10761" max="10761" width="14" style="436" customWidth="1"/>
    <col min="10762" max="10762" width="15.88671875" style="436" customWidth="1"/>
    <col min="10763" max="10763" width="15.109375" style="436" customWidth="1"/>
    <col min="10764" max="10764" width="2.88671875" style="436" customWidth="1"/>
    <col min="10765" max="10765" width="14.109375" style="436" customWidth="1"/>
    <col min="10766" max="10766" width="15.88671875" style="436" customWidth="1"/>
    <col min="10767" max="10767" width="19.33203125" style="436" customWidth="1"/>
    <col min="10768" max="10768" width="17.6640625" style="436" bestFit="1" customWidth="1"/>
    <col min="10769" max="11004" width="12.6640625" style="436"/>
    <col min="11005" max="11005" width="5.88671875" style="436" customWidth="1"/>
    <col min="11006" max="11006" width="48.33203125" style="436" customWidth="1"/>
    <col min="11007" max="11007" width="14.109375" style="436" customWidth="1"/>
    <col min="11008" max="11008" width="13.5546875" style="436" customWidth="1"/>
    <col min="11009" max="11009" width="15.88671875" style="436" customWidth="1"/>
    <col min="11010" max="11010" width="16.44140625" style="436" customWidth="1"/>
    <col min="11011" max="11011" width="18.44140625" style="436" customWidth="1"/>
    <col min="11012" max="11012" width="3.109375" style="436" customWidth="1"/>
    <col min="11013" max="11015" width="18.44140625" style="436" customWidth="1"/>
    <col min="11016" max="11016" width="3" style="436" customWidth="1"/>
    <col min="11017" max="11017" width="14" style="436" customWidth="1"/>
    <col min="11018" max="11018" width="15.88671875" style="436" customWidth="1"/>
    <col min="11019" max="11019" width="15.109375" style="436" customWidth="1"/>
    <col min="11020" max="11020" width="2.88671875" style="436" customWidth="1"/>
    <col min="11021" max="11021" width="14.109375" style="436" customWidth="1"/>
    <col min="11022" max="11022" width="15.88671875" style="436" customWidth="1"/>
    <col min="11023" max="11023" width="19.33203125" style="436" customWidth="1"/>
    <col min="11024" max="11024" width="17.6640625" style="436" bestFit="1" customWidth="1"/>
    <col min="11025" max="11260" width="12.6640625" style="436"/>
    <col min="11261" max="11261" width="5.88671875" style="436" customWidth="1"/>
    <col min="11262" max="11262" width="48.33203125" style="436" customWidth="1"/>
    <col min="11263" max="11263" width="14.109375" style="436" customWidth="1"/>
    <col min="11264" max="11264" width="13.5546875" style="436" customWidth="1"/>
    <col min="11265" max="11265" width="15.88671875" style="436" customWidth="1"/>
    <col min="11266" max="11266" width="16.44140625" style="436" customWidth="1"/>
    <col min="11267" max="11267" width="18.44140625" style="436" customWidth="1"/>
    <col min="11268" max="11268" width="3.109375" style="436" customWidth="1"/>
    <col min="11269" max="11271" width="18.44140625" style="436" customWidth="1"/>
    <col min="11272" max="11272" width="3" style="436" customWidth="1"/>
    <col min="11273" max="11273" width="14" style="436" customWidth="1"/>
    <col min="11274" max="11274" width="15.88671875" style="436" customWidth="1"/>
    <col min="11275" max="11275" width="15.109375" style="436" customWidth="1"/>
    <col min="11276" max="11276" width="2.88671875" style="436" customWidth="1"/>
    <col min="11277" max="11277" width="14.109375" style="436" customWidth="1"/>
    <col min="11278" max="11278" width="15.88671875" style="436" customWidth="1"/>
    <col min="11279" max="11279" width="19.33203125" style="436" customWidth="1"/>
    <col min="11280" max="11280" width="17.6640625" style="436" bestFit="1" customWidth="1"/>
    <col min="11281" max="11516" width="12.6640625" style="436"/>
    <col min="11517" max="11517" width="5.88671875" style="436" customWidth="1"/>
    <col min="11518" max="11518" width="48.33203125" style="436" customWidth="1"/>
    <col min="11519" max="11519" width="14.109375" style="436" customWidth="1"/>
    <col min="11520" max="11520" width="13.5546875" style="436" customWidth="1"/>
    <col min="11521" max="11521" width="15.88671875" style="436" customWidth="1"/>
    <col min="11522" max="11522" width="16.44140625" style="436" customWidth="1"/>
    <col min="11523" max="11523" width="18.44140625" style="436" customWidth="1"/>
    <col min="11524" max="11524" width="3.109375" style="436" customWidth="1"/>
    <col min="11525" max="11527" width="18.44140625" style="436" customWidth="1"/>
    <col min="11528" max="11528" width="3" style="436" customWidth="1"/>
    <col min="11529" max="11529" width="14" style="436" customWidth="1"/>
    <col min="11530" max="11530" width="15.88671875" style="436" customWidth="1"/>
    <col min="11531" max="11531" width="15.109375" style="436" customWidth="1"/>
    <col min="11532" max="11532" width="2.88671875" style="436" customWidth="1"/>
    <col min="11533" max="11533" width="14.109375" style="436" customWidth="1"/>
    <col min="11534" max="11534" width="15.88671875" style="436" customWidth="1"/>
    <col min="11535" max="11535" width="19.33203125" style="436" customWidth="1"/>
    <col min="11536" max="11536" width="17.6640625" style="436" bestFit="1" customWidth="1"/>
    <col min="11537" max="11772" width="12.6640625" style="436"/>
    <col min="11773" max="11773" width="5.88671875" style="436" customWidth="1"/>
    <col min="11774" max="11774" width="48.33203125" style="436" customWidth="1"/>
    <col min="11775" max="11775" width="14.109375" style="436" customWidth="1"/>
    <col min="11776" max="11776" width="13.5546875" style="436" customWidth="1"/>
    <col min="11777" max="11777" width="15.88671875" style="436" customWidth="1"/>
    <col min="11778" max="11778" width="16.44140625" style="436" customWidth="1"/>
    <col min="11779" max="11779" width="18.44140625" style="436" customWidth="1"/>
    <col min="11780" max="11780" width="3.109375" style="436" customWidth="1"/>
    <col min="11781" max="11783" width="18.44140625" style="436" customWidth="1"/>
    <col min="11784" max="11784" width="3" style="436" customWidth="1"/>
    <col min="11785" max="11785" width="14" style="436" customWidth="1"/>
    <col min="11786" max="11786" width="15.88671875" style="436" customWidth="1"/>
    <col min="11787" max="11787" width="15.109375" style="436" customWidth="1"/>
    <col min="11788" max="11788" width="2.88671875" style="436" customWidth="1"/>
    <col min="11789" max="11789" width="14.109375" style="436" customWidth="1"/>
    <col min="11790" max="11790" width="15.88671875" style="436" customWidth="1"/>
    <col min="11791" max="11791" width="19.33203125" style="436" customWidth="1"/>
    <col min="11792" max="11792" width="17.6640625" style="436" bestFit="1" customWidth="1"/>
    <col min="11793" max="12028" width="12.6640625" style="436"/>
    <col min="12029" max="12029" width="5.88671875" style="436" customWidth="1"/>
    <col min="12030" max="12030" width="48.33203125" style="436" customWidth="1"/>
    <col min="12031" max="12031" width="14.109375" style="436" customWidth="1"/>
    <col min="12032" max="12032" width="13.5546875" style="436" customWidth="1"/>
    <col min="12033" max="12033" width="15.88671875" style="436" customWidth="1"/>
    <col min="12034" max="12034" width="16.44140625" style="436" customWidth="1"/>
    <col min="12035" max="12035" width="18.44140625" style="436" customWidth="1"/>
    <col min="12036" max="12036" width="3.109375" style="436" customWidth="1"/>
    <col min="12037" max="12039" width="18.44140625" style="436" customWidth="1"/>
    <col min="12040" max="12040" width="3" style="436" customWidth="1"/>
    <col min="12041" max="12041" width="14" style="436" customWidth="1"/>
    <col min="12042" max="12042" width="15.88671875" style="436" customWidth="1"/>
    <col min="12043" max="12043" width="15.109375" style="436" customWidth="1"/>
    <col min="12044" max="12044" width="2.88671875" style="436" customWidth="1"/>
    <col min="12045" max="12045" width="14.109375" style="436" customWidth="1"/>
    <col min="12046" max="12046" width="15.88671875" style="436" customWidth="1"/>
    <col min="12047" max="12047" width="19.33203125" style="436" customWidth="1"/>
    <col min="12048" max="12048" width="17.6640625" style="436" bestFit="1" customWidth="1"/>
    <col min="12049" max="12284" width="12.6640625" style="436"/>
    <col min="12285" max="12285" width="5.88671875" style="436" customWidth="1"/>
    <col min="12286" max="12286" width="48.33203125" style="436" customWidth="1"/>
    <col min="12287" max="12287" width="14.109375" style="436" customWidth="1"/>
    <col min="12288" max="12288" width="13.5546875" style="436" customWidth="1"/>
    <col min="12289" max="12289" width="15.88671875" style="436" customWidth="1"/>
    <col min="12290" max="12290" width="16.44140625" style="436" customWidth="1"/>
    <col min="12291" max="12291" width="18.44140625" style="436" customWidth="1"/>
    <col min="12292" max="12292" width="3.109375" style="436" customWidth="1"/>
    <col min="12293" max="12295" width="18.44140625" style="436" customWidth="1"/>
    <col min="12296" max="12296" width="3" style="436" customWidth="1"/>
    <col min="12297" max="12297" width="14" style="436" customWidth="1"/>
    <col min="12298" max="12298" width="15.88671875" style="436" customWidth="1"/>
    <col min="12299" max="12299" width="15.109375" style="436" customWidth="1"/>
    <col min="12300" max="12300" width="2.88671875" style="436" customWidth="1"/>
    <col min="12301" max="12301" width="14.109375" style="436" customWidth="1"/>
    <col min="12302" max="12302" width="15.88671875" style="436" customWidth="1"/>
    <col min="12303" max="12303" width="19.33203125" style="436" customWidth="1"/>
    <col min="12304" max="12304" width="17.6640625" style="436" bestFit="1" customWidth="1"/>
    <col min="12305" max="12540" width="12.6640625" style="436"/>
    <col min="12541" max="12541" width="5.88671875" style="436" customWidth="1"/>
    <col min="12542" max="12542" width="48.33203125" style="436" customWidth="1"/>
    <col min="12543" max="12543" width="14.109375" style="436" customWidth="1"/>
    <col min="12544" max="12544" width="13.5546875" style="436" customWidth="1"/>
    <col min="12545" max="12545" width="15.88671875" style="436" customWidth="1"/>
    <col min="12546" max="12546" width="16.44140625" style="436" customWidth="1"/>
    <col min="12547" max="12547" width="18.44140625" style="436" customWidth="1"/>
    <col min="12548" max="12548" width="3.109375" style="436" customWidth="1"/>
    <col min="12549" max="12551" width="18.44140625" style="436" customWidth="1"/>
    <col min="12552" max="12552" width="3" style="436" customWidth="1"/>
    <col min="12553" max="12553" width="14" style="436" customWidth="1"/>
    <col min="12554" max="12554" width="15.88671875" style="436" customWidth="1"/>
    <col min="12555" max="12555" width="15.109375" style="436" customWidth="1"/>
    <col min="12556" max="12556" width="2.88671875" style="436" customWidth="1"/>
    <col min="12557" max="12557" width="14.109375" style="436" customWidth="1"/>
    <col min="12558" max="12558" width="15.88671875" style="436" customWidth="1"/>
    <col min="12559" max="12559" width="19.33203125" style="436" customWidth="1"/>
    <col min="12560" max="12560" width="17.6640625" style="436" bestFit="1" customWidth="1"/>
    <col min="12561" max="12796" width="12.6640625" style="436"/>
    <col min="12797" max="12797" width="5.88671875" style="436" customWidth="1"/>
    <col min="12798" max="12798" width="48.33203125" style="436" customWidth="1"/>
    <col min="12799" max="12799" width="14.109375" style="436" customWidth="1"/>
    <col min="12800" max="12800" width="13.5546875" style="436" customWidth="1"/>
    <col min="12801" max="12801" width="15.88671875" style="436" customWidth="1"/>
    <col min="12802" max="12802" width="16.44140625" style="436" customWidth="1"/>
    <col min="12803" max="12803" width="18.44140625" style="436" customWidth="1"/>
    <col min="12804" max="12804" width="3.109375" style="436" customWidth="1"/>
    <col min="12805" max="12807" width="18.44140625" style="436" customWidth="1"/>
    <col min="12808" max="12808" width="3" style="436" customWidth="1"/>
    <col min="12809" max="12809" width="14" style="436" customWidth="1"/>
    <col min="12810" max="12810" width="15.88671875" style="436" customWidth="1"/>
    <col min="12811" max="12811" width="15.109375" style="436" customWidth="1"/>
    <col min="12812" max="12812" width="2.88671875" style="436" customWidth="1"/>
    <col min="12813" max="12813" width="14.109375" style="436" customWidth="1"/>
    <col min="12814" max="12814" width="15.88671875" style="436" customWidth="1"/>
    <col min="12815" max="12815" width="19.33203125" style="436" customWidth="1"/>
    <col min="12816" max="12816" width="17.6640625" style="436" bestFit="1" customWidth="1"/>
    <col min="12817" max="13052" width="12.6640625" style="436"/>
    <col min="13053" max="13053" width="5.88671875" style="436" customWidth="1"/>
    <col min="13054" max="13054" width="48.33203125" style="436" customWidth="1"/>
    <col min="13055" max="13055" width="14.109375" style="436" customWidth="1"/>
    <col min="13056" max="13056" width="13.5546875" style="436" customWidth="1"/>
    <col min="13057" max="13057" width="15.88671875" style="436" customWidth="1"/>
    <col min="13058" max="13058" width="16.44140625" style="436" customWidth="1"/>
    <col min="13059" max="13059" width="18.44140625" style="436" customWidth="1"/>
    <col min="13060" max="13060" width="3.109375" style="436" customWidth="1"/>
    <col min="13061" max="13063" width="18.44140625" style="436" customWidth="1"/>
    <col min="13064" max="13064" width="3" style="436" customWidth="1"/>
    <col min="13065" max="13065" width="14" style="436" customWidth="1"/>
    <col min="13066" max="13066" width="15.88671875" style="436" customWidth="1"/>
    <col min="13067" max="13067" width="15.109375" style="436" customWidth="1"/>
    <col min="13068" max="13068" width="2.88671875" style="436" customWidth="1"/>
    <col min="13069" max="13069" width="14.109375" style="436" customWidth="1"/>
    <col min="13070" max="13070" width="15.88671875" style="436" customWidth="1"/>
    <col min="13071" max="13071" width="19.33203125" style="436" customWidth="1"/>
    <col min="13072" max="13072" width="17.6640625" style="436" bestFit="1" customWidth="1"/>
    <col min="13073" max="13308" width="12.6640625" style="436"/>
    <col min="13309" max="13309" width="5.88671875" style="436" customWidth="1"/>
    <col min="13310" max="13310" width="48.33203125" style="436" customWidth="1"/>
    <col min="13311" max="13311" width="14.109375" style="436" customWidth="1"/>
    <col min="13312" max="13312" width="13.5546875" style="436" customWidth="1"/>
    <col min="13313" max="13313" width="15.88671875" style="436" customWidth="1"/>
    <col min="13314" max="13314" width="16.44140625" style="436" customWidth="1"/>
    <col min="13315" max="13315" width="18.44140625" style="436" customWidth="1"/>
    <col min="13316" max="13316" width="3.109375" style="436" customWidth="1"/>
    <col min="13317" max="13319" width="18.44140625" style="436" customWidth="1"/>
    <col min="13320" max="13320" width="3" style="436" customWidth="1"/>
    <col min="13321" max="13321" width="14" style="436" customWidth="1"/>
    <col min="13322" max="13322" width="15.88671875" style="436" customWidth="1"/>
    <col min="13323" max="13323" width="15.109375" style="436" customWidth="1"/>
    <col min="13324" max="13324" width="2.88671875" style="436" customWidth="1"/>
    <col min="13325" max="13325" width="14.109375" style="436" customWidth="1"/>
    <col min="13326" max="13326" width="15.88671875" style="436" customWidth="1"/>
    <col min="13327" max="13327" width="19.33203125" style="436" customWidth="1"/>
    <col min="13328" max="13328" width="17.6640625" style="436" bestFit="1" customWidth="1"/>
    <col min="13329" max="13564" width="12.6640625" style="436"/>
    <col min="13565" max="13565" width="5.88671875" style="436" customWidth="1"/>
    <col min="13566" max="13566" width="48.33203125" style="436" customWidth="1"/>
    <col min="13567" max="13567" width="14.109375" style="436" customWidth="1"/>
    <col min="13568" max="13568" width="13.5546875" style="436" customWidth="1"/>
    <col min="13569" max="13569" width="15.88671875" style="436" customWidth="1"/>
    <col min="13570" max="13570" width="16.44140625" style="436" customWidth="1"/>
    <col min="13571" max="13571" width="18.44140625" style="436" customWidth="1"/>
    <col min="13572" max="13572" width="3.109375" style="436" customWidth="1"/>
    <col min="13573" max="13575" width="18.44140625" style="436" customWidth="1"/>
    <col min="13576" max="13576" width="3" style="436" customWidth="1"/>
    <col min="13577" max="13577" width="14" style="436" customWidth="1"/>
    <col min="13578" max="13578" width="15.88671875" style="436" customWidth="1"/>
    <col min="13579" max="13579" width="15.109375" style="436" customWidth="1"/>
    <col min="13580" max="13580" width="2.88671875" style="436" customWidth="1"/>
    <col min="13581" max="13581" width="14.109375" style="436" customWidth="1"/>
    <col min="13582" max="13582" width="15.88671875" style="436" customWidth="1"/>
    <col min="13583" max="13583" width="19.33203125" style="436" customWidth="1"/>
    <col min="13584" max="13584" width="17.6640625" style="436" bestFit="1" customWidth="1"/>
    <col min="13585" max="13820" width="12.6640625" style="436"/>
    <col min="13821" max="13821" width="5.88671875" style="436" customWidth="1"/>
    <col min="13822" max="13822" width="48.33203125" style="436" customWidth="1"/>
    <col min="13823" max="13823" width="14.109375" style="436" customWidth="1"/>
    <col min="13824" max="13824" width="13.5546875" style="436" customWidth="1"/>
    <col min="13825" max="13825" width="15.88671875" style="436" customWidth="1"/>
    <col min="13826" max="13826" width="16.44140625" style="436" customWidth="1"/>
    <col min="13827" max="13827" width="18.44140625" style="436" customWidth="1"/>
    <col min="13828" max="13828" width="3.109375" style="436" customWidth="1"/>
    <col min="13829" max="13831" width="18.44140625" style="436" customWidth="1"/>
    <col min="13832" max="13832" width="3" style="436" customWidth="1"/>
    <col min="13833" max="13833" width="14" style="436" customWidth="1"/>
    <col min="13834" max="13834" width="15.88671875" style="436" customWidth="1"/>
    <col min="13835" max="13835" width="15.109375" style="436" customWidth="1"/>
    <col min="13836" max="13836" width="2.88671875" style="436" customWidth="1"/>
    <col min="13837" max="13837" width="14.109375" style="436" customWidth="1"/>
    <col min="13838" max="13838" width="15.88671875" style="436" customWidth="1"/>
    <col min="13839" max="13839" width="19.33203125" style="436" customWidth="1"/>
    <col min="13840" max="13840" width="17.6640625" style="436" bestFit="1" customWidth="1"/>
    <col min="13841" max="14076" width="12.6640625" style="436"/>
    <col min="14077" max="14077" width="5.88671875" style="436" customWidth="1"/>
    <col min="14078" max="14078" width="48.33203125" style="436" customWidth="1"/>
    <col min="14079" max="14079" width="14.109375" style="436" customWidth="1"/>
    <col min="14080" max="14080" width="13.5546875" style="436" customWidth="1"/>
    <col min="14081" max="14081" width="15.88671875" style="436" customWidth="1"/>
    <col min="14082" max="14082" width="16.44140625" style="436" customWidth="1"/>
    <col min="14083" max="14083" width="18.44140625" style="436" customWidth="1"/>
    <col min="14084" max="14084" width="3.109375" style="436" customWidth="1"/>
    <col min="14085" max="14087" width="18.44140625" style="436" customWidth="1"/>
    <col min="14088" max="14088" width="3" style="436" customWidth="1"/>
    <col min="14089" max="14089" width="14" style="436" customWidth="1"/>
    <col min="14090" max="14090" width="15.88671875" style="436" customWidth="1"/>
    <col min="14091" max="14091" width="15.109375" style="436" customWidth="1"/>
    <col min="14092" max="14092" width="2.88671875" style="436" customWidth="1"/>
    <col min="14093" max="14093" width="14.109375" style="436" customWidth="1"/>
    <col min="14094" max="14094" width="15.88671875" style="436" customWidth="1"/>
    <col min="14095" max="14095" width="19.33203125" style="436" customWidth="1"/>
    <col min="14096" max="14096" width="17.6640625" style="436" bestFit="1" customWidth="1"/>
    <col min="14097" max="14332" width="12.6640625" style="436"/>
    <col min="14333" max="14333" width="5.88671875" style="436" customWidth="1"/>
    <col min="14334" max="14334" width="48.33203125" style="436" customWidth="1"/>
    <col min="14335" max="14335" width="14.109375" style="436" customWidth="1"/>
    <col min="14336" max="14336" width="13.5546875" style="436" customWidth="1"/>
    <col min="14337" max="14337" width="15.88671875" style="436" customWidth="1"/>
    <col min="14338" max="14338" width="16.44140625" style="436" customWidth="1"/>
    <col min="14339" max="14339" width="18.44140625" style="436" customWidth="1"/>
    <col min="14340" max="14340" width="3.109375" style="436" customWidth="1"/>
    <col min="14341" max="14343" width="18.44140625" style="436" customWidth="1"/>
    <col min="14344" max="14344" width="3" style="436" customWidth="1"/>
    <col min="14345" max="14345" width="14" style="436" customWidth="1"/>
    <col min="14346" max="14346" width="15.88671875" style="436" customWidth="1"/>
    <col min="14347" max="14347" width="15.109375" style="436" customWidth="1"/>
    <col min="14348" max="14348" width="2.88671875" style="436" customWidth="1"/>
    <col min="14349" max="14349" width="14.109375" style="436" customWidth="1"/>
    <col min="14350" max="14350" width="15.88671875" style="436" customWidth="1"/>
    <col min="14351" max="14351" width="19.33203125" style="436" customWidth="1"/>
    <col min="14352" max="14352" width="17.6640625" style="436" bestFit="1" customWidth="1"/>
    <col min="14353" max="14588" width="12.6640625" style="436"/>
    <col min="14589" max="14589" width="5.88671875" style="436" customWidth="1"/>
    <col min="14590" max="14590" width="48.33203125" style="436" customWidth="1"/>
    <col min="14591" max="14591" width="14.109375" style="436" customWidth="1"/>
    <col min="14592" max="14592" width="13.5546875" style="436" customWidth="1"/>
    <col min="14593" max="14593" width="15.88671875" style="436" customWidth="1"/>
    <col min="14594" max="14594" width="16.44140625" style="436" customWidth="1"/>
    <col min="14595" max="14595" width="18.44140625" style="436" customWidth="1"/>
    <col min="14596" max="14596" width="3.109375" style="436" customWidth="1"/>
    <col min="14597" max="14599" width="18.44140625" style="436" customWidth="1"/>
    <col min="14600" max="14600" width="3" style="436" customWidth="1"/>
    <col min="14601" max="14601" width="14" style="436" customWidth="1"/>
    <col min="14602" max="14602" width="15.88671875" style="436" customWidth="1"/>
    <col min="14603" max="14603" width="15.109375" style="436" customWidth="1"/>
    <col min="14604" max="14604" width="2.88671875" style="436" customWidth="1"/>
    <col min="14605" max="14605" width="14.109375" style="436" customWidth="1"/>
    <col min="14606" max="14606" width="15.88671875" style="436" customWidth="1"/>
    <col min="14607" max="14607" width="19.33203125" style="436" customWidth="1"/>
    <col min="14608" max="14608" width="17.6640625" style="436" bestFit="1" customWidth="1"/>
    <col min="14609" max="14844" width="12.6640625" style="436"/>
    <col min="14845" max="14845" width="5.88671875" style="436" customWidth="1"/>
    <col min="14846" max="14846" width="48.33203125" style="436" customWidth="1"/>
    <col min="14847" max="14847" width="14.109375" style="436" customWidth="1"/>
    <col min="14848" max="14848" width="13.5546875" style="436" customWidth="1"/>
    <col min="14849" max="14849" width="15.88671875" style="436" customWidth="1"/>
    <col min="14850" max="14850" width="16.44140625" style="436" customWidth="1"/>
    <col min="14851" max="14851" width="18.44140625" style="436" customWidth="1"/>
    <col min="14852" max="14852" width="3.109375" style="436" customWidth="1"/>
    <col min="14853" max="14855" width="18.44140625" style="436" customWidth="1"/>
    <col min="14856" max="14856" width="3" style="436" customWidth="1"/>
    <col min="14857" max="14857" width="14" style="436" customWidth="1"/>
    <col min="14858" max="14858" width="15.88671875" style="436" customWidth="1"/>
    <col min="14859" max="14859" width="15.109375" style="436" customWidth="1"/>
    <col min="14860" max="14860" width="2.88671875" style="436" customWidth="1"/>
    <col min="14861" max="14861" width="14.109375" style="436" customWidth="1"/>
    <col min="14862" max="14862" width="15.88671875" style="436" customWidth="1"/>
    <col min="14863" max="14863" width="19.33203125" style="436" customWidth="1"/>
    <col min="14864" max="14864" width="17.6640625" style="436" bestFit="1" customWidth="1"/>
    <col min="14865" max="15100" width="12.6640625" style="436"/>
    <col min="15101" max="15101" width="5.88671875" style="436" customWidth="1"/>
    <col min="15102" max="15102" width="48.33203125" style="436" customWidth="1"/>
    <col min="15103" max="15103" width="14.109375" style="436" customWidth="1"/>
    <col min="15104" max="15104" width="13.5546875" style="436" customWidth="1"/>
    <col min="15105" max="15105" width="15.88671875" style="436" customWidth="1"/>
    <col min="15106" max="15106" width="16.44140625" style="436" customWidth="1"/>
    <col min="15107" max="15107" width="18.44140625" style="436" customWidth="1"/>
    <col min="15108" max="15108" width="3.109375" style="436" customWidth="1"/>
    <col min="15109" max="15111" width="18.44140625" style="436" customWidth="1"/>
    <col min="15112" max="15112" width="3" style="436" customWidth="1"/>
    <col min="15113" max="15113" width="14" style="436" customWidth="1"/>
    <col min="15114" max="15114" width="15.88671875" style="436" customWidth="1"/>
    <col min="15115" max="15115" width="15.109375" style="436" customWidth="1"/>
    <col min="15116" max="15116" width="2.88671875" style="436" customWidth="1"/>
    <col min="15117" max="15117" width="14.109375" style="436" customWidth="1"/>
    <col min="15118" max="15118" width="15.88671875" style="436" customWidth="1"/>
    <col min="15119" max="15119" width="19.33203125" style="436" customWidth="1"/>
    <col min="15120" max="15120" width="17.6640625" style="436" bestFit="1" customWidth="1"/>
    <col min="15121" max="15356" width="12.6640625" style="436"/>
    <col min="15357" max="15357" width="5.88671875" style="436" customWidth="1"/>
    <col min="15358" max="15358" width="48.33203125" style="436" customWidth="1"/>
    <col min="15359" max="15359" width="14.109375" style="436" customWidth="1"/>
    <col min="15360" max="15360" width="13.5546875" style="436" customWidth="1"/>
    <col min="15361" max="15361" width="15.88671875" style="436" customWidth="1"/>
    <col min="15362" max="15362" width="16.44140625" style="436" customWidth="1"/>
    <col min="15363" max="15363" width="18.44140625" style="436" customWidth="1"/>
    <col min="15364" max="15364" width="3.109375" style="436" customWidth="1"/>
    <col min="15365" max="15367" width="18.44140625" style="436" customWidth="1"/>
    <col min="15368" max="15368" width="3" style="436" customWidth="1"/>
    <col min="15369" max="15369" width="14" style="436" customWidth="1"/>
    <col min="15370" max="15370" width="15.88671875" style="436" customWidth="1"/>
    <col min="15371" max="15371" width="15.109375" style="436" customWidth="1"/>
    <col min="15372" max="15372" width="2.88671875" style="436" customWidth="1"/>
    <col min="15373" max="15373" width="14.109375" style="436" customWidth="1"/>
    <col min="15374" max="15374" width="15.88671875" style="436" customWidth="1"/>
    <col min="15375" max="15375" width="19.33203125" style="436" customWidth="1"/>
    <col min="15376" max="15376" width="17.6640625" style="436" bestFit="1" customWidth="1"/>
    <col min="15377" max="15612" width="12.6640625" style="436"/>
    <col min="15613" max="15613" width="5.88671875" style="436" customWidth="1"/>
    <col min="15614" max="15614" width="48.33203125" style="436" customWidth="1"/>
    <col min="15615" max="15615" width="14.109375" style="436" customWidth="1"/>
    <col min="15616" max="15616" width="13.5546875" style="436" customWidth="1"/>
    <col min="15617" max="15617" width="15.88671875" style="436" customWidth="1"/>
    <col min="15618" max="15618" width="16.44140625" style="436" customWidth="1"/>
    <col min="15619" max="15619" width="18.44140625" style="436" customWidth="1"/>
    <col min="15620" max="15620" width="3.109375" style="436" customWidth="1"/>
    <col min="15621" max="15623" width="18.44140625" style="436" customWidth="1"/>
    <col min="15624" max="15624" width="3" style="436" customWidth="1"/>
    <col min="15625" max="15625" width="14" style="436" customWidth="1"/>
    <col min="15626" max="15626" width="15.88671875" style="436" customWidth="1"/>
    <col min="15627" max="15627" width="15.109375" style="436" customWidth="1"/>
    <col min="15628" max="15628" width="2.88671875" style="436" customWidth="1"/>
    <col min="15629" max="15629" width="14.109375" style="436" customWidth="1"/>
    <col min="15630" max="15630" width="15.88671875" style="436" customWidth="1"/>
    <col min="15631" max="15631" width="19.33203125" style="436" customWidth="1"/>
    <col min="15632" max="15632" width="17.6640625" style="436" bestFit="1" customWidth="1"/>
    <col min="15633" max="15868" width="12.6640625" style="436"/>
    <col min="15869" max="15869" width="5.88671875" style="436" customWidth="1"/>
    <col min="15870" max="15870" width="48.33203125" style="436" customWidth="1"/>
    <col min="15871" max="15871" width="14.109375" style="436" customWidth="1"/>
    <col min="15872" max="15872" width="13.5546875" style="436" customWidth="1"/>
    <col min="15873" max="15873" width="15.88671875" style="436" customWidth="1"/>
    <col min="15874" max="15874" width="16.44140625" style="436" customWidth="1"/>
    <col min="15875" max="15875" width="18.44140625" style="436" customWidth="1"/>
    <col min="15876" max="15876" width="3.109375" style="436" customWidth="1"/>
    <col min="15877" max="15879" width="18.44140625" style="436" customWidth="1"/>
    <col min="15880" max="15880" width="3" style="436" customWidth="1"/>
    <col min="15881" max="15881" width="14" style="436" customWidth="1"/>
    <col min="15882" max="15882" width="15.88671875" style="436" customWidth="1"/>
    <col min="15883" max="15883" width="15.109375" style="436" customWidth="1"/>
    <col min="15884" max="15884" width="2.88671875" style="436" customWidth="1"/>
    <col min="15885" max="15885" width="14.109375" style="436" customWidth="1"/>
    <col min="15886" max="15886" width="15.88671875" style="436" customWidth="1"/>
    <col min="15887" max="15887" width="19.33203125" style="436" customWidth="1"/>
    <col min="15888" max="15888" width="17.6640625" style="436" bestFit="1" customWidth="1"/>
    <col min="15889" max="16124" width="12.6640625" style="436"/>
    <col min="16125" max="16125" width="5.88671875" style="436" customWidth="1"/>
    <col min="16126" max="16126" width="48.33203125" style="436" customWidth="1"/>
    <col min="16127" max="16127" width="14.109375" style="436" customWidth="1"/>
    <col min="16128" max="16128" width="13.5546875" style="436" customWidth="1"/>
    <col min="16129" max="16129" width="15.88671875" style="436" customWidth="1"/>
    <col min="16130" max="16130" width="16.44140625" style="436" customWidth="1"/>
    <col min="16131" max="16131" width="18.44140625" style="436" customWidth="1"/>
    <col min="16132" max="16132" width="3.109375" style="436" customWidth="1"/>
    <col min="16133" max="16135" width="18.44140625" style="436" customWidth="1"/>
    <col min="16136" max="16136" width="3" style="436" customWidth="1"/>
    <col min="16137" max="16137" width="14" style="436" customWidth="1"/>
    <col min="16138" max="16138" width="15.88671875" style="436" customWidth="1"/>
    <col min="16139" max="16139" width="15.109375" style="436" customWidth="1"/>
    <col min="16140" max="16140" width="2.88671875" style="436" customWidth="1"/>
    <col min="16141" max="16141" width="14.109375" style="436" customWidth="1"/>
    <col min="16142" max="16142" width="15.88671875" style="436" customWidth="1"/>
    <col min="16143" max="16143" width="19.33203125" style="436" customWidth="1"/>
    <col min="16144" max="16144" width="17.6640625" style="436" bestFit="1" customWidth="1"/>
    <col min="16145" max="16384" width="12.6640625" style="436"/>
  </cols>
  <sheetData>
    <row r="1" spans="1:21">
      <c r="B1" s="425"/>
      <c r="F1" s="426"/>
      <c r="G1" s="430"/>
      <c r="H1" s="430"/>
      <c r="K1" s="430"/>
      <c r="O1" s="430"/>
      <c r="P1" s="430"/>
    </row>
    <row r="2" spans="1:21">
      <c r="B2" s="425"/>
      <c r="G2" s="437"/>
      <c r="H2" s="437"/>
      <c r="K2" s="437"/>
      <c r="O2" s="437"/>
      <c r="P2" s="437"/>
    </row>
    <row r="3" spans="1:21">
      <c r="B3" s="425"/>
    </row>
    <row r="4" spans="1:21">
      <c r="B4" s="432"/>
    </row>
    <row r="5" spans="1:21">
      <c r="B5" s="428"/>
    </row>
    <row r="6" spans="1:21">
      <c r="F6" s="438"/>
      <c r="H6" s="438"/>
    </row>
    <row r="8" spans="1:21">
      <c r="B8" s="429"/>
      <c r="C8" s="439"/>
      <c r="D8" s="439"/>
      <c r="E8" s="439"/>
      <c r="F8" s="439"/>
      <c r="G8" s="439"/>
      <c r="H8" s="439"/>
      <c r="I8" s="429"/>
      <c r="J8" s="429"/>
      <c r="K8" s="429"/>
      <c r="M8" s="429"/>
      <c r="N8" s="429"/>
      <c r="O8" s="429"/>
    </row>
    <row r="9" spans="1:21">
      <c r="F9" s="511"/>
    </row>
    <row r="10" spans="1:21" ht="15">
      <c r="A10" s="537"/>
      <c r="B10" s="601" t="s">
        <v>968</v>
      </c>
      <c r="C10" s="538"/>
      <c r="D10" s="538"/>
      <c r="E10" s="538"/>
      <c r="F10" s="516"/>
      <c r="G10" s="182"/>
      <c r="H10" s="182"/>
      <c r="I10" s="182"/>
      <c r="J10" s="182"/>
      <c r="K10" s="182"/>
      <c r="L10" s="182"/>
      <c r="M10" s="516"/>
      <c r="N10" s="516"/>
      <c r="O10" s="599" t="s">
        <v>938</v>
      </c>
      <c r="P10" s="516"/>
      <c r="Q10" s="516"/>
      <c r="R10" s="516"/>
      <c r="S10" s="182"/>
      <c r="T10" s="440"/>
      <c r="U10" s="440"/>
    </row>
    <row r="11" spans="1:21" ht="15">
      <c r="A11" s="537"/>
      <c r="B11" s="601" t="s">
        <v>1054</v>
      </c>
      <c r="C11" s="538"/>
      <c r="D11" s="538"/>
      <c r="E11" s="538"/>
      <c r="F11" s="538"/>
      <c r="G11" s="539"/>
      <c r="H11" s="539"/>
      <c r="I11" s="539"/>
      <c r="J11" s="539"/>
      <c r="K11" s="539"/>
      <c r="L11" s="539"/>
      <c r="M11" s="516"/>
      <c r="N11" s="516"/>
      <c r="O11" s="539"/>
      <c r="P11" s="516"/>
      <c r="Q11" s="516"/>
      <c r="R11" s="516"/>
      <c r="S11" s="539"/>
      <c r="T11" s="440"/>
      <c r="U11" s="440"/>
    </row>
    <row r="12" spans="1:21" ht="15">
      <c r="A12" s="537"/>
      <c r="B12" s="602" t="s">
        <v>1176</v>
      </c>
      <c r="C12" s="538"/>
      <c r="D12" s="538"/>
      <c r="E12" s="538"/>
      <c r="F12" s="538"/>
      <c r="G12" s="538"/>
      <c r="H12" s="538"/>
      <c r="I12" s="538"/>
      <c r="J12" s="538"/>
      <c r="K12" s="538"/>
      <c r="L12" s="538"/>
      <c r="M12" s="516"/>
      <c r="N12" s="516"/>
      <c r="O12" s="516"/>
      <c r="P12" s="516"/>
      <c r="Q12" s="516"/>
      <c r="R12" s="516"/>
      <c r="S12" s="516"/>
      <c r="T12" s="440"/>
      <c r="U12" s="440"/>
    </row>
    <row r="13" spans="1:21" ht="15">
      <c r="A13" s="537"/>
      <c r="B13" s="602" t="s">
        <v>1114</v>
      </c>
      <c r="C13" s="538"/>
      <c r="D13" s="538"/>
      <c r="E13" s="538"/>
      <c r="F13" s="538"/>
      <c r="G13" s="538"/>
      <c r="H13" s="538"/>
      <c r="I13" s="538"/>
      <c r="J13" s="538"/>
      <c r="K13" s="538"/>
      <c r="L13" s="538"/>
      <c r="M13" s="516"/>
      <c r="N13" s="516"/>
      <c r="O13" s="516"/>
      <c r="P13" s="516"/>
      <c r="Q13" s="516"/>
      <c r="R13" s="516"/>
      <c r="S13" s="516"/>
      <c r="T13" s="440"/>
      <c r="U13" s="440"/>
    </row>
    <row r="14" spans="1:21">
      <c r="A14" s="537"/>
      <c r="B14" s="540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16"/>
      <c r="N14" s="516"/>
      <c r="O14" s="516"/>
      <c r="P14" s="516"/>
      <c r="Q14" s="516"/>
      <c r="R14" s="516"/>
      <c r="S14" s="516"/>
      <c r="T14" s="440"/>
      <c r="U14" s="440"/>
    </row>
    <row r="15" spans="1:21">
      <c r="A15" s="537"/>
      <c r="B15" s="18" t="s">
        <v>463</v>
      </c>
      <c r="C15" s="541" t="s">
        <v>464</v>
      </c>
      <c r="D15" s="541" t="s">
        <v>465</v>
      </c>
      <c r="E15" s="541" t="s">
        <v>466</v>
      </c>
      <c r="F15" s="541" t="s">
        <v>467</v>
      </c>
      <c r="G15" s="541" t="s">
        <v>468</v>
      </c>
      <c r="H15" s="541"/>
      <c r="I15" s="541" t="s">
        <v>1017</v>
      </c>
      <c r="J15" s="541" t="s">
        <v>1018</v>
      </c>
      <c r="K15" s="541" t="s">
        <v>1019</v>
      </c>
      <c r="L15" s="541"/>
      <c r="M15" s="18" t="s">
        <v>469</v>
      </c>
      <c r="N15" s="18" t="s">
        <v>470</v>
      </c>
      <c r="O15" s="18" t="s">
        <v>471</v>
      </c>
      <c r="P15" s="516"/>
      <c r="Q15" s="18" t="s">
        <v>472</v>
      </c>
      <c r="R15" s="18" t="s">
        <v>473</v>
      </c>
      <c r="S15" s="18" t="s">
        <v>474</v>
      </c>
      <c r="T15" s="440"/>
      <c r="U15" s="440"/>
    </row>
    <row r="16" spans="1:21">
      <c r="A16" s="537"/>
      <c r="B16" s="516"/>
      <c r="C16" s="538"/>
      <c r="D16" s="538"/>
      <c r="E16" s="538"/>
      <c r="F16" s="538"/>
      <c r="G16" s="538"/>
      <c r="H16" s="538"/>
      <c r="I16" s="538"/>
      <c r="J16" s="538"/>
      <c r="K16" s="538"/>
      <c r="L16" s="538"/>
      <c r="M16" s="516"/>
      <c r="N16" s="516"/>
      <c r="O16" s="516"/>
      <c r="P16" s="516"/>
      <c r="Q16" s="516"/>
      <c r="R16" s="516"/>
      <c r="S16" s="516"/>
      <c r="T16" s="440"/>
      <c r="U16" s="440"/>
    </row>
    <row r="17" spans="1:21">
      <c r="A17" s="537"/>
      <c r="B17" s="516"/>
      <c r="C17" s="542" t="s">
        <v>475</v>
      </c>
      <c r="D17" s="542"/>
      <c r="E17" s="543" t="s">
        <v>476</v>
      </c>
      <c r="F17" s="542"/>
      <c r="G17" s="544" t="s">
        <v>477</v>
      </c>
      <c r="H17" s="544"/>
      <c r="I17" s="545" t="s">
        <v>1020</v>
      </c>
      <c r="J17" s="542"/>
      <c r="K17" s="542"/>
      <c r="L17" s="544"/>
      <c r="M17" s="546" t="s">
        <v>1177</v>
      </c>
      <c r="N17" s="517"/>
      <c r="O17" s="517"/>
      <c r="P17" s="516"/>
      <c r="Q17" s="546" t="s">
        <v>1021</v>
      </c>
      <c r="R17" s="517"/>
      <c r="S17" s="517"/>
      <c r="T17" s="440"/>
      <c r="U17" s="440"/>
    </row>
    <row r="18" spans="1:21">
      <c r="A18" s="537"/>
      <c r="B18" s="516"/>
      <c r="C18" s="547"/>
      <c r="D18" s="547"/>
      <c r="E18" s="538"/>
      <c r="F18" s="538"/>
      <c r="G18" s="544" t="s">
        <v>478</v>
      </c>
      <c r="H18" s="544"/>
      <c r="I18" s="547"/>
      <c r="J18" s="547"/>
      <c r="K18" s="547"/>
      <c r="L18" s="544"/>
      <c r="M18" s="521"/>
      <c r="N18" s="521"/>
      <c r="O18" s="521"/>
      <c r="P18" s="516"/>
      <c r="Q18" s="521"/>
      <c r="R18" s="521"/>
      <c r="S18" s="521"/>
      <c r="T18" s="440"/>
      <c r="U18" s="440"/>
    </row>
    <row r="19" spans="1:21">
      <c r="A19" s="537"/>
      <c r="B19" s="516"/>
      <c r="C19" s="544" t="s">
        <v>479</v>
      </c>
      <c r="D19" s="544" t="s">
        <v>479</v>
      </c>
      <c r="E19" s="544" t="s">
        <v>479</v>
      </c>
      <c r="F19" s="544" t="s">
        <v>479</v>
      </c>
      <c r="G19" s="544" t="s">
        <v>480</v>
      </c>
      <c r="H19" s="544"/>
      <c r="I19" s="538"/>
      <c r="J19" s="538"/>
      <c r="K19" s="538"/>
      <c r="L19" s="544"/>
      <c r="M19" s="516"/>
      <c r="N19" s="516"/>
      <c r="O19" s="516"/>
      <c r="P19" s="516"/>
      <c r="Q19" s="516"/>
      <c r="R19" s="516"/>
      <c r="S19" s="516"/>
      <c r="T19" s="440"/>
      <c r="U19" s="440"/>
    </row>
    <row r="20" spans="1:21">
      <c r="A20" s="537"/>
      <c r="B20" s="18" t="s">
        <v>481</v>
      </c>
      <c r="C20" s="541" t="s">
        <v>1178</v>
      </c>
      <c r="D20" s="541" t="s">
        <v>1022</v>
      </c>
      <c r="E20" s="541" t="str">
        <f>C20</f>
        <v>OF 12-31-15</v>
      </c>
      <c r="F20" s="541" t="str">
        <f>D20</f>
        <v>OF 12-31-14</v>
      </c>
      <c r="G20" s="541" t="s">
        <v>482</v>
      </c>
      <c r="H20" s="541"/>
      <c r="I20" s="541" t="s">
        <v>483</v>
      </c>
      <c r="J20" s="541" t="s">
        <v>382</v>
      </c>
      <c r="K20" s="541" t="s">
        <v>383</v>
      </c>
      <c r="L20" s="541"/>
      <c r="M20" s="18" t="s">
        <v>483</v>
      </c>
      <c r="N20" s="18" t="s">
        <v>382</v>
      </c>
      <c r="O20" s="18" t="s">
        <v>383</v>
      </c>
      <c r="P20" s="516"/>
      <c r="Q20" s="18" t="s">
        <v>483</v>
      </c>
      <c r="R20" s="18" t="s">
        <v>382</v>
      </c>
      <c r="S20" s="18" t="s">
        <v>383</v>
      </c>
      <c r="T20" s="440"/>
      <c r="U20" s="440"/>
    </row>
    <row r="21" spans="1:21">
      <c r="A21" s="537"/>
      <c r="B21" s="516"/>
      <c r="C21" s="538"/>
      <c r="D21" s="538"/>
      <c r="E21" s="538"/>
      <c r="F21" s="538"/>
      <c r="G21" s="538"/>
      <c r="H21" s="538"/>
      <c r="I21" s="538"/>
      <c r="J21" s="538"/>
      <c r="K21" s="538"/>
      <c r="L21" s="538"/>
      <c r="M21" s="516"/>
      <c r="N21" s="516"/>
      <c r="O21" s="516"/>
      <c r="P21" s="516"/>
      <c r="Q21" s="516"/>
      <c r="R21" s="516"/>
      <c r="S21" s="516"/>
      <c r="T21" s="440"/>
      <c r="U21" s="440"/>
    </row>
    <row r="22" spans="1:21">
      <c r="A22" s="548">
        <v>1</v>
      </c>
      <c r="B22" s="535" t="s">
        <v>1055</v>
      </c>
      <c r="C22" s="522"/>
      <c r="D22" s="522"/>
      <c r="E22" s="522"/>
      <c r="F22" s="523"/>
      <c r="G22" s="522"/>
      <c r="H22" s="522"/>
      <c r="I22" s="522"/>
      <c r="J22" s="522"/>
      <c r="K22" s="522"/>
      <c r="L22" s="522"/>
      <c r="M22" s="522"/>
      <c r="N22" s="522"/>
      <c r="O22" s="522"/>
      <c r="P22" s="522"/>
      <c r="Q22" s="522"/>
      <c r="R22" s="522"/>
      <c r="S22" s="522"/>
      <c r="T22" s="440"/>
      <c r="U22" s="440"/>
    </row>
    <row r="23" spans="1:21">
      <c r="A23" s="548">
        <f t="shared" ref="A23:A86" si="0">A22+1</f>
        <v>2</v>
      </c>
      <c r="B23" s="522"/>
      <c r="C23" s="522"/>
      <c r="D23" s="522"/>
      <c r="E23" s="522"/>
      <c r="F23" s="522"/>
      <c r="G23" s="522"/>
      <c r="H23" s="522"/>
      <c r="I23" s="522"/>
      <c r="J23" s="522"/>
      <c r="K23" s="522"/>
      <c r="L23" s="522"/>
      <c r="M23" s="522"/>
      <c r="N23" s="522"/>
      <c r="O23" s="522"/>
      <c r="P23" s="522"/>
      <c r="Q23" s="522"/>
      <c r="R23" s="522"/>
      <c r="S23" s="522"/>
      <c r="T23" s="440"/>
      <c r="U23" s="440"/>
    </row>
    <row r="24" spans="1:21">
      <c r="A24" s="548">
        <f t="shared" si="0"/>
        <v>3</v>
      </c>
      <c r="B24" s="182" t="s">
        <v>1056</v>
      </c>
      <c r="C24" s="618">
        <f>SUM(M24:O24)</f>
        <v>11571209.75</v>
      </c>
      <c r="D24" s="618">
        <f>SUM(Q24:S24)</f>
        <v>14317780.75</v>
      </c>
      <c r="E24" s="618"/>
      <c r="F24" s="618"/>
      <c r="G24" s="618">
        <f>ROUND(SUM(C24:F24)/2,0)</f>
        <v>12944495</v>
      </c>
      <c r="H24" s="618"/>
      <c r="I24" s="618">
        <f t="shared" ref="I24:K39" si="1">(M24+Q24)/2</f>
        <v>11723291.5</v>
      </c>
      <c r="J24" s="618">
        <f t="shared" si="1"/>
        <v>10974</v>
      </c>
      <c r="K24" s="618">
        <f t="shared" si="1"/>
        <v>1210229.75</v>
      </c>
      <c r="L24" s="618"/>
      <c r="M24" s="619">
        <f>SUMIF([3]APCO_1901001!$A$53:$A$116,$B24,[3]APCO_1901001!$L$53:$L$116)</f>
        <v>10543865</v>
      </c>
      <c r="N24" s="619">
        <f>SUMIF([3]APCO_1901001!$A$117:$A$149,$B24,[3]APCO_1901001!$L$117:$L$149)</f>
        <v>21948</v>
      </c>
      <c r="O24" s="619">
        <f>SUMIF([3]APCO_1901001!$A$3:$A$52,$B24,[3]APCO_1901001!$L$3:$L$52)</f>
        <v>1005396.75</v>
      </c>
      <c r="P24" s="522"/>
      <c r="Q24" s="617">
        <v>12902718</v>
      </c>
      <c r="R24" s="529">
        <v>0</v>
      </c>
      <c r="S24" s="529">
        <f>1405303+9759.75</f>
        <v>1415062.75</v>
      </c>
      <c r="T24" s="440"/>
      <c r="U24" s="440"/>
    </row>
    <row r="25" spans="1:21">
      <c r="A25" s="548">
        <f t="shared" si="0"/>
        <v>4</v>
      </c>
      <c r="B25" s="182" t="s">
        <v>1</v>
      </c>
      <c r="C25" s="618">
        <f>SUM(M25:O25)</f>
        <v>0</v>
      </c>
      <c r="D25" s="618">
        <f>SUM(Q25:S25)</f>
        <v>0</v>
      </c>
      <c r="E25" s="618"/>
      <c r="F25" s="618"/>
      <c r="G25" s="618">
        <f>ROUND(SUM(C25:F25)/2,0)</f>
        <v>0</v>
      </c>
      <c r="H25" s="618"/>
      <c r="I25" s="618">
        <f t="shared" si="1"/>
        <v>0</v>
      </c>
      <c r="J25" s="618">
        <f t="shared" si="1"/>
        <v>0</v>
      </c>
      <c r="K25" s="618">
        <f t="shared" si="1"/>
        <v>0</v>
      </c>
      <c r="L25" s="618"/>
      <c r="M25" s="619">
        <f>SUMIF([3]APCO_1901001!$A$53:$A$116,$B25,[3]APCO_1901001!$L$53:$L$116)</f>
        <v>0</v>
      </c>
      <c r="N25" s="619">
        <f>SUMIF([3]APCO_1901001!$A$117:$A$149,$B25,[3]APCO_1901001!$L$117:$L$149)</f>
        <v>0</v>
      </c>
      <c r="O25" s="619">
        <f>SUMIF([3]APCO_1901001!$A$3:$A$52,$B25,[3]APCO_1901001!$L$3:$L$52)</f>
        <v>0</v>
      </c>
      <c r="P25" s="522"/>
      <c r="Q25" s="529">
        <v>0</v>
      </c>
      <c r="R25" s="529">
        <v>0</v>
      </c>
      <c r="S25" s="529">
        <v>0</v>
      </c>
      <c r="T25" s="440"/>
      <c r="U25" s="440"/>
    </row>
    <row r="26" spans="1:21">
      <c r="A26" s="548">
        <f t="shared" si="0"/>
        <v>5</v>
      </c>
      <c r="B26" s="522" t="s">
        <v>1057</v>
      </c>
      <c r="C26" s="618">
        <f t="shared" ref="C26:C72" si="2">SUM(M26:O26)</f>
        <v>75480807.850000009</v>
      </c>
      <c r="D26" s="618">
        <f t="shared" ref="D26:D89" si="3">SUM(Q26:S26)</f>
        <v>72823655.560000002</v>
      </c>
      <c r="E26" s="618"/>
      <c r="F26" s="618"/>
      <c r="G26" s="618">
        <f t="shared" ref="G26:G89" si="4">ROUND(SUM(C26:F26)/2,0)</f>
        <v>74152232</v>
      </c>
      <c r="H26" s="618"/>
      <c r="I26" s="618">
        <f t="shared" si="1"/>
        <v>53746632.164999999</v>
      </c>
      <c r="J26" s="618">
        <f t="shared" si="1"/>
        <v>15531469.245000001</v>
      </c>
      <c r="K26" s="618">
        <f t="shared" si="1"/>
        <v>4874130.2949999999</v>
      </c>
      <c r="L26" s="618"/>
      <c r="M26" s="619">
        <f>SUMIF([3]APCO_1901001!$A$53:$A$116,$B26,[3]APCO_1901001!$L$53:$L$116)</f>
        <v>53273771.109999999</v>
      </c>
      <c r="N26" s="619">
        <f>SUMIF([3]APCO_1901001!$A$117:$A$149,$B26,[3]APCO_1901001!$L$117:$L$149)</f>
        <v>17336520.600000001</v>
      </c>
      <c r="O26" s="619">
        <f>SUMIF([3]APCO_1901001!$A$3:$A$52,$B26,[3]APCO_1901001!$L$3:$L$52)</f>
        <v>4870516.1400000006</v>
      </c>
      <c r="P26" s="522"/>
      <c r="Q26" s="529">
        <f>69210904.22-14991411</f>
        <v>54219493.219999999</v>
      </c>
      <c r="R26" s="529">
        <f>19892397.89-6165980</f>
        <v>13726417.890000001</v>
      </c>
      <c r="S26" s="529">
        <f>9732656.45-4854912</f>
        <v>4877744.4499999993</v>
      </c>
      <c r="T26" s="440"/>
      <c r="U26" s="440"/>
    </row>
    <row r="27" spans="1:21">
      <c r="A27" s="548">
        <f t="shared" si="0"/>
        <v>6</v>
      </c>
      <c r="B27" s="535" t="s">
        <v>1058</v>
      </c>
      <c r="C27" s="618">
        <f>SUM(M27:O27)</f>
        <v>0</v>
      </c>
      <c r="D27" s="618">
        <f>SUM(Q27:S27)</f>
        <v>0</v>
      </c>
      <c r="E27" s="618"/>
      <c r="F27" s="618"/>
      <c r="G27" s="618">
        <f>ROUND(SUM(C27:F27)/2,0)</f>
        <v>0</v>
      </c>
      <c r="H27" s="618"/>
      <c r="I27" s="618">
        <f t="shared" si="1"/>
        <v>0</v>
      </c>
      <c r="J27" s="618">
        <f t="shared" si="1"/>
        <v>0</v>
      </c>
      <c r="K27" s="618">
        <f t="shared" si="1"/>
        <v>0</v>
      </c>
      <c r="L27" s="618"/>
      <c r="M27" s="619">
        <f>SUMIF([3]APCO_1901001!$A$53:$A$116,$B27,[3]APCO_1901001!$L$53:$L$116)</f>
        <v>0</v>
      </c>
      <c r="N27" s="619">
        <f>SUMIF([3]APCO_1901001!$A$117:$A$149,$B27,[3]APCO_1901001!$L$117:$L$149)</f>
        <v>0</v>
      </c>
      <c r="O27" s="619">
        <f>SUMIF([3]APCO_1901001!$A$3:$A$52,$B27,[3]APCO_1901001!$L$3:$L$52)</f>
        <v>0</v>
      </c>
      <c r="P27" s="522"/>
      <c r="Q27" s="529">
        <v>0</v>
      </c>
      <c r="R27" s="529">
        <v>0</v>
      </c>
      <c r="S27" s="529">
        <v>0</v>
      </c>
      <c r="T27" s="440"/>
      <c r="U27" s="440"/>
    </row>
    <row r="28" spans="1:21">
      <c r="A28" s="548">
        <f t="shared" si="0"/>
        <v>7</v>
      </c>
      <c r="B28" s="535" t="s">
        <v>1195</v>
      </c>
      <c r="C28" s="618">
        <f t="shared" si="2"/>
        <v>5713795.5</v>
      </c>
      <c r="D28" s="618">
        <f t="shared" si="3"/>
        <v>6136761.0500000007</v>
      </c>
      <c r="E28" s="618"/>
      <c r="F28" s="618"/>
      <c r="G28" s="618">
        <f t="shared" si="4"/>
        <v>5925278</v>
      </c>
      <c r="H28" s="618"/>
      <c r="I28" s="618">
        <f t="shared" si="1"/>
        <v>0</v>
      </c>
      <c r="J28" s="618">
        <f t="shared" si="1"/>
        <v>216611.47499999998</v>
      </c>
      <c r="K28" s="618">
        <f t="shared" si="1"/>
        <v>5708666.8000000007</v>
      </c>
      <c r="L28" s="618"/>
      <c r="M28" s="619">
        <f>SUMIF([3]APCO_1901001!$A$53:$A$116,$B28,[3]APCO_1901001!$L$53:$L$116)</f>
        <v>0</v>
      </c>
      <c r="N28" s="619">
        <f>SUMIF([3]APCO_1901001!$A$117:$A$149,$B28,[3]APCO_1901001!$L$117:$L$149)</f>
        <v>199643.3</v>
      </c>
      <c r="O28" s="619">
        <f>SUMIF([3]APCO_1901001!$A$3:$A$52,$B28,[3]APCO_1901001!$L$3:$L$52)</f>
        <v>5514152.2000000002</v>
      </c>
      <c r="P28" s="522"/>
      <c r="Q28" s="529">
        <v>0</v>
      </c>
      <c r="R28" s="529">
        <v>233579.65</v>
      </c>
      <c r="S28" s="529">
        <v>5903181.4000000004</v>
      </c>
      <c r="T28" s="440"/>
      <c r="U28" s="440"/>
    </row>
    <row r="29" spans="1:21">
      <c r="A29" s="548">
        <f t="shared" si="0"/>
        <v>8</v>
      </c>
      <c r="B29" s="535" t="s">
        <v>1196</v>
      </c>
      <c r="C29" s="618">
        <f t="shared" si="2"/>
        <v>484357.47</v>
      </c>
      <c r="D29" s="618">
        <f t="shared" si="3"/>
        <v>559341.12</v>
      </c>
      <c r="E29" s="618"/>
      <c r="F29" s="618"/>
      <c r="G29" s="618">
        <f t="shared" si="4"/>
        <v>521849</v>
      </c>
      <c r="H29" s="618"/>
      <c r="I29" s="618">
        <f t="shared" si="1"/>
        <v>0</v>
      </c>
      <c r="J29" s="618">
        <f t="shared" si="1"/>
        <v>521849.29499999998</v>
      </c>
      <c r="K29" s="618">
        <f t="shared" si="1"/>
        <v>0</v>
      </c>
      <c r="L29" s="618"/>
      <c r="M29" s="619">
        <f>SUMIF([3]APCO_1901001!$A$53:$A$116,$B29,[3]APCO_1901001!$L$53:$L$116)</f>
        <v>0</v>
      </c>
      <c r="N29" s="619">
        <f>SUMIF([3]APCO_1901001!$A$117:$A$149,$B29,[3]APCO_1901001!$L$117:$L$149)</f>
        <v>484357.47</v>
      </c>
      <c r="O29" s="619">
        <f>SUMIF([3]APCO_1901001!$A$3:$A$52,$B29,[3]APCO_1901001!$L$3:$L$52)</f>
        <v>0</v>
      </c>
      <c r="P29" s="522"/>
      <c r="Q29" s="529">
        <v>0</v>
      </c>
      <c r="R29" s="529">
        <v>559341.12</v>
      </c>
      <c r="S29" s="529">
        <v>0</v>
      </c>
      <c r="T29" s="440"/>
      <c r="U29" s="440"/>
    </row>
    <row r="30" spans="1:21">
      <c r="A30" s="548">
        <f t="shared" si="0"/>
        <v>9</v>
      </c>
      <c r="B30" s="535" t="s">
        <v>1197</v>
      </c>
      <c r="C30" s="618">
        <f t="shared" si="2"/>
        <v>2742902.63</v>
      </c>
      <c r="D30" s="618">
        <f t="shared" si="3"/>
        <v>2786795.43</v>
      </c>
      <c r="E30" s="618"/>
      <c r="F30" s="618"/>
      <c r="G30" s="618">
        <f t="shared" si="4"/>
        <v>2764849</v>
      </c>
      <c r="H30" s="618"/>
      <c r="I30" s="618">
        <f t="shared" si="1"/>
        <v>0</v>
      </c>
      <c r="J30" s="618">
        <f t="shared" si="1"/>
        <v>115317.15</v>
      </c>
      <c r="K30" s="618">
        <f t="shared" si="1"/>
        <v>2649531.88</v>
      </c>
      <c r="L30" s="618"/>
      <c r="M30" s="619">
        <f>SUMIF([3]APCO_1901001!$A$53:$A$116,$B30,[3]APCO_1901001!$L$53:$L$116)</f>
        <v>0</v>
      </c>
      <c r="N30" s="619">
        <f>SUMIF([3]APCO_1901001!$A$117:$A$149,$B30,[3]APCO_1901001!$L$117:$L$149)</f>
        <v>112988.6</v>
      </c>
      <c r="O30" s="619">
        <f>SUMIF([3]APCO_1901001!$A$3:$A$52,$B30,[3]APCO_1901001!$L$3:$L$52)</f>
        <v>2629914.0299999998</v>
      </c>
      <c r="P30" s="522"/>
      <c r="Q30" s="529">
        <v>0</v>
      </c>
      <c r="R30" s="529">
        <v>117645.7</v>
      </c>
      <c r="S30" s="529">
        <v>2669149.73</v>
      </c>
      <c r="T30" s="440"/>
      <c r="U30" s="440"/>
    </row>
    <row r="31" spans="1:21">
      <c r="A31" s="548">
        <f t="shared" si="0"/>
        <v>10</v>
      </c>
      <c r="B31" s="535" t="s">
        <v>1059</v>
      </c>
      <c r="C31" s="618">
        <f>SUM(M31:O31)</f>
        <v>0</v>
      </c>
      <c r="D31" s="618">
        <f>SUM(Q31:S31)</f>
        <v>0</v>
      </c>
      <c r="E31" s="618"/>
      <c r="F31" s="618"/>
      <c r="G31" s="618">
        <f>ROUND(SUM(C31:F31)/2,0)</f>
        <v>0</v>
      </c>
      <c r="H31" s="618"/>
      <c r="I31" s="618">
        <f t="shared" si="1"/>
        <v>0</v>
      </c>
      <c r="J31" s="618">
        <f t="shared" si="1"/>
        <v>0</v>
      </c>
      <c r="K31" s="618">
        <f t="shared" si="1"/>
        <v>0</v>
      </c>
      <c r="L31" s="618"/>
      <c r="M31" s="619">
        <f>SUMIF([3]APCO_1901001!$A$53:$A$116,$B31,[3]APCO_1901001!$L$53:$L$116)</f>
        <v>0</v>
      </c>
      <c r="N31" s="619">
        <f>SUMIF([3]APCO_1901001!$A$117:$A$149,$B31,[3]APCO_1901001!$L$117:$L$149)</f>
        <v>0</v>
      </c>
      <c r="O31" s="619">
        <f>SUMIF([3]APCO_1901001!$A$3:$A$52,$B31,[3]APCO_1901001!$L$3:$L$52)</f>
        <v>0</v>
      </c>
      <c r="P31" s="522"/>
      <c r="Q31" s="529">
        <v>0</v>
      </c>
      <c r="R31" s="529">
        <v>0</v>
      </c>
      <c r="S31" s="529">
        <v>0</v>
      </c>
      <c r="T31" s="440"/>
      <c r="U31" s="440"/>
    </row>
    <row r="32" spans="1:21">
      <c r="A32" s="548">
        <f t="shared" si="0"/>
        <v>11</v>
      </c>
      <c r="B32" s="606" t="s">
        <v>1060</v>
      </c>
      <c r="C32" s="620">
        <f t="shared" si="2"/>
        <v>0</v>
      </c>
      <c r="D32" s="620">
        <f t="shared" si="3"/>
        <v>0.1</v>
      </c>
      <c r="E32" s="620"/>
      <c r="F32" s="620"/>
      <c r="G32" s="620">
        <f t="shared" si="4"/>
        <v>0</v>
      </c>
      <c r="H32" s="620"/>
      <c r="I32" s="620">
        <f t="shared" si="1"/>
        <v>0.05</v>
      </c>
      <c r="J32" s="620">
        <f t="shared" si="1"/>
        <v>0</v>
      </c>
      <c r="K32" s="620">
        <f t="shared" si="1"/>
        <v>0</v>
      </c>
      <c r="L32" s="620"/>
      <c r="M32" s="620">
        <f>SUMIF([3]APCO_1901001!$A$53:$A$116,$B32,[3]APCO_1901001!$L$53:$L$116)</f>
        <v>0</v>
      </c>
      <c r="N32" s="620">
        <f>SUMIF([3]APCO_1901001!$A$117:$A$149,$B32,[3]APCO_1901001!$L$117:$L$149)</f>
        <v>0</v>
      </c>
      <c r="O32" s="620">
        <f>SUMIF([3]APCO_1901001!$A$3:$A$52,$B32,[3]APCO_1901001!$L$3:$L$52)</f>
        <v>0</v>
      </c>
      <c r="P32" s="522"/>
      <c r="Q32" s="529">
        <v>0.1</v>
      </c>
      <c r="R32" s="529">
        <v>0</v>
      </c>
      <c r="S32" s="529">
        <v>0</v>
      </c>
      <c r="T32" s="440"/>
      <c r="U32" s="440"/>
    </row>
    <row r="33" spans="1:21">
      <c r="A33" s="548">
        <f t="shared" si="0"/>
        <v>12</v>
      </c>
      <c r="B33" s="606" t="s">
        <v>1061</v>
      </c>
      <c r="C33" s="620">
        <f t="shared" si="2"/>
        <v>0</v>
      </c>
      <c r="D33" s="620">
        <f t="shared" si="3"/>
        <v>0</v>
      </c>
      <c r="E33" s="620"/>
      <c r="F33" s="620"/>
      <c r="G33" s="620">
        <f t="shared" si="4"/>
        <v>0</v>
      </c>
      <c r="H33" s="620"/>
      <c r="I33" s="620">
        <f t="shared" si="1"/>
        <v>0</v>
      </c>
      <c r="J33" s="620">
        <f t="shared" si="1"/>
        <v>0</v>
      </c>
      <c r="K33" s="620">
        <f t="shared" si="1"/>
        <v>0</v>
      </c>
      <c r="L33" s="620"/>
      <c r="M33" s="620">
        <f>SUMIF([3]APCO_1901001!$A$53:$A$116,$B33,[3]APCO_1901001!$L$53:$L$116)</f>
        <v>0</v>
      </c>
      <c r="N33" s="620">
        <f>SUMIF([3]APCO_1901001!$A$117:$A$149,$B33,[3]APCO_1901001!$L$117:$L$149)</f>
        <v>0</v>
      </c>
      <c r="O33" s="620">
        <f>SUMIF([3]APCO_1901001!$A$3:$A$52,$B33,[3]APCO_1901001!$L$3:$L$52)</f>
        <v>0</v>
      </c>
      <c r="P33" s="522"/>
      <c r="Q33" s="529">
        <v>0</v>
      </c>
      <c r="R33" s="529">
        <v>0</v>
      </c>
      <c r="S33" s="529">
        <v>0</v>
      </c>
      <c r="T33" s="440"/>
      <c r="U33" s="440"/>
    </row>
    <row r="34" spans="1:21">
      <c r="A34" s="548">
        <f t="shared" si="0"/>
        <v>13</v>
      </c>
      <c r="B34" s="535" t="s">
        <v>1062</v>
      </c>
      <c r="C34" s="618">
        <f t="shared" si="2"/>
        <v>2099433.09</v>
      </c>
      <c r="D34" s="618">
        <f t="shared" si="3"/>
        <v>12224577.17</v>
      </c>
      <c r="E34" s="618"/>
      <c r="F34" s="618"/>
      <c r="G34" s="618">
        <f t="shared" si="4"/>
        <v>7162005</v>
      </c>
      <c r="H34" s="618"/>
      <c r="I34" s="618">
        <f t="shared" si="1"/>
        <v>231150.75</v>
      </c>
      <c r="J34" s="618">
        <f t="shared" si="1"/>
        <v>1800402.0249999999</v>
      </c>
      <c r="K34" s="618">
        <f t="shared" si="1"/>
        <v>5130452.3550000004</v>
      </c>
      <c r="L34" s="618"/>
      <c r="M34" s="619">
        <f>SUMIF([3]APCO_1901001!$A$53:$A$116,$B34,[3]APCO_1901001!$L$53:$L$116)</f>
        <v>370376.47</v>
      </c>
      <c r="N34" s="619">
        <f>SUMIF([3]APCO_1901001!$A$117:$A$149,$B34,[3]APCO_1901001!$L$117:$L$149)</f>
        <v>1648034.91</v>
      </c>
      <c r="O34" s="619">
        <f>SUMIF([3]APCO_1901001!$A$3:$A$52,$B34,[3]APCO_1901001!$L$3:$L$52)</f>
        <v>81021.710000000006</v>
      </c>
      <c r="P34" s="522"/>
      <c r="Q34" s="529">
        <v>91925.03</v>
      </c>
      <c r="R34" s="529">
        <v>1952769.14</v>
      </c>
      <c r="S34" s="529">
        <v>10179883</v>
      </c>
      <c r="T34" s="440"/>
      <c r="U34" s="440"/>
    </row>
    <row r="35" spans="1:21">
      <c r="A35" s="548">
        <f t="shared" si="0"/>
        <v>14</v>
      </c>
      <c r="B35" s="535" t="s">
        <v>1198</v>
      </c>
      <c r="C35" s="618">
        <f t="shared" si="2"/>
        <v>640.6</v>
      </c>
      <c r="D35" s="618">
        <f t="shared" si="3"/>
        <v>640.6</v>
      </c>
      <c r="E35" s="618"/>
      <c r="F35" s="618"/>
      <c r="G35" s="618">
        <f t="shared" si="4"/>
        <v>641</v>
      </c>
      <c r="H35" s="618"/>
      <c r="I35" s="618">
        <f t="shared" si="1"/>
        <v>0</v>
      </c>
      <c r="J35" s="618">
        <f t="shared" si="1"/>
        <v>0</v>
      </c>
      <c r="K35" s="618">
        <f t="shared" si="1"/>
        <v>640.6</v>
      </c>
      <c r="L35" s="618"/>
      <c r="M35" s="619">
        <f>SUMIF([3]APCO_1901001!$A$53:$A$116,$B35,[3]APCO_1901001!$L$53:$L$116)</f>
        <v>0</v>
      </c>
      <c r="N35" s="619">
        <f>SUMIF([3]APCO_1901001!$A$117:$A$149,$B35,[3]APCO_1901001!$L$117:$L$149)</f>
        <v>0</v>
      </c>
      <c r="O35" s="619">
        <f>SUMIF([3]APCO_1901001!$A$3:$A$52,$B35,[3]APCO_1901001!$L$3:$L$52)</f>
        <v>640.6</v>
      </c>
      <c r="P35" s="522"/>
      <c r="Q35" s="529">
        <v>0</v>
      </c>
      <c r="R35" s="529">
        <v>0</v>
      </c>
      <c r="S35" s="529">
        <v>640.6</v>
      </c>
      <c r="T35" s="440"/>
      <c r="U35" s="440"/>
    </row>
    <row r="36" spans="1:21">
      <c r="A36" s="548">
        <f t="shared" si="0"/>
        <v>15</v>
      </c>
      <c r="B36" s="606" t="s">
        <v>1063</v>
      </c>
      <c r="C36" s="620">
        <f t="shared" si="2"/>
        <v>0</v>
      </c>
      <c r="D36" s="620">
        <f t="shared" si="3"/>
        <v>0</v>
      </c>
      <c r="E36" s="620"/>
      <c r="F36" s="620"/>
      <c r="G36" s="620">
        <f t="shared" si="4"/>
        <v>0</v>
      </c>
      <c r="H36" s="620"/>
      <c r="I36" s="620">
        <f t="shared" si="1"/>
        <v>0</v>
      </c>
      <c r="J36" s="620">
        <f t="shared" si="1"/>
        <v>0</v>
      </c>
      <c r="K36" s="620">
        <f t="shared" si="1"/>
        <v>0</v>
      </c>
      <c r="L36" s="620"/>
      <c r="M36" s="620">
        <f>SUMIF([3]APCO_1901001!$A$53:$A$116,$B36,[3]APCO_1901001!$L$53:$L$116)</f>
        <v>0</v>
      </c>
      <c r="N36" s="620">
        <f>SUMIF([3]APCO_1901001!$A$117:$A$149,$B36,[3]APCO_1901001!$L$117:$L$149)</f>
        <v>0</v>
      </c>
      <c r="O36" s="620">
        <f>SUMIF([3]APCO_1901001!$A$3:$A$52,$B36,[3]APCO_1901001!$L$3:$L$52)</f>
        <v>0</v>
      </c>
      <c r="P36" s="522"/>
      <c r="Q36" s="529">
        <v>0</v>
      </c>
      <c r="R36" s="529">
        <v>0</v>
      </c>
      <c r="S36" s="529">
        <v>0</v>
      </c>
      <c r="T36" s="440"/>
      <c r="U36" s="440"/>
    </row>
    <row r="37" spans="1:21">
      <c r="A37" s="548">
        <f t="shared" si="0"/>
        <v>16</v>
      </c>
      <c r="B37" s="606" t="s">
        <v>1064</v>
      </c>
      <c r="C37" s="620">
        <f>SUM(M37:O37)</f>
        <v>-1257397.75</v>
      </c>
      <c r="D37" s="620">
        <f>SUM(Q37:S37)</f>
        <v>4850928.5999999996</v>
      </c>
      <c r="E37" s="620"/>
      <c r="F37" s="620"/>
      <c r="G37" s="620">
        <f>ROUND(SUM(C37:F37)/2,0)</f>
        <v>1796765</v>
      </c>
      <c r="H37" s="620"/>
      <c r="I37" s="620">
        <f t="shared" si="1"/>
        <v>1796765.4249999998</v>
      </c>
      <c r="J37" s="620">
        <f t="shared" si="1"/>
        <v>0</v>
      </c>
      <c r="K37" s="620">
        <f t="shared" si="1"/>
        <v>0</v>
      </c>
      <c r="L37" s="620"/>
      <c r="M37" s="620">
        <f>SUMIF([3]APCO_1901001!$A$53:$A$116,$B37,[3]APCO_1901001!$L$53:$L$116)</f>
        <v>-1257397.75</v>
      </c>
      <c r="N37" s="620">
        <f>SUMIF([3]APCO_1901001!$A$117:$A$149,$B37,[3]APCO_1901001!$L$117:$L$149)</f>
        <v>0</v>
      </c>
      <c r="O37" s="620">
        <f>SUMIF([3]APCO_1901001!$A$3:$A$52,$B37,[3]APCO_1901001!$L$3:$L$52)</f>
        <v>0</v>
      </c>
      <c r="P37" s="522"/>
      <c r="Q37" s="529">
        <v>4850928.5999999996</v>
      </c>
      <c r="R37" s="529">
        <v>0</v>
      </c>
      <c r="S37" s="529">
        <v>0</v>
      </c>
      <c r="T37" s="440"/>
      <c r="U37" s="440"/>
    </row>
    <row r="38" spans="1:21">
      <c r="A38" s="548">
        <f t="shared" si="0"/>
        <v>17</v>
      </c>
      <c r="B38" s="604" t="s">
        <v>1199</v>
      </c>
      <c r="C38" s="621">
        <f t="shared" si="2"/>
        <v>123685.69</v>
      </c>
      <c r="D38" s="621">
        <f t="shared" si="3"/>
        <v>126202.76000000001</v>
      </c>
      <c r="E38" s="621"/>
      <c r="F38" s="621"/>
      <c r="G38" s="621">
        <f t="shared" si="4"/>
        <v>124944</v>
      </c>
      <c r="H38" s="621"/>
      <c r="I38" s="621">
        <f t="shared" si="1"/>
        <v>85738.31</v>
      </c>
      <c r="J38" s="621">
        <f t="shared" si="1"/>
        <v>6942.3450000000003</v>
      </c>
      <c r="K38" s="621">
        <f t="shared" si="1"/>
        <v>32263.57</v>
      </c>
      <c r="L38" s="621"/>
      <c r="M38" s="621">
        <f>SUMIF([3]APCO_1901001!$A$53:$A$116,$B38,[3]APCO_1901001!$L$53:$L$116)</f>
        <v>86213.8</v>
      </c>
      <c r="N38" s="621">
        <f>SUMIF([3]APCO_1901001!$A$117:$A$149,$B38,[3]APCO_1901001!$L$117:$L$149)</f>
        <v>9083.5400000000009</v>
      </c>
      <c r="O38" s="621">
        <f>SUMIF([3]APCO_1901001!$A$3:$A$52,$B38,[3]APCO_1901001!$L$3:$L$52)</f>
        <v>28388.35</v>
      </c>
      <c r="P38" s="522"/>
      <c r="Q38" s="529">
        <v>85262.82</v>
      </c>
      <c r="R38" s="529">
        <v>4801.1499999999996</v>
      </c>
      <c r="S38" s="529">
        <v>36138.79</v>
      </c>
      <c r="T38" s="440"/>
      <c r="U38" s="440"/>
    </row>
    <row r="39" spans="1:21">
      <c r="A39" s="548">
        <f t="shared" si="0"/>
        <v>18</v>
      </c>
      <c r="B39" s="604" t="s">
        <v>1200</v>
      </c>
      <c r="C39" s="621">
        <f t="shared" si="2"/>
        <v>-88786.91</v>
      </c>
      <c r="D39" s="621">
        <f t="shared" si="3"/>
        <v>-101597.13</v>
      </c>
      <c r="E39" s="621"/>
      <c r="F39" s="621"/>
      <c r="G39" s="621">
        <f t="shared" si="4"/>
        <v>-95192</v>
      </c>
      <c r="H39" s="621"/>
      <c r="I39" s="621">
        <f t="shared" si="1"/>
        <v>214.255</v>
      </c>
      <c r="J39" s="621">
        <f t="shared" si="1"/>
        <v>0</v>
      </c>
      <c r="K39" s="621">
        <f t="shared" si="1"/>
        <v>-95406.274999999994</v>
      </c>
      <c r="L39" s="621"/>
      <c r="M39" s="621">
        <f>SUMIF([3]APCO_1901001!$A$53:$A$116,$B39,[3]APCO_1901001!$L$53:$L$116)</f>
        <v>237</v>
      </c>
      <c r="N39" s="621">
        <f>SUMIF([3]APCO_1901001!$A$117:$A$149,$B39,[3]APCO_1901001!$L$117:$L$149)</f>
        <v>0</v>
      </c>
      <c r="O39" s="621">
        <f>SUMIF([3]APCO_1901001!$A$3:$A$52,$B39,[3]APCO_1901001!$L$3:$L$52)</f>
        <v>-89023.91</v>
      </c>
      <c r="P39" s="522"/>
      <c r="Q39" s="529">
        <v>191.51</v>
      </c>
      <c r="R39" s="529">
        <v>0</v>
      </c>
      <c r="S39" s="529">
        <v>-101788.64</v>
      </c>
      <c r="T39" s="440"/>
      <c r="U39" s="440"/>
    </row>
    <row r="40" spans="1:21">
      <c r="A40" s="548">
        <f t="shared" si="0"/>
        <v>19</v>
      </c>
      <c r="B40" s="604" t="s">
        <v>1201</v>
      </c>
      <c r="C40" s="621">
        <f>SUM(M40:O40)</f>
        <v>219608.19999999998</v>
      </c>
      <c r="D40" s="621">
        <f>SUM(Q40:S40)</f>
        <v>194948.25</v>
      </c>
      <c r="E40" s="621"/>
      <c r="F40" s="621"/>
      <c r="G40" s="621">
        <f>ROUND(SUM(C40:F40)/2,0)</f>
        <v>207278</v>
      </c>
      <c r="H40" s="621"/>
      <c r="I40" s="621">
        <f t="shared" ref="I40:K102" si="5">(M40+Q40)/2</f>
        <v>-112.35</v>
      </c>
      <c r="J40" s="621">
        <f t="shared" si="5"/>
        <v>0</v>
      </c>
      <c r="K40" s="621">
        <f t="shared" si="5"/>
        <v>207390.57500000001</v>
      </c>
      <c r="L40" s="621"/>
      <c r="M40" s="621">
        <f>SUMIF([3]APCO_1901001!$A$53:$A$116,$B40,[3]APCO_1901001!$L$53:$L$116)</f>
        <v>-68.95</v>
      </c>
      <c r="N40" s="621">
        <f>SUMIF([3]APCO_1901001!$A$117:$A$149,$B40,[3]APCO_1901001!$L$117:$L$149)</f>
        <v>0</v>
      </c>
      <c r="O40" s="621">
        <f>SUMIF([3]APCO_1901001!$A$3:$A$52,$B40,[3]APCO_1901001!$L$3:$L$52)</f>
        <v>219677.15</v>
      </c>
      <c r="P40" s="522"/>
      <c r="Q40" s="529">
        <v>-155.75</v>
      </c>
      <c r="R40" s="529">
        <v>0</v>
      </c>
      <c r="S40" s="529">
        <v>195104</v>
      </c>
      <c r="T40" s="440"/>
      <c r="U40" s="440"/>
    </row>
    <row r="41" spans="1:21">
      <c r="A41" s="548">
        <f t="shared" si="0"/>
        <v>20</v>
      </c>
      <c r="B41" s="604" t="s">
        <v>1065</v>
      </c>
      <c r="C41" s="621">
        <f>SUM(M41:O41)</f>
        <v>202147.89</v>
      </c>
      <c r="D41" s="621">
        <f>SUM(Q41:S41)</f>
        <v>198807.4</v>
      </c>
      <c r="E41" s="621"/>
      <c r="F41" s="621"/>
      <c r="G41" s="621">
        <f>ROUND(SUM(C41:F41)/2,0)</f>
        <v>200478</v>
      </c>
      <c r="H41" s="621"/>
      <c r="I41" s="621">
        <f t="shared" si="5"/>
        <v>71476.25</v>
      </c>
      <c r="J41" s="621">
        <f t="shared" si="5"/>
        <v>0</v>
      </c>
      <c r="K41" s="621">
        <f t="shared" si="5"/>
        <v>129001.39499999999</v>
      </c>
      <c r="L41" s="621"/>
      <c r="M41" s="621">
        <f>SUMIF([3]APCO_1901001!$A$53:$A$116,$B41,[3]APCO_1901001!$L$53:$L$116)</f>
        <v>59972.05</v>
      </c>
      <c r="N41" s="621">
        <f>SUMIF([3]APCO_1901001!$A$117:$A$149,$B41,[3]APCO_1901001!$L$117:$L$149)</f>
        <v>0</v>
      </c>
      <c r="O41" s="621">
        <f>SUMIF([3]APCO_1901001!$A$3:$A$52,$B41,[3]APCO_1901001!$L$3:$L$52)</f>
        <v>142175.84</v>
      </c>
      <c r="P41" s="522"/>
      <c r="Q41" s="529">
        <v>82980.45</v>
      </c>
      <c r="R41" s="529">
        <v>0</v>
      </c>
      <c r="S41" s="529">
        <v>115826.95</v>
      </c>
      <c r="T41" s="440"/>
      <c r="U41" s="440"/>
    </row>
    <row r="42" spans="1:21">
      <c r="A42" s="548">
        <f t="shared" si="0"/>
        <v>21</v>
      </c>
      <c r="B42" s="604" t="s">
        <v>1066</v>
      </c>
      <c r="C42" s="621">
        <f>SUM(M42:O42)</f>
        <v>0</v>
      </c>
      <c r="D42" s="621">
        <f>SUM(Q42:S42)</f>
        <v>-0.02</v>
      </c>
      <c r="E42" s="621"/>
      <c r="F42" s="621"/>
      <c r="G42" s="621">
        <f>ROUND(SUM(C42:F42)/2,0)</f>
        <v>0</v>
      </c>
      <c r="H42" s="621"/>
      <c r="I42" s="621">
        <f t="shared" si="5"/>
        <v>0</v>
      </c>
      <c r="J42" s="621">
        <f t="shared" si="5"/>
        <v>0</v>
      </c>
      <c r="K42" s="621">
        <f t="shared" si="5"/>
        <v>-0.01</v>
      </c>
      <c r="L42" s="621"/>
      <c r="M42" s="621">
        <f>SUMIF([3]APCO_1901001!$A$53:$A$116,$B42,[3]APCO_1901001!$L$53:$L$116)</f>
        <v>0</v>
      </c>
      <c r="N42" s="621">
        <f>SUMIF([3]APCO_1901001!$A$117:$A$149,$B42,[3]APCO_1901001!$L$117:$L$149)</f>
        <v>0</v>
      </c>
      <c r="O42" s="621">
        <f>SUMIF([3]APCO_1901001!$A$3:$A$52,$B42,[3]APCO_1901001!$L$3:$L$52)</f>
        <v>0</v>
      </c>
      <c r="P42" s="522"/>
      <c r="Q42" s="529">
        <v>0</v>
      </c>
      <c r="R42" s="529">
        <v>0</v>
      </c>
      <c r="S42" s="529">
        <v>-0.02</v>
      </c>
      <c r="T42" s="440"/>
      <c r="U42" s="440"/>
    </row>
    <row r="43" spans="1:21">
      <c r="A43" s="548">
        <f t="shared" si="0"/>
        <v>22</v>
      </c>
      <c r="B43" s="604" t="s">
        <v>1067</v>
      </c>
      <c r="C43" s="621">
        <f>SUM(M43:O43)</f>
        <v>2051495.13</v>
      </c>
      <c r="D43" s="621">
        <f>SUM(Q43:S43)</f>
        <v>1923700.9200000002</v>
      </c>
      <c r="E43" s="621"/>
      <c r="F43" s="621"/>
      <c r="G43" s="621">
        <f>ROUND(SUM(C43:F43)/2,0)</f>
        <v>1987598</v>
      </c>
      <c r="H43" s="621"/>
      <c r="I43" s="621">
        <f t="shared" si="5"/>
        <v>96914.524999999994</v>
      </c>
      <c r="J43" s="621">
        <f t="shared" si="5"/>
        <v>0</v>
      </c>
      <c r="K43" s="621">
        <f t="shared" si="5"/>
        <v>1890683.5</v>
      </c>
      <c r="L43" s="621"/>
      <c r="M43" s="621">
        <f>SUMIF([3]APCO_1901001!$A$53:$A$116,$B43,[3]APCO_1901001!$L$53:$L$116)</f>
        <v>100699.21</v>
      </c>
      <c r="N43" s="621">
        <f>SUMIF([3]APCO_1901001!$A$117:$A$149,$B43,[3]APCO_1901001!$L$117:$L$149)</f>
        <v>0</v>
      </c>
      <c r="O43" s="621">
        <f>SUMIF([3]APCO_1901001!$A$3:$A$52,$B43,[3]APCO_1901001!$L$3:$L$52)</f>
        <v>1950795.92</v>
      </c>
      <c r="P43" s="522"/>
      <c r="Q43" s="529">
        <v>93129.84</v>
      </c>
      <c r="R43" s="529">
        <v>0</v>
      </c>
      <c r="S43" s="529">
        <v>1830571.08</v>
      </c>
      <c r="T43" s="440"/>
      <c r="U43" s="440"/>
    </row>
    <row r="44" spans="1:21">
      <c r="A44" s="548">
        <f t="shared" si="0"/>
        <v>23</v>
      </c>
      <c r="B44" s="535" t="s">
        <v>1068</v>
      </c>
      <c r="C44" s="618">
        <f t="shared" si="2"/>
        <v>1140808.17</v>
      </c>
      <c r="D44" s="618">
        <f t="shared" si="3"/>
        <v>484792.19000000006</v>
      </c>
      <c r="E44" s="618"/>
      <c r="F44" s="618"/>
      <c r="G44" s="618">
        <f t="shared" si="4"/>
        <v>812800</v>
      </c>
      <c r="H44" s="618"/>
      <c r="I44" s="618">
        <f t="shared" si="5"/>
        <v>-342671.35</v>
      </c>
      <c r="J44" s="618">
        <f t="shared" si="5"/>
        <v>776.99</v>
      </c>
      <c r="K44" s="618">
        <f t="shared" si="5"/>
        <v>1154694.54</v>
      </c>
      <c r="L44" s="618"/>
      <c r="M44" s="619">
        <f>SUMIF([3]APCO_1901001!$A$53:$A$116,$B44,[3]APCO_1901001!$L$53:$L$116)</f>
        <v>-342671.35</v>
      </c>
      <c r="N44" s="619">
        <f>SUMIF([3]APCO_1901001!$A$117:$A$149,$B44,[3]APCO_1901001!$L$117:$L$149)</f>
        <v>776.99</v>
      </c>
      <c r="O44" s="619">
        <f>SUMIF([3]APCO_1901001!$A$3:$A$52,$B44,[3]APCO_1901001!$L$3:$L$52)</f>
        <v>1482702.53</v>
      </c>
      <c r="P44" s="522"/>
      <c r="Q44" s="529">
        <v>-342671.35</v>
      </c>
      <c r="R44" s="529">
        <v>776.99</v>
      </c>
      <c r="S44" s="529">
        <v>826686.55</v>
      </c>
      <c r="T44" s="440"/>
      <c r="U44" s="440"/>
    </row>
    <row r="45" spans="1:21">
      <c r="A45" s="548">
        <f t="shared" si="0"/>
        <v>24</v>
      </c>
      <c r="B45" s="606" t="s">
        <v>1202</v>
      </c>
      <c r="C45" s="620">
        <f t="shared" si="2"/>
        <v>24916.85</v>
      </c>
      <c r="D45" s="620">
        <f t="shared" si="3"/>
        <v>40535.599999999999</v>
      </c>
      <c r="E45" s="620"/>
      <c r="F45" s="620"/>
      <c r="G45" s="620">
        <f t="shared" si="4"/>
        <v>32726</v>
      </c>
      <c r="H45" s="620"/>
      <c r="I45" s="620">
        <f t="shared" si="5"/>
        <v>32726.224999999999</v>
      </c>
      <c r="J45" s="620">
        <f t="shared" si="5"/>
        <v>0</v>
      </c>
      <c r="K45" s="620">
        <f t="shared" si="5"/>
        <v>0</v>
      </c>
      <c r="L45" s="620"/>
      <c r="M45" s="620">
        <f>SUMIF([3]APCO_1901001!$A$53:$A$116,$B45,[3]APCO_1901001!$L$53:$L$116)</f>
        <v>24916.85</v>
      </c>
      <c r="N45" s="620">
        <f>SUMIF([3]APCO_1901001!$A$117:$A$149,$B45,[3]APCO_1901001!$L$117:$L$149)</f>
        <v>0</v>
      </c>
      <c r="O45" s="620">
        <f>SUMIF([3]APCO_1901001!$A$3:$A$52,$B45,[3]APCO_1901001!$L$3:$L$52)</f>
        <v>0</v>
      </c>
      <c r="P45" s="522"/>
      <c r="Q45" s="529">
        <v>40535.599999999999</v>
      </c>
      <c r="R45" s="529">
        <v>0</v>
      </c>
      <c r="S45" s="529">
        <v>0</v>
      </c>
      <c r="T45" s="440"/>
      <c r="U45" s="440"/>
    </row>
    <row r="46" spans="1:21">
      <c r="A46" s="548">
        <f t="shared" si="0"/>
        <v>25</v>
      </c>
      <c r="B46" s="606" t="s">
        <v>1203</v>
      </c>
      <c r="C46" s="620">
        <f>SUM(M46:O46)</f>
        <v>-2114.35</v>
      </c>
      <c r="D46" s="620">
        <f>SUM(Q46:S46)</f>
        <v>-6869.8</v>
      </c>
      <c r="E46" s="620"/>
      <c r="F46" s="620"/>
      <c r="G46" s="620">
        <f>ROUND(SUM(C46:F46)/2,0)</f>
        <v>-4492</v>
      </c>
      <c r="H46" s="620"/>
      <c r="I46" s="620">
        <f t="shared" si="5"/>
        <v>-4492.0749999999998</v>
      </c>
      <c r="J46" s="620">
        <f t="shared" si="5"/>
        <v>0</v>
      </c>
      <c r="K46" s="620">
        <f t="shared" si="5"/>
        <v>0</v>
      </c>
      <c r="L46" s="620"/>
      <c r="M46" s="620">
        <f>SUMIF([3]APCO_1901001!$A$53:$A$116,$B46,[3]APCO_1901001!$L$53:$L$116)</f>
        <v>-2114.35</v>
      </c>
      <c r="N46" s="620">
        <f>SUMIF([3]APCO_1901001!$A$117:$A$149,$B46,[3]APCO_1901001!$L$117:$L$149)</f>
        <v>0</v>
      </c>
      <c r="O46" s="620">
        <f>SUMIF([3]APCO_1901001!$A$3:$A$52,$B46,[3]APCO_1901001!$L$3:$L$52)</f>
        <v>0</v>
      </c>
      <c r="P46" s="522"/>
      <c r="Q46" s="529">
        <v>-6869.8</v>
      </c>
      <c r="R46" s="529">
        <v>0</v>
      </c>
      <c r="S46" s="529">
        <v>0</v>
      </c>
      <c r="T46" s="440"/>
      <c r="U46" s="440"/>
    </row>
    <row r="47" spans="1:21">
      <c r="A47" s="548">
        <f t="shared" si="0"/>
        <v>26</v>
      </c>
      <c r="B47" s="604" t="s">
        <v>1069</v>
      </c>
      <c r="C47" s="621">
        <f>SUM(M47:O47)</f>
        <v>0</v>
      </c>
      <c r="D47" s="621">
        <f>SUM(Q47:S47)</f>
        <v>0</v>
      </c>
      <c r="E47" s="621"/>
      <c r="F47" s="621"/>
      <c r="G47" s="621">
        <f>ROUND(SUM(C47:F47)/2,0)</f>
        <v>0</v>
      </c>
      <c r="H47" s="621"/>
      <c r="I47" s="621">
        <f t="shared" si="5"/>
        <v>0</v>
      </c>
      <c r="J47" s="621">
        <f t="shared" si="5"/>
        <v>0</v>
      </c>
      <c r="K47" s="621">
        <f t="shared" si="5"/>
        <v>0</v>
      </c>
      <c r="L47" s="621"/>
      <c r="M47" s="621">
        <f>SUMIF([3]APCO_1901001!$A$53:$A$116,$B47,[3]APCO_1901001!$L$53:$L$116)</f>
        <v>0</v>
      </c>
      <c r="N47" s="621">
        <f>SUMIF([3]APCO_1901001!$A$117:$A$149,$B47,[3]APCO_1901001!$L$117:$L$149)</f>
        <v>0</v>
      </c>
      <c r="O47" s="621">
        <f>SUMIF([3]APCO_1901001!$A$3:$A$52,$B47,[3]APCO_1901001!$L$3:$L$52)</f>
        <v>0</v>
      </c>
      <c r="P47" s="522"/>
      <c r="Q47" s="529">
        <v>0</v>
      </c>
      <c r="R47" s="529">
        <v>0</v>
      </c>
      <c r="S47" s="529">
        <v>0</v>
      </c>
      <c r="T47" s="440"/>
      <c r="U47" s="440"/>
    </row>
    <row r="48" spans="1:21">
      <c r="A48" s="548">
        <f t="shared" si="0"/>
        <v>27</v>
      </c>
      <c r="B48" s="604" t="s">
        <v>1070</v>
      </c>
      <c r="C48" s="621">
        <f t="shared" si="2"/>
        <v>6185789.9100000001</v>
      </c>
      <c r="D48" s="621">
        <f t="shared" si="3"/>
        <v>5383806.6100000003</v>
      </c>
      <c r="E48" s="621"/>
      <c r="F48" s="621"/>
      <c r="G48" s="621">
        <f t="shared" si="4"/>
        <v>5784798</v>
      </c>
      <c r="H48" s="621"/>
      <c r="I48" s="621">
        <f t="shared" si="5"/>
        <v>2564631.08</v>
      </c>
      <c r="J48" s="621">
        <f t="shared" si="5"/>
        <v>-95928.315000000002</v>
      </c>
      <c r="K48" s="621">
        <f t="shared" si="5"/>
        <v>3316095.4950000001</v>
      </c>
      <c r="L48" s="621"/>
      <c r="M48" s="621">
        <f>SUMIF([3]APCO_1901001!$A$53:$A$116,$B48,[3]APCO_1901001!$L$53:$L$116)</f>
        <v>2451200.27</v>
      </c>
      <c r="N48" s="621">
        <f>SUMIF([3]APCO_1901001!$A$117:$A$149,$B48,[3]APCO_1901001!$L$117:$L$149)</f>
        <v>-177048.37</v>
      </c>
      <c r="O48" s="621">
        <f>SUMIF([3]APCO_1901001!$A$3:$A$52,$B48,[3]APCO_1901001!$L$3:$L$52)</f>
        <v>3911638.01</v>
      </c>
      <c r="P48" s="522"/>
      <c r="Q48" s="529">
        <v>2678061.89</v>
      </c>
      <c r="R48" s="529">
        <v>-14808.26</v>
      </c>
      <c r="S48" s="529">
        <v>2720552.98</v>
      </c>
      <c r="T48" s="440"/>
      <c r="U48" s="440"/>
    </row>
    <row r="49" spans="1:21">
      <c r="A49" s="548">
        <f t="shared" si="0"/>
        <v>28</v>
      </c>
      <c r="B49" s="535" t="s">
        <v>1204</v>
      </c>
      <c r="C49" s="618">
        <f t="shared" si="2"/>
        <v>4200</v>
      </c>
      <c r="D49" s="618">
        <f t="shared" si="3"/>
        <v>4200</v>
      </c>
      <c r="E49" s="618"/>
      <c r="F49" s="618"/>
      <c r="G49" s="618">
        <f t="shared" si="4"/>
        <v>4200</v>
      </c>
      <c r="H49" s="618"/>
      <c r="I49" s="618">
        <f t="shared" si="5"/>
        <v>0</v>
      </c>
      <c r="J49" s="618">
        <f t="shared" si="5"/>
        <v>0</v>
      </c>
      <c r="K49" s="618">
        <f t="shared" si="5"/>
        <v>4200</v>
      </c>
      <c r="L49" s="618"/>
      <c r="M49" s="619">
        <f>SUMIF([3]APCO_1901001!$A$53:$A$116,$B49,[3]APCO_1901001!$L$53:$L$116)</f>
        <v>0</v>
      </c>
      <c r="N49" s="619">
        <f>SUMIF([3]APCO_1901001!$A$117:$A$149,$B49,[3]APCO_1901001!$L$117:$L$149)</f>
        <v>0</v>
      </c>
      <c r="O49" s="619">
        <f>SUMIF([3]APCO_1901001!$A$3:$A$52,$B49,[3]APCO_1901001!$L$3:$L$52)</f>
        <v>4200</v>
      </c>
      <c r="P49" s="522"/>
      <c r="Q49" s="529">
        <v>0</v>
      </c>
      <c r="R49" s="529">
        <v>0</v>
      </c>
      <c r="S49" s="529">
        <v>4200</v>
      </c>
      <c r="T49" s="440"/>
      <c r="U49" s="440"/>
    </row>
    <row r="50" spans="1:21">
      <c r="A50" s="548">
        <f t="shared" si="0"/>
        <v>29</v>
      </c>
      <c r="B50" s="604" t="s">
        <v>1071</v>
      </c>
      <c r="C50" s="621">
        <f>SUM(M50:O50)</f>
        <v>2899862.82</v>
      </c>
      <c r="D50" s="621">
        <f>SUM(Q50:S50)</f>
        <v>3096185.8899999997</v>
      </c>
      <c r="E50" s="621"/>
      <c r="F50" s="621"/>
      <c r="G50" s="621">
        <f>ROUND(SUM(C50:F50)/2,0)</f>
        <v>2998024</v>
      </c>
      <c r="H50" s="621"/>
      <c r="I50" s="621">
        <f t="shared" si="5"/>
        <v>1222134.5149999999</v>
      </c>
      <c r="J50" s="621">
        <f t="shared" si="5"/>
        <v>-92909.964999999997</v>
      </c>
      <c r="K50" s="621">
        <f t="shared" si="5"/>
        <v>1868799.8049999999</v>
      </c>
      <c r="L50" s="621"/>
      <c r="M50" s="621">
        <f>SUMIF([3]APCO_1901001!$A$53:$A$116,$B50,[3]APCO_1901001!$L$53:$L$116)</f>
        <v>1121790.3999999999</v>
      </c>
      <c r="N50" s="621">
        <f>SUMIF([3]APCO_1901001!$A$117:$A$149,$B50,[3]APCO_1901001!$L$117:$L$149)</f>
        <v>-159743.99</v>
      </c>
      <c r="O50" s="621">
        <f>SUMIF([3]APCO_1901001!$A$3:$A$52,$B50,[3]APCO_1901001!$L$3:$L$52)</f>
        <v>1937816.41</v>
      </c>
      <c r="P50" s="522"/>
      <c r="Q50" s="529">
        <v>1322478.6299999999</v>
      </c>
      <c r="R50" s="529">
        <v>-26075.94</v>
      </c>
      <c r="S50" s="529">
        <v>1799783.2</v>
      </c>
      <c r="T50" s="440"/>
      <c r="U50" s="440"/>
    </row>
    <row r="51" spans="1:21">
      <c r="A51" s="548">
        <f t="shared" si="0"/>
        <v>30</v>
      </c>
      <c r="B51" s="604" t="s">
        <v>1072</v>
      </c>
      <c r="C51" s="621">
        <f t="shared" si="2"/>
        <v>440150.25999999995</v>
      </c>
      <c r="D51" s="621">
        <f t="shared" si="3"/>
        <v>428159.13</v>
      </c>
      <c r="E51" s="621"/>
      <c r="F51" s="621"/>
      <c r="G51" s="621">
        <f t="shared" si="4"/>
        <v>434155</v>
      </c>
      <c r="H51" s="621"/>
      <c r="I51" s="621">
        <f t="shared" si="5"/>
        <v>13847.279999999999</v>
      </c>
      <c r="J51" s="621">
        <f t="shared" si="5"/>
        <v>0</v>
      </c>
      <c r="K51" s="621">
        <f t="shared" si="5"/>
        <v>420307.41499999998</v>
      </c>
      <c r="L51" s="621"/>
      <c r="M51" s="621">
        <f>SUMIF([3]APCO_1901001!$A$53:$A$116,$B51,[3]APCO_1901001!$L$53:$L$116)</f>
        <v>13792.72</v>
      </c>
      <c r="N51" s="621">
        <f>SUMIF([3]APCO_1901001!$A$117:$A$149,$B51,[3]APCO_1901001!$L$117:$L$149)</f>
        <v>0</v>
      </c>
      <c r="O51" s="621">
        <f>SUMIF([3]APCO_1901001!$A$3:$A$52,$B51,[3]APCO_1901001!$L$3:$L$52)</f>
        <v>426357.54</v>
      </c>
      <c r="P51" s="522"/>
      <c r="Q51" s="529">
        <v>13901.84</v>
      </c>
      <c r="R51" s="529">
        <v>0</v>
      </c>
      <c r="S51" s="529">
        <v>414257.29</v>
      </c>
      <c r="T51" s="440"/>
      <c r="U51" s="440"/>
    </row>
    <row r="52" spans="1:21">
      <c r="A52" s="548">
        <f t="shared" si="0"/>
        <v>31</v>
      </c>
      <c r="B52" s="604" t="s">
        <v>1073</v>
      </c>
      <c r="C52" s="621">
        <f t="shared" si="2"/>
        <v>1094235.1399999999</v>
      </c>
      <c r="D52" s="621">
        <f t="shared" si="3"/>
        <v>3256418.57</v>
      </c>
      <c r="E52" s="621"/>
      <c r="F52" s="621"/>
      <c r="G52" s="621">
        <f t="shared" si="4"/>
        <v>2175327</v>
      </c>
      <c r="H52" s="621"/>
      <c r="I52" s="621">
        <f t="shared" si="5"/>
        <v>2175326.855</v>
      </c>
      <c r="J52" s="621">
        <f t="shared" si="5"/>
        <v>0</v>
      </c>
      <c r="K52" s="621">
        <f t="shared" si="5"/>
        <v>0</v>
      </c>
      <c r="L52" s="621"/>
      <c r="M52" s="621">
        <f>SUMIF([3]APCO_1901001!$A$53:$A$116,$B52,[3]APCO_1901001!$L$53:$L$116)</f>
        <v>1094235.1399999999</v>
      </c>
      <c r="N52" s="621">
        <f>SUMIF([3]APCO_1901001!$A$117:$A$149,$B52,[3]APCO_1901001!$L$117:$L$149)</f>
        <v>0</v>
      </c>
      <c r="O52" s="621">
        <f>SUMIF([3]APCO_1901001!$A$3:$A$52,$B52,[3]APCO_1901001!$L$3:$L$52)</f>
        <v>0</v>
      </c>
      <c r="P52" s="522"/>
      <c r="Q52" s="529">
        <v>3256418.57</v>
      </c>
      <c r="R52" s="529">
        <v>0</v>
      </c>
      <c r="S52" s="529">
        <v>0</v>
      </c>
      <c r="T52" s="440"/>
      <c r="U52" s="440"/>
    </row>
    <row r="53" spans="1:21">
      <c r="A53" s="548">
        <f t="shared" si="0"/>
        <v>32</v>
      </c>
      <c r="B53" s="535" t="s">
        <v>1074</v>
      </c>
      <c r="C53" s="618">
        <f t="shared" si="2"/>
        <v>0</v>
      </c>
      <c r="D53" s="618">
        <f t="shared" si="3"/>
        <v>-0.59999999999927245</v>
      </c>
      <c r="E53" s="618"/>
      <c r="F53" s="618"/>
      <c r="G53" s="618">
        <f t="shared" si="4"/>
        <v>0</v>
      </c>
      <c r="H53" s="618"/>
      <c r="I53" s="618">
        <f t="shared" si="5"/>
        <v>-0.15</v>
      </c>
      <c r="J53" s="618">
        <f t="shared" si="5"/>
        <v>-2.4999999999636202E-2</v>
      </c>
      <c r="K53" s="618">
        <f t="shared" si="5"/>
        <v>-0.125</v>
      </c>
      <c r="L53" s="618"/>
      <c r="M53" s="619">
        <f>SUMIF([3]APCO_1901001!$A$53:$A$116,$B53,[3]APCO_1901001!$L$53:$L$116)</f>
        <v>0</v>
      </c>
      <c r="N53" s="619">
        <f>SUMIF([3]APCO_1901001!$A$117:$A$149,$B53,[3]APCO_1901001!$L$117:$L$149)</f>
        <v>0</v>
      </c>
      <c r="O53" s="619">
        <f>SUMIF([3]APCO_1901001!$A$3:$A$52,$B53,[3]APCO_1901001!$L$3:$L$52)</f>
        <v>0</v>
      </c>
      <c r="P53" s="522"/>
      <c r="Q53" s="529">
        <v>-0.3</v>
      </c>
      <c r="R53" s="529">
        <f>-12552.05+12552</f>
        <v>-4.9999999999272404E-2</v>
      </c>
      <c r="S53" s="529">
        <f>-18828.25+18828</f>
        <v>-0.25</v>
      </c>
      <c r="T53" s="440"/>
      <c r="U53" s="440"/>
    </row>
    <row r="54" spans="1:21">
      <c r="A54" s="548">
        <f t="shared" si="0"/>
        <v>33</v>
      </c>
      <c r="B54" s="535" t="s">
        <v>1075</v>
      </c>
      <c r="C54" s="618">
        <f>SUM(M54:O54)</f>
        <v>-606976.75</v>
      </c>
      <c r="D54" s="618">
        <f>SUM(Q54:S54)</f>
        <v>-606976.75</v>
      </c>
      <c r="E54" s="618"/>
      <c r="F54" s="618"/>
      <c r="G54" s="618">
        <f>ROUND(SUM(C54:F54)/2,0)</f>
        <v>-606977</v>
      </c>
      <c r="H54" s="618"/>
      <c r="I54" s="618">
        <f t="shared" si="5"/>
        <v>-609265.6</v>
      </c>
      <c r="J54" s="618">
        <f t="shared" si="5"/>
        <v>1563.75</v>
      </c>
      <c r="K54" s="618">
        <f t="shared" si="5"/>
        <v>725.10000000000582</v>
      </c>
      <c r="L54" s="618"/>
      <c r="M54" s="619">
        <f>SUMIF([3]APCO_1901001!$A$53:$A$116,$B54,[3]APCO_1901001!$L$53:$L$116)</f>
        <v>-609265.6</v>
      </c>
      <c r="N54" s="619">
        <f>SUMIF([3]APCO_1901001!$A$117:$A$149,$B54,[3]APCO_1901001!$L$117:$L$149)</f>
        <v>1563.75</v>
      </c>
      <c r="O54" s="619">
        <f>SUMIF([3]APCO_1901001!$A$3:$A$52,$B54,[3]APCO_1901001!$L$3:$L$52)</f>
        <v>725.10000000000582</v>
      </c>
      <c r="P54" s="522"/>
      <c r="Q54" s="529">
        <f>-1025218.6+415953</f>
        <v>-609265.6</v>
      </c>
      <c r="R54" s="529">
        <f>-164806.25+166370</f>
        <v>1563.75</v>
      </c>
      <c r="S54" s="529">
        <f>-252956.9+253682</f>
        <v>725.10000000000582</v>
      </c>
      <c r="T54" s="440"/>
      <c r="U54" s="440"/>
    </row>
    <row r="55" spans="1:21">
      <c r="A55" s="548">
        <f t="shared" si="0"/>
        <v>34</v>
      </c>
      <c r="B55" s="535" t="s">
        <v>1076</v>
      </c>
      <c r="C55" s="618">
        <f>SUM(M55:O55)</f>
        <v>0</v>
      </c>
      <c r="D55" s="618">
        <f>SUM(Q55:S55)</f>
        <v>-0.5</v>
      </c>
      <c r="E55" s="618"/>
      <c r="F55" s="618"/>
      <c r="G55" s="618">
        <f>ROUND(SUM(C55:F55)/2,0)</f>
        <v>0</v>
      </c>
      <c r="H55" s="618"/>
      <c r="I55" s="618">
        <f t="shared" si="5"/>
        <v>0.125</v>
      </c>
      <c r="J55" s="618">
        <f t="shared" si="5"/>
        <v>-0.25</v>
      </c>
      <c r="K55" s="618">
        <f t="shared" si="5"/>
        <v>-0.125</v>
      </c>
      <c r="L55" s="618"/>
      <c r="M55" s="619">
        <f>SUMIF([3]APCO_1901001!$A$53:$A$116,$B55,[3]APCO_1901001!$L$53:$L$116)</f>
        <v>0</v>
      </c>
      <c r="N55" s="619">
        <f>SUMIF([3]APCO_1901001!$A$117:$A$149,$B55,[3]APCO_1901001!$L$117:$L$149)</f>
        <v>0</v>
      </c>
      <c r="O55" s="619">
        <f>SUMIF([3]APCO_1901001!$A$3:$A$52,$B55,[3]APCO_1901001!$L$3:$L$52)</f>
        <v>0</v>
      </c>
      <c r="P55" s="522"/>
      <c r="Q55" s="529">
        <f>-591928.75+591929</f>
        <v>0.25</v>
      </c>
      <c r="R55" s="529">
        <f>-236771.5+236771</f>
        <v>-0.5</v>
      </c>
      <c r="S55" s="529">
        <f>-355157.25+355157</f>
        <v>-0.25</v>
      </c>
      <c r="T55" s="440"/>
      <c r="U55" s="440"/>
    </row>
    <row r="56" spans="1:21">
      <c r="A56" s="548">
        <f t="shared" si="0"/>
        <v>35</v>
      </c>
      <c r="B56" s="535" t="s">
        <v>1205</v>
      </c>
      <c r="C56" s="618">
        <f t="shared" si="2"/>
        <v>49457.099999999977</v>
      </c>
      <c r="D56" s="618">
        <f t="shared" si="3"/>
        <v>49457.099999999977</v>
      </c>
      <c r="E56" s="618"/>
      <c r="F56" s="618"/>
      <c r="G56" s="618">
        <f t="shared" si="4"/>
        <v>49457</v>
      </c>
      <c r="H56" s="618"/>
      <c r="I56" s="618">
        <f t="shared" si="5"/>
        <v>0</v>
      </c>
      <c r="J56" s="618">
        <f t="shared" si="5"/>
        <v>-240348.5</v>
      </c>
      <c r="K56" s="618">
        <f t="shared" si="5"/>
        <v>289805.59999999998</v>
      </c>
      <c r="L56" s="618"/>
      <c r="M56" s="619">
        <f>SUMIF([3]APCO_1901001!$A$53:$A$116,$B56,[3]APCO_1901001!$L$53:$L$116)</f>
        <v>0</v>
      </c>
      <c r="N56" s="619">
        <f>SUMIF([3]APCO_1901001!$A$117:$A$149,$B56,[3]APCO_1901001!$L$117:$L$149)</f>
        <v>-240348.5</v>
      </c>
      <c r="O56" s="619">
        <f>SUMIF([3]APCO_1901001!$A$3:$A$52,$B56,[3]APCO_1901001!$L$3:$L$52)</f>
        <v>289805.59999999998</v>
      </c>
      <c r="P56" s="522"/>
      <c r="Q56" s="529">
        <v>0</v>
      </c>
      <c r="R56" s="529">
        <v>-240348.5</v>
      </c>
      <c r="S56" s="529">
        <v>289805.59999999998</v>
      </c>
      <c r="T56" s="440"/>
      <c r="U56" s="440"/>
    </row>
    <row r="57" spans="1:21">
      <c r="A57" s="548">
        <f t="shared" si="0"/>
        <v>36</v>
      </c>
      <c r="B57" s="606" t="s">
        <v>1077</v>
      </c>
      <c r="C57" s="620">
        <f t="shared" si="2"/>
        <v>-177579.36</v>
      </c>
      <c r="D57" s="620">
        <f t="shared" si="3"/>
        <v>-177579.36</v>
      </c>
      <c r="E57" s="620"/>
      <c r="F57" s="620"/>
      <c r="G57" s="620">
        <f t="shared" si="4"/>
        <v>-177579</v>
      </c>
      <c r="H57" s="620"/>
      <c r="I57" s="620">
        <f t="shared" si="5"/>
        <v>-177579.36</v>
      </c>
      <c r="J57" s="620">
        <f t="shared" si="5"/>
        <v>0</v>
      </c>
      <c r="K57" s="620">
        <f t="shared" si="5"/>
        <v>0</v>
      </c>
      <c r="L57" s="620"/>
      <c r="M57" s="620">
        <f>SUMIF([3]APCO_1901001!$A$53:$A$116,$B57,[3]APCO_1901001!$L$53:$L$116)</f>
        <v>-177579.36</v>
      </c>
      <c r="N57" s="620">
        <f>SUMIF([3]APCO_1901001!$A$117:$A$149,$B57,[3]APCO_1901001!$L$117:$L$149)</f>
        <v>0</v>
      </c>
      <c r="O57" s="620">
        <f>SUMIF([3]APCO_1901001!$A$3:$A$52,$B57,[3]APCO_1901001!$L$3:$L$52)</f>
        <v>0</v>
      </c>
      <c r="P57" s="522"/>
      <c r="Q57" s="529">
        <v>-177579.36</v>
      </c>
      <c r="R57" s="529">
        <v>0</v>
      </c>
      <c r="S57" s="529">
        <v>0</v>
      </c>
      <c r="T57" s="440"/>
      <c r="U57" s="440"/>
    </row>
    <row r="58" spans="1:21">
      <c r="A58" s="548">
        <f t="shared" si="0"/>
        <v>37</v>
      </c>
      <c r="B58" s="535" t="s">
        <v>1078</v>
      </c>
      <c r="C58" s="618">
        <f t="shared" si="2"/>
        <v>0</v>
      </c>
      <c r="D58" s="618">
        <f t="shared" si="3"/>
        <v>-0.01</v>
      </c>
      <c r="E58" s="618"/>
      <c r="F58" s="618"/>
      <c r="G58" s="618">
        <f t="shared" si="4"/>
        <v>0</v>
      </c>
      <c r="H58" s="618"/>
      <c r="I58" s="618">
        <f t="shared" si="5"/>
        <v>-5.0000000000000001E-3</v>
      </c>
      <c r="J58" s="618">
        <f t="shared" si="5"/>
        <v>0</v>
      </c>
      <c r="K58" s="618">
        <f t="shared" si="5"/>
        <v>0</v>
      </c>
      <c r="L58" s="618"/>
      <c r="M58" s="619">
        <f>SUMIF([3]APCO_1901001!$A$53:$A$116,$B58,[3]APCO_1901001!$L$53:$L$116)</f>
        <v>0</v>
      </c>
      <c r="N58" s="619">
        <f>SUMIF([3]APCO_1901001!$A$117:$A$149,$B58,[3]APCO_1901001!$L$117:$L$149)</f>
        <v>0</v>
      </c>
      <c r="O58" s="619">
        <f>SUMIF([3]APCO_1901001!$A$3:$A$52,$B58,[3]APCO_1901001!$L$3:$L$52)</f>
        <v>0</v>
      </c>
      <c r="P58" s="522"/>
      <c r="Q58" s="529">
        <v>-0.01</v>
      </c>
      <c r="R58" s="529">
        <v>0</v>
      </c>
      <c r="S58" s="529">
        <v>0</v>
      </c>
      <c r="T58" s="440"/>
      <c r="U58" s="440"/>
    </row>
    <row r="59" spans="1:21">
      <c r="A59" s="548">
        <f t="shared" si="0"/>
        <v>38</v>
      </c>
      <c r="B59" s="549" t="s">
        <v>1206</v>
      </c>
      <c r="C59" s="618">
        <f t="shared" si="2"/>
        <v>182467</v>
      </c>
      <c r="D59" s="618">
        <f t="shared" si="3"/>
        <v>182467</v>
      </c>
      <c r="E59" s="618"/>
      <c r="F59" s="618"/>
      <c r="G59" s="618">
        <f t="shared" si="4"/>
        <v>182467</v>
      </c>
      <c r="H59" s="618"/>
      <c r="I59" s="618">
        <f t="shared" si="5"/>
        <v>182467</v>
      </c>
      <c r="J59" s="618">
        <f t="shared" si="5"/>
        <v>0</v>
      </c>
      <c r="K59" s="618">
        <f t="shared" si="5"/>
        <v>0</v>
      </c>
      <c r="L59" s="618"/>
      <c r="M59" s="619">
        <f>SUMIF([3]APCO_1901001!$A$53:$A$116,$B59,[3]APCO_1901001!$L$53:$L$116)</f>
        <v>182467</v>
      </c>
      <c r="N59" s="619">
        <f>SUMIF([3]APCO_1901001!$A$117:$A$149,$B59,[3]APCO_1901001!$L$117:$L$149)</f>
        <v>0</v>
      </c>
      <c r="O59" s="619">
        <f>SUMIF([3]APCO_1901001!$A$3:$A$52,$B59,[3]APCO_1901001!$L$3:$L$52)</f>
        <v>0</v>
      </c>
      <c r="P59" s="522"/>
      <c r="Q59" s="529">
        <v>182467</v>
      </c>
      <c r="R59" s="529">
        <v>0</v>
      </c>
      <c r="S59" s="529">
        <v>0</v>
      </c>
      <c r="T59" s="440"/>
      <c r="U59" s="440"/>
    </row>
    <row r="60" spans="1:21">
      <c r="A60" s="548">
        <f t="shared" si="0"/>
        <v>39</v>
      </c>
      <c r="B60" s="535" t="s">
        <v>1079</v>
      </c>
      <c r="C60" s="618">
        <f t="shared" ref="C60:C65" si="6">SUM(M60:O60)</f>
        <v>0</v>
      </c>
      <c r="D60" s="618">
        <f t="shared" si="3"/>
        <v>0</v>
      </c>
      <c r="E60" s="618"/>
      <c r="F60" s="618"/>
      <c r="G60" s="618">
        <f t="shared" si="4"/>
        <v>0</v>
      </c>
      <c r="H60" s="618"/>
      <c r="I60" s="618">
        <f t="shared" si="5"/>
        <v>0</v>
      </c>
      <c r="J60" s="618">
        <f t="shared" si="5"/>
        <v>0</v>
      </c>
      <c r="K60" s="618">
        <f t="shared" si="5"/>
        <v>0</v>
      </c>
      <c r="L60" s="618"/>
      <c r="M60" s="619">
        <f>SUMIF([3]APCO_1901001!$A$53:$A$116,$B60,[3]APCO_1901001!$L$53:$L$116)</f>
        <v>0</v>
      </c>
      <c r="N60" s="619">
        <f>SUMIF([3]APCO_1901001!$A$117:$A$149,$B60,[3]APCO_1901001!$L$117:$L$149)</f>
        <v>0</v>
      </c>
      <c r="O60" s="619">
        <f>SUMIF([3]APCO_1901001!$A$3:$A$52,$B60,[3]APCO_1901001!$L$3:$L$52)</f>
        <v>0</v>
      </c>
      <c r="P60" s="522"/>
      <c r="Q60" s="529">
        <v>0</v>
      </c>
      <c r="R60" s="529">
        <v>0</v>
      </c>
      <c r="S60" s="529">
        <v>0</v>
      </c>
      <c r="T60" s="440"/>
      <c r="U60" s="440"/>
    </row>
    <row r="61" spans="1:21">
      <c r="A61" s="548">
        <f t="shared" si="0"/>
        <v>40</v>
      </c>
      <c r="B61" s="535" t="s">
        <v>1080</v>
      </c>
      <c r="C61" s="618">
        <f t="shared" si="6"/>
        <v>2141898.06</v>
      </c>
      <c r="D61" s="618">
        <f t="shared" si="3"/>
        <v>2141898.06</v>
      </c>
      <c r="E61" s="618"/>
      <c r="F61" s="618"/>
      <c r="G61" s="618">
        <f t="shared" si="4"/>
        <v>2141898</v>
      </c>
      <c r="H61" s="618"/>
      <c r="I61" s="618">
        <f t="shared" si="5"/>
        <v>2141898.06</v>
      </c>
      <c r="J61" s="618">
        <f t="shared" si="5"/>
        <v>0</v>
      </c>
      <c r="K61" s="618">
        <f t="shared" si="5"/>
        <v>0</v>
      </c>
      <c r="L61" s="618"/>
      <c r="M61" s="619">
        <f>SUMIF([3]APCO_1901001!$A$53:$A$116,$B61,[3]APCO_1901001!$L$53:$L$116)</f>
        <v>2141898.06</v>
      </c>
      <c r="N61" s="619">
        <f>SUMIF([3]APCO_1901001!$A$117:$A$149,$B61,[3]APCO_1901001!$L$117:$L$149)</f>
        <v>0</v>
      </c>
      <c r="O61" s="619">
        <f>SUMIF([3]APCO_1901001!$A$3:$A$52,$B61,[3]APCO_1901001!$L$3:$L$52)</f>
        <v>0</v>
      </c>
      <c r="P61" s="522"/>
      <c r="Q61" s="529">
        <v>2141898.06</v>
      </c>
      <c r="R61" s="529">
        <v>0</v>
      </c>
      <c r="S61" s="529">
        <v>0</v>
      </c>
      <c r="T61" s="440"/>
      <c r="U61" s="440"/>
    </row>
    <row r="62" spans="1:21">
      <c r="A62" s="548">
        <f t="shared" si="0"/>
        <v>41</v>
      </c>
      <c r="B62" s="535" t="s">
        <v>1081</v>
      </c>
      <c r="C62" s="618">
        <f t="shared" si="6"/>
        <v>-0.19</v>
      </c>
      <c r="D62" s="618">
        <f t="shared" si="3"/>
        <v>212410.81</v>
      </c>
      <c r="E62" s="618"/>
      <c r="F62" s="618"/>
      <c r="G62" s="618">
        <f t="shared" si="4"/>
        <v>106205</v>
      </c>
      <c r="H62" s="618"/>
      <c r="I62" s="618">
        <f t="shared" si="5"/>
        <v>106205.31</v>
      </c>
      <c r="J62" s="618">
        <f t="shared" si="5"/>
        <v>0</v>
      </c>
      <c r="K62" s="618">
        <f t="shared" si="5"/>
        <v>0</v>
      </c>
      <c r="L62" s="618"/>
      <c r="M62" s="619">
        <f>SUMIF([3]APCO_1901001!$A$53:$A$116,$B62,[3]APCO_1901001!$L$53:$L$116)</f>
        <v>-0.19</v>
      </c>
      <c r="N62" s="619">
        <f>SUMIF([3]APCO_1901001!$A$117:$A$149,$B62,[3]APCO_1901001!$L$117:$L$149)</f>
        <v>0</v>
      </c>
      <c r="O62" s="619">
        <f>SUMIF([3]APCO_1901001!$A$3:$A$52,$B62,[3]APCO_1901001!$L$3:$L$52)</f>
        <v>0</v>
      </c>
      <c r="P62" s="522"/>
      <c r="Q62" s="529">
        <v>212410.81</v>
      </c>
      <c r="R62" s="529">
        <v>0</v>
      </c>
      <c r="S62" s="529">
        <v>0</v>
      </c>
      <c r="T62" s="440"/>
      <c r="U62" s="440"/>
    </row>
    <row r="63" spans="1:21">
      <c r="A63" s="548">
        <f t="shared" si="0"/>
        <v>42</v>
      </c>
      <c r="B63" s="535" t="s">
        <v>1082</v>
      </c>
      <c r="C63" s="618">
        <f t="shared" si="6"/>
        <v>0</v>
      </c>
      <c r="D63" s="618">
        <f t="shared" si="3"/>
        <v>0</v>
      </c>
      <c r="E63" s="618"/>
      <c r="F63" s="618"/>
      <c r="G63" s="618">
        <f t="shared" si="4"/>
        <v>0</v>
      </c>
      <c r="H63" s="618"/>
      <c r="I63" s="618">
        <f t="shared" si="5"/>
        <v>0</v>
      </c>
      <c r="J63" s="618">
        <f t="shared" si="5"/>
        <v>0</v>
      </c>
      <c r="K63" s="618">
        <f t="shared" si="5"/>
        <v>0</v>
      </c>
      <c r="L63" s="618"/>
      <c r="M63" s="619">
        <f>SUMIF([3]APCO_1901001!$A$53:$A$116,$B63,[3]APCO_1901001!$L$53:$L$116)</f>
        <v>0</v>
      </c>
      <c r="N63" s="619">
        <f>SUMIF([3]APCO_1901001!$A$117:$A$149,$B63,[3]APCO_1901001!$L$117:$L$149)</f>
        <v>0</v>
      </c>
      <c r="O63" s="619">
        <f>SUMIF([3]APCO_1901001!$A$3:$A$52,$B63,[3]APCO_1901001!$L$3:$L$52)</f>
        <v>0</v>
      </c>
      <c r="P63" s="522"/>
      <c r="Q63" s="529">
        <v>0</v>
      </c>
      <c r="R63" s="529">
        <v>0</v>
      </c>
      <c r="S63" s="529">
        <v>0</v>
      </c>
      <c r="T63" s="440"/>
      <c r="U63" s="440"/>
    </row>
    <row r="64" spans="1:21">
      <c r="A64" s="548">
        <f t="shared" si="0"/>
        <v>43</v>
      </c>
      <c r="B64" s="535" t="s">
        <v>1083</v>
      </c>
      <c r="C64" s="618">
        <f t="shared" si="6"/>
        <v>0</v>
      </c>
      <c r="D64" s="618">
        <f t="shared" si="3"/>
        <v>0</v>
      </c>
      <c r="E64" s="618"/>
      <c r="F64" s="618"/>
      <c r="G64" s="618">
        <f t="shared" si="4"/>
        <v>0</v>
      </c>
      <c r="H64" s="618"/>
      <c r="I64" s="618">
        <f t="shared" si="5"/>
        <v>0</v>
      </c>
      <c r="J64" s="618">
        <f t="shared" si="5"/>
        <v>0</v>
      </c>
      <c r="K64" s="618">
        <f t="shared" si="5"/>
        <v>0</v>
      </c>
      <c r="L64" s="618"/>
      <c r="M64" s="619">
        <f>SUMIF([3]APCO_1901001!$A$53:$A$116,$B64,[3]APCO_1901001!$L$53:$L$116)</f>
        <v>0</v>
      </c>
      <c r="N64" s="619">
        <f>SUMIF([3]APCO_1901001!$A$117:$A$149,$B64,[3]APCO_1901001!$L$117:$L$149)</f>
        <v>0</v>
      </c>
      <c r="O64" s="619">
        <f>SUMIF([3]APCO_1901001!$A$3:$A$52,$B64,[3]APCO_1901001!$L$3:$L$52)</f>
        <v>0</v>
      </c>
      <c r="P64" s="522"/>
      <c r="Q64" s="529">
        <v>0</v>
      </c>
      <c r="R64" s="529">
        <v>0</v>
      </c>
      <c r="S64" s="529">
        <v>0</v>
      </c>
      <c r="T64" s="440"/>
      <c r="U64" s="440"/>
    </row>
    <row r="65" spans="1:21">
      <c r="A65" s="548">
        <f t="shared" si="0"/>
        <v>44</v>
      </c>
      <c r="B65" s="606" t="s">
        <v>1084</v>
      </c>
      <c r="C65" s="620">
        <f t="shared" si="6"/>
        <v>371202.52</v>
      </c>
      <c r="D65" s="620">
        <f t="shared" si="3"/>
        <v>432015.54</v>
      </c>
      <c r="E65" s="620"/>
      <c r="F65" s="620"/>
      <c r="G65" s="620">
        <f t="shared" si="4"/>
        <v>401609</v>
      </c>
      <c r="H65" s="620"/>
      <c r="I65" s="620">
        <f t="shared" si="5"/>
        <v>0</v>
      </c>
      <c r="J65" s="620">
        <f t="shared" si="5"/>
        <v>401609.03</v>
      </c>
      <c r="K65" s="620">
        <f t="shared" si="5"/>
        <v>0</v>
      </c>
      <c r="L65" s="620"/>
      <c r="M65" s="620">
        <f>SUMIF([3]APCO_1901001!$A$53:$A$116,$B65,[3]APCO_1901001!$L$53:$L$116)</f>
        <v>0</v>
      </c>
      <c r="N65" s="620">
        <f>SUMIF([3]APCO_1901001!$A$117:$A$149,$B65,[3]APCO_1901001!$L$117:$L$149)</f>
        <v>371202.52</v>
      </c>
      <c r="O65" s="620">
        <f>SUMIF([3]APCO_1901001!$A$3:$A$52,$B65,[3]APCO_1901001!$L$3:$L$52)</f>
        <v>0</v>
      </c>
      <c r="P65" s="522"/>
      <c r="Q65" s="529">
        <v>0</v>
      </c>
      <c r="R65" s="529">
        <v>432015.54</v>
      </c>
      <c r="S65" s="529">
        <v>0</v>
      </c>
      <c r="T65" s="440"/>
      <c r="U65" s="440"/>
    </row>
    <row r="66" spans="1:21">
      <c r="A66" s="548">
        <f t="shared" si="0"/>
        <v>45</v>
      </c>
      <c r="B66" s="535" t="s">
        <v>1085</v>
      </c>
      <c r="C66" s="618">
        <f t="shared" si="2"/>
        <v>0</v>
      </c>
      <c r="D66" s="618">
        <f t="shared" si="3"/>
        <v>0</v>
      </c>
      <c r="E66" s="618"/>
      <c r="F66" s="618"/>
      <c r="G66" s="618">
        <f t="shared" si="4"/>
        <v>0</v>
      </c>
      <c r="H66" s="618"/>
      <c r="I66" s="618">
        <f t="shared" si="5"/>
        <v>0</v>
      </c>
      <c r="J66" s="618">
        <f t="shared" si="5"/>
        <v>0</v>
      </c>
      <c r="K66" s="618">
        <f t="shared" si="5"/>
        <v>0</v>
      </c>
      <c r="L66" s="618"/>
      <c r="M66" s="619">
        <f>SUMIF([3]APCO_1901001!$A$53:$A$116,$B66,[3]APCO_1901001!$L$53:$L$116)</f>
        <v>0</v>
      </c>
      <c r="N66" s="619">
        <f>SUMIF([3]APCO_1901001!$A$117:$A$149,$B66,[3]APCO_1901001!$L$117:$L$149)</f>
        <v>0</v>
      </c>
      <c r="O66" s="619">
        <f>SUMIF([3]APCO_1901001!$A$3:$A$52,$B66,[3]APCO_1901001!$L$3:$L$52)</f>
        <v>0</v>
      </c>
      <c r="P66" s="522"/>
      <c r="Q66" s="529">
        <v>0</v>
      </c>
      <c r="R66" s="529">
        <v>0</v>
      </c>
      <c r="S66" s="529">
        <v>0</v>
      </c>
      <c r="T66" s="440"/>
      <c r="U66" s="440"/>
    </row>
    <row r="67" spans="1:21">
      <c r="A67" s="548">
        <f t="shared" si="0"/>
        <v>46</v>
      </c>
      <c r="B67" s="535" t="s">
        <v>1207</v>
      </c>
      <c r="C67" s="618">
        <f t="shared" si="2"/>
        <v>13422</v>
      </c>
      <c r="D67" s="618">
        <f t="shared" si="3"/>
        <v>13422</v>
      </c>
      <c r="E67" s="618"/>
      <c r="F67" s="618"/>
      <c r="G67" s="618">
        <f t="shared" si="4"/>
        <v>13422</v>
      </c>
      <c r="H67" s="618"/>
      <c r="I67" s="618">
        <f t="shared" si="5"/>
        <v>13422</v>
      </c>
      <c r="J67" s="618">
        <f t="shared" si="5"/>
        <v>0</v>
      </c>
      <c r="K67" s="618">
        <f t="shared" si="5"/>
        <v>0</v>
      </c>
      <c r="L67" s="618"/>
      <c r="M67" s="619">
        <f>SUMIF([3]APCO_1901001!$A$53:$A$116,$B67,[3]APCO_1901001!$L$53:$L$116)</f>
        <v>13422</v>
      </c>
      <c r="N67" s="619">
        <f>SUMIF([3]APCO_1901001!$A$117:$A$149,$B67,[3]APCO_1901001!$L$117:$L$149)</f>
        <v>0</v>
      </c>
      <c r="O67" s="619">
        <f>SUMIF([3]APCO_1901001!$A$3:$A$52,$B67,[3]APCO_1901001!$L$3:$L$52)</f>
        <v>0</v>
      </c>
      <c r="P67" s="522"/>
      <c r="Q67" s="529">
        <v>13422</v>
      </c>
      <c r="R67" s="529">
        <v>0</v>
      </c>
      <c r="S67" s="529">
        <v>0</v>
      </c>
      <c r="T67" s="440"/>
      <c r="U67" s="440"/>
    </row>
    <row r="68" spans="1:21">
      <c r="A68" s="548">
        <f t="shared" si="0"/>
        <v>47</v>
      </c>
      <c r="B68" s="535" t="s">
        <v>1208</v>
      </c>
      <c r="C68" s="618">
        <f t="shared" si="2"/>
        <v>15660</v>
      </c>
      <c r="D68" s="618">
        <f t="shared" si="3"/>
        <v>15660</v>
      </c>
      <c r="E68" s="618"/>
      <c r="F68" s="618"/>
      <c r="G68" s="618">
        <f t="shared" si="4"/>
        <v>15660</v>
      </c>
      <c r="H68" s="618"/>
      <c r="I68" s="618">
        <f t="shared" si="5"/>
        <v>15660</v>
      </c>
      <c r="J68" s="618">
        <f t="shared" si="5"/>
        <v>0</v>
      </c>
      <c r="K68" s="618">
        <f t="shared" si="5"/>
        <v>0</v>
      </c>
      <c r="L68" s="618"/>
      <c r="M68" s="619">
        <f>SUMIF([3]APCO_1901001!$A$53:$A$116,$B68,[3]APCO_1901001!$L$53:$L$116)</f>
        <v>15660</v>
      </c>
      <c r="N68" s="619">
        <f>SUMIF([3]APCO_1901001!$A$117:$A$149,$B68,[3]APCO_1901001!$L$117:$L$149)</f>
        <v>0</v>
      </c>
      <c r="O68" s="619">
        <f>SUMIF([3]APCO_1901001!$A$3:$A$52,$B68,[3]APCO_1901001!$L$3:$L$52)</f>
        <v>0</v>
      </c>
      <c r="P68" s="522"/>
      <c r="Q68" s="529">
        <v>15660</v>
      </c>
      <c r="R68" s="529">
        <v>0</v>
      </c>
      <c r="S68" s="529">
        <v>0</v>
      </c>
      <c r="T68" s="440"/>
      <c r="U68" s="440"/>
    </row>
    <row r="69" spans="1:21">
      <c r="A69" s="548">
        <f t="shared" si="0"/>
        <v>48</v>
      </c>
      <c r="B69" s="535" t="s">
        <v>1209</v>
      </c>
      <c r="C69" s="618">
        <f t="shared" si="2"/>
        <v>99325</v>
      </c>
      <c r="D69" s="618">
        <f t="shared" si="3"/>
        <v>99325</v>
      </c>
      <c r="E69" s="618"/>
      <c r="F69" s="618"/>
      <c r="G69" s="618">
        <f t="shared" si="4"/>
        <v>99325</v>
      </c>
      <c r="H69" s="618"/>
      <c r="I69" s="618">
        <f t="shared" si="5"/>
        <v>99325</v>
      </c>
      <c r="J69" s="618">
        <f t="shared" si="5"/>
        <v>0</v>
      </c>
      <c r="K69" s="618">
        <f t="shared" si="5"/>
        <v>0</v>
      </c>
      <c r="L69" s="618"/>
      <c r="M69" s="619">
        <f>SUMIF([3]APCO_1901001!$A$53:$A$116,$B69,[3]APCO_1901001!$L$53:$L$116)</f>
        <v>99325</v>
      </c>
      <c r="N69" s="619">
        <f>SUMIF([3]APCO_1901001!$A$117:$A$149,$B69,[3]APCO_1901001!$L$117:$L$149)</f>
        <v>0</v>
      </c>
      <c r="O69" s="619">
        <f>SUMIF([3]APCO_1901001!$A$3:$A$52,$B69,[3]APCO_1901001!$L$3:$L$52)</f>
        <v>0</v>
      </c>
      <c r="P69" s="522"/>
      <c r="Q69" s="529">
        <v>99325</v>
      </c>
      <c r="R69" s="529">
        <v>0</v>
      </c>
      <c r="S69" s="529">
        <v>0</v>
      </c>
      <c r="T69" s="440"/>
      <c r="U69" s="440"/>
    </row>
    <row r="70" spans="1:21">
      <c r="A70" s="548">
        <f t="shared" si="0"/>
        <v>49</v>
      </c>
      <c r="B70" s="535" t="s">
        <v>1210</v>
      </c>
      <c r="C70" s="618">
        <f t="shared" si="2"/>
        <v>6218</v>
      </c>
      <c r="D70" s="618">
        <f t="shared" si="3"/>
        <v>6218</v>
      </c>
      <c r="E70" s="618"/>
      <c r="F70" s="618"/>
      <c r="G70" s="618">
        <f t="shared" si="4"/>
        <v>6218</v>
      </c>
      <c r="H70" s="618"/>
      <c r="I70" s="618">
        <f t="shared" si="5"/>
        <v>6218</v>
      </c>
      <c r="J70" s="618">
        <f t="shared" si="5"/>
        <v>0</v>
      </c>
      <c r="K70" s="618">
        <f t="shared" si="5"/>
        <v>0</v>
      </c>
      <c r="L70" s="618"/>
      <c r="M70" s="619">
        <f>SUMIF([3]APCO_1901001!$A$53:$A$116,$B70,[3]APCO_1901001!$L$53:$L$116)</f>
        <v>6218</v>
      </c>
      <c r="N70" s="619">
        <f>SUMIF([3]APCO_1901001!$A$117:$A$149,$B70,[3]APCO_1901001!$L$117:$L$149)</f>
        <v>0</v>
      </c>
      <c r="O70" s="619">
        <f>SUMIF([3]APCO_1901001!$A$3:$A$52,$B70,[3]APCO_1901001!$L$3:$L$52)</f>
        <v>0</v>
      </c>
      <c r="P70" s="522"/>
      <c r="Q70" s="529">
        <v>6218</v>
      </c>
      <c r="R70" s="529">
        <v>0</v>
      </c>
      <c r="S70" s="529">
        <v>0</v>
      </c>
      <c r="T70" s="440"/>
      <c r="U70" s="440"/>
    </row>
    <row r="71" spans="1:21">
      <c r="A71" s="548">
        <f t="shared" si="0"/>
        <v>50</v>
      </c>
      <c r="B71" s="549" t="s">
        <v>1211</v>
      </c>
      <c r="C71" s="618">
        <f>SUM(M71:O71)</f>
        <v>160441</v>
      </c>
      <c r="D71" s="618">
        <f>SUM(Q71:S71)</f>
        <v>160441</v>
      </c>
      <c r="E71" s="618"/>
      <c r="F71" s="618"/>
      <c r="G71" s="618">
        <f>ROUND(SUM(C71:F71)/2,0)</f>
        <v>160441</v>
      </c>
      <c r="H71" s="618"/>
      <c r="I71" s="618">
        <f t="shared" si="5"/>
        <v>160441</v>
      </c>
      <c r="J71" s="618">
        <f t="shared" si="5"/>
        <v>0</v>
      </c>
      <c r="K71" s="618">
        <f t="shared" si="5"/>
        <v>0</v>
      </c>
      <c r="L71" s="618"/>
      <c r="M71" s="619">
        <f>SUMIF([3]APCO_1901001!$A$53:$A$116,$B71,[3]APCO_1901001!$L$53:$L$116)</f>
        <v>160441</v>
      </c>
      <c r="N71" s="619">
        <f>SUMIF([3]APCO_1901001!$A$117:$A$149,$B71,[3]APCO_1901001!$L$117:$L$149)</f>
        <v>0</v>
      </c>
      <c r="O71" s="619">
        <f>SUMIF([3]APCO_1901001!$A$3:$A$52,$B71,[3]APCO_1901001!$L$3:$L$52)</f>
        <v>0</v>
      </c>
      <c r="P71" s="522"/>
      <c r="Q71" s="529">
        <v>160441</v>
      </c>
      <c r="R71" s="529">
        <v>0</v>
      </c>
      <c r="S71" s="529">
        <v>0</v>
      </c>
      <c r="T71" s="440"/>
      <c r="U71" s="440"/>
    </row>
    <row r="72" spans="1:21">
      <c r="A72" s="548">
        <f t="shared" si="0"/>
        <v>51</v>
      </c>
      <c r="B72" s="606" t="s">
        <v>1086</v>
      </c>
      <c r="C72" s="620">
        <f t="shared" si="2"/>
        <v>380022.85</v>
      </c>
      <c r="D72" s="620">
        <f t="shared" si="3"/>
        <v>380022.85</v>
      </c>
      <c r="E72" s="620"/>
      <c r="F72" s="620"/>
      <c r="G72" s="620">
        <f t="shared" si="4"/>
        <v>380023</v>
      </c>
      <c r="H72" s="620"/>
      <c r="I72" s="620">
        <f t="shared" si="5"/>
        <v>380022.85</v>
      </c>
      <c r="J72" s="620">
        <f t="shared" si="5"/>
        <v>0</v>
      </c>
      <c r="K72" s="620">
        <f t="shared" si="5"/>
        <v>0</v>
      </c>
      <c r="L72" s="620"/>
      <c r="M72" s="620">
        <f>SUMIF([3]APCO_1901001!$A$53:$A$116,$B72,[3]APCO_1901001!$L$53:$L$116)</f>
        <v>380022.85</v>
      </c>
      <c r="N72" s="620">
        <f>SUMIF([3]APCO_1901001!$A$117:$A$149,$B72,[3]APCO_1901001!$L$117:$L$149)</f>
        <v>0</v>
      </c>
      <c r="O72" s="620">
        <f>SUMIF([3]APCO_1901001!$A$3:$A$52,$B72,[3]APCO_1901001!$L$3:$L$52)</f>
        <v>0</v>
      </c>
      <c r="P72" s="522"/>
      <c r="Q72" s="529">
        <v>380022.85</v>
      </c>
      <c r="R72" s="529">
        <v>0</v>
      </c>
      <c r="S72" s="529">
        <v>0</v>
      </c>
      <c r="T72" s="440"/>
      <c r="U72" s="440"/>
    </row>
    <row r="73" spans="1:21">
      <c r="A73" s="548">
        <f t="shared" si="0"/>
        <v>52</v>
      </c>
      <c r="B73" s="606" t="s">
        <v>1212</v>
      </c>
      <c r="C73" s="620">
        <f t="shared" ref="C73:C88" si="7">SUM(M73:O73)</f>
        <v>-125145</v>
      </c>
      <c r="D73" s="620">
        <f t="shared" si="3"/>
        <v>-125145</v>
      </c>
      <c r="E73" s="620"/>
      <c r="F73" s="620"/>
      <c r="G73" s="620">
        <f t="shared" si="4"/>
        <v>-125145</v>
      </c>
      <c r="H73" s="620"/>
      <c r="I73" s="620">
        <f t="shared" si="5"/>
        <v>-125145</v>
      </c>
      <c r="J73" s="620">
        <f t="shared" si="5"/>
        <v>0</v>
      </c>
      <c r="K73" s="620">
        <f t="shared" si="5"/>
        <v>0</v>
      </c>
      <c r="L73" s="620"/>
      <c r="M73" s="620">
        <f>SUMIF([3]APCO_1901001!$A$53:$A$116,$B73,[3]APCO_1901001!$L$53:$L$116)</f>
        <v>-125145</v>
      </c>
      <c r="N73" s="620">
        <f>SUMIF([3]APCO_1901001!$A$117:$A$149,$B73,[3]APCO_1901001!$L$117:$L$149)</f>
        <v>0</v>
      </c>
      <c r="O73" s="620">
        <f>SUMIF([3]APCO_1901001!$A$3:$A$52,$B73,[3]APCO_1901001!$L$3:$L$52)</f>
        <v>0</v>
      </c>
      <c r="P73" s="522"/>
      <c r="Q73" s="529">
        <v>-125145</v>
      </c>
      <c r="R73" s="529">
        <v>0</v>
      </c>
      <c r="S73" s="529">
        <v>0</v>
      </c>
      <c r="T73" s="440"/>
      <c r="U73" s="440"/>
    </row>
    <row r="74" spans="1:21">
      <c r="A74" s="548">
        <f t="shared" si="0"/>
        <v>53</v>
      </c>
      <c r="B74" s="535" t="s">
        <v>1087</v>
      </c>
      <c r="C74" s="618">
        <f t="shared" si="7"/>
        <v>724476.38</v>
      </c>
      <c r="D74" s="618">
        <f t="shared" si="3"/>
        <v>672814.56</v>
      </c>
      <c r="E74" s="618"/>
      <c r="F74" s="618"/>
      <c r="G74" s="618">
        <f t="shared" si="4"/>
        <v>698645</v>
      </c>
      <c r="H74" s="618"/>
      <c r="I74" s="618">
        <f t="shared" si="5"/>
        <v>0</v>
      </c>
      <c r="J74" s="618">
        <f t="shared" si="5"/>
        <v>0</v>
      </c>
      <c r="K74" s="618">
        <f t="shared" si="5"/>
        <v>698645.47</v>
      </c>
      <c r="L74" s="618"/>
      <c r="M74" s="619">
        <f>SUMIF([3]APCO_1901001!$A$53:$A$116,$B74,[3]APCO_1901001!$L$53:$L$116)</f>
        <v>0</v>
      </c>
      <c r="N74" s="619">
        <f>SUMIF([3]APCO_1901001!$A$117:$A$149,$B74,[3]APCO_1901001!$L$117:$L$149)</f>
        <v>0</v>
      </c>
      <c r="O74" s="619">
        <f>SUMIF([3]APCO_1901001!$A$3:$A$52,$B74,[3]APCO_1901001!$L$3:$L$52)</f>
        <v>724476.38</v>
      </c>
      <c r="P74" s="522"/>
      <c r="Q74" s="529">
        <v>0</v>
      </c>
      <c r="R74" s="529">
        <v>0</v>
      </c>
      <c r="S74" s="529">
        <v>672814.56</v>
      </c>
      <c r="T74" s="440"/>
      <c r="U74" s="440"/>
    </row>
    <row r="75" spans="1:21">
      <c r="A75" s="548">
        <f t="shared" si="0"/>
        <v>54</v>
      </c>
      <c r="B75" s="535" t="s">
        <v>1088</v>
      </c>
      <c r="C75" s="618">
        <f t="shared" si="7"/>
        <v>451167.98</v>
      </c>
      <c r="D75" s="618">
        <f>SUM(Q75:S75)</f>
        <v>515620.47</v>
      </c>
      <c r="E75" s="618"/>
      <c r="F75" s="618"/>
      <c r="G75" s="618">
        <f>ROUND(SUM(C75:F75)/2,0)</f>
        <v>483394</v>
      </c>
      <c r="H75" s="618"/>
      <c r="I75" s="618">
        <f t="shared" si="5"/>
        <v>0</v>
      </c>
      <c r="J75" s="618">
        <f t="shared" si="5"/>
        <v>483394.22499999998</v>
      </c>
      <c r="K75" s="618">
        <f t="shared" si="5"/>
        <v>0</v>
      </c>
      <c r="L75" s="618"/>
      <c r="M75" s="619">
        <f>SUMIF([3]APCO_1901001!$A$53:$A$116,$B75,[3]APCO_1901001!$L$53:$L$116)</f>
        <v>0</v>
      </c>
      <c r="N75" s="619">
        <f>SUMIF([3]APCO_1901001!$A$117:$A$149,$B75,[3]APCO_1901001!$L$117:$L$149)</f>
        <v>451167.98</v>
      </c>
      <c r="O75" s="619">
        <f>SUMIF([3]APCO_1901001!$A$3:$A$52,$B75,[3]APCO_1901001!$L$3:$L$52)</f>
        <v>0</v>
      </c>
      <c r="P75" s="522"/>
      <c r="Q75" s="529">
        <v>0</v>
      </c>
      <c r="R75" s="529">
        <v>515620.47</v>
      </c>
      <c r="S75" s="529">
        <v>0</v>
      </c>
      <c r="T75" s="440"/>
      <c r="U75" s="440"/>
    </row>
    <row r="76" spans="1:21">
      <c r="A76" s="548">
        <f t="shared" si="0"/>
        <v>55</v>
      </c>
      <c r="B76" s="606" t="s">
        <v>1213</v>
      </c>
      <c r="C76" s="620">
        <f t="shared" si="7"/>
        <v>2927476.6</v>
      </c>
      <c r="D76" s="620">
        <f t="shared" si="3"/>
        <v>5820999.7699999996</v>
      </c>
      <c r="E76" s="620"/>
      <c r="F76" s="620"/>
      <c r="G76" s="620">
        <f t="shared" si="4"/>
        <v>4374238</v>
      </c>
      <c r="H76" s="620"/>
      <c r="I76" s="620">
        <f t="shared" si="5"/>
        <v>4374238.1849999996</v>
      </c>
      <c r="J76" s="620">
        <f t="shared" si="5"/>
        <v>0</v>
      </c>
      <c r="K76" s="620">
        <f t="shared" si="5"/>
        <v>0</v>
      </c>
      <c r="L76" s="620"/>
      <c r="M76" s="620">
        <f>SUMIF([3]APCO_1901001!$A$53:$A$116,$B76,[3]APCO_1901001!$L$53:$L$116)</f>
        <v>2927476.6</v>
      </c>
      <c r="N76" s="620">
        <f>SUMIF([3]APCO_1901001!$A$117:$A$149,$B76,[3]APCO_1901001!$L$117:$L$149)</f>
        <v>0</v>
      </c>
      <c r="O76" s="620">
        <f>SUMIF([3]APCO_1901001!$A$3:$A$52,$B76,[3]APCO_1901001!$L$3:$L$52)</f>
        <v>0</v>
      </c>
      <c r="P76" s="522"/>
      <c r="Q76" s="529">
        <v>5820999.7699999996</v>
      </c>
      <c r="R76" s="529">
        <v>0</v>
      </c>
      <c r="S76" s="529">
        <v>0</v>
      </c>
      <c r="T76" s="440"/>
      <c r="U76" s="440"/>
    </row>
    <row r="77" spans="1:21">
      <c r="A77" s="548">
        <f t="shared" si="0"/>
        <v>56</v>
      </c>
      <c r="B77" s="535" t="s">
        <v>1214</v>
      </c>
      <c r="C77" s="618">
        <f t="shared" si="7"/>
        <v>1385418.65</v>
      </c>
      <c r="D77" s="618">
        <f>SUM(Q77:S77)</f>
        <v>1479038.75</v>
      </c>
      <c r="E77" s="618"/>
      <c r="F77" s="618"/>
      <c r="G77" s="618">
        <f>ROUND(SUM(C77:F77)/2,0)</f>
        <v>1432229</v>
      </c>
      <c r="H77" s="618"/>
      <c r="I77" s="618">
        <f t="shared" si="5"/>
        <v>1432228.7</v>
      </c>
      <c r="J77" s="618">
        <f t="shared" si="5"/>
        <v>0</v>
      </c>
      <c r="K77" s="618">
        <f t="shared" si="5"/>
        <v>0</v>
      </c>
      <c r="L77" s="618"/>
      <c r="M77" s="619">
        <f>SUMIF([3]APCO_1901001!$A$53:$A$116,$B77,[3]APCO_1901001!$L$53:$L$116)</f>
        <v>1385418.65</v>
      </c>
      <c r="N77" s="619">
        <f>SUMIF([3]APCO_1901001!$A$117:$A$149,$B77,[3]APCO_1901001!$L$117:$L$149)</f>
        <v>0</v>
      </c>
      <c r="O77" s="619">
        <f>SUMIF([3]APCO_1901001!$A$3:$A$52,$B77,[3]APCO_1901001!$L$3:$L$52)</f>
        <v>0</v>
      </c>
      <c r="P77" s="522"/>
      <c r="Q77" s="529">
        <v>1479038.75</v>
      </c>
      <c r="R77" s="529">
        <v>0</v>
      </c>
      <c r="S77" s="529">
        <v>0</v>
      </c>
      <c r="T77" s="440"/>
      <c r="U77" s="440"/>
    </row>
    <row r="78" spans="1:21">
      <c r="A78" s="548">
        <f t="shared" si="0"/>
        <v>57</v>
      </c>
      <c r="B78" s="604" t="s">
        <v>1215</v>
      </c>
      <c r="C78" s="621">
        <f t="shared" si="7"/>
        <v>51023.1</v>
      </c>
      <c r="D78" s="621">
        <f t="shared" si="3"/>
        <v>40979.15</v>
      </c>
      <c r="E78" s="621"/>
      <c r="F78" s="621"/>
      <c r="G78" s="621">
        <f t="shared" si="4"/>
        <v>46001</v>
      </c>
      <c r="H78" s="621"/>
      <c r="I78" s="621">
        <f t="shared" si="5"/>
        <v>4490.4250000000002</v>
      </c>
      <c r="J78" s="621">
        <f t="shared" si="5"/>
        <v>-167.35</v>
      </c>
      <c r="K78" s="621">
        <f t="shared" si="5"/>
        <v>41678.050000000003</v>
      </c>
      <c r="L78" s="621"/>
      <c r="M78" s="621">
        <f>SUMIF([3]APCO_1901001!$A$53:$A$116,$B78,[3]APCO_1901001!$L$53:$L$116)</f>
        <v>1525.4</v>
      </c>
      <c r="N78" s="621">
        <f>SUMIF([3]APCO_1901001!$A$117:$A$149,$B78,[3]APCO_1901001!$L$117:$L$149)</f>
        <v>-360.9</v>
      </c>
      <c r="O78" s="621">
        <f>SUMIF([3]APCO_1901001!$A$3:$A$52,$B78,[3]APCO_1901001!$L$3:$L$52)</f>
        <v>49858.6</v>
      </c>
      <c r="P78" s="522"/>
      <c r="Q78" s="529">
        <v>7455.45</v>
      </c>
      <c r="R78" s="529">
        <v>26.2</v>
      </c>
      <c r="S78" s="529">
        <v>33497.5</v>
      </c>
      <c r="T78" s="440"/>
      <c r="U78" s="440"/>
    </row>
    <row r="79" spans="1:21">
      <c r="A79" s="548">
        <f t="shared" si="0"/>
        <v>58</v>
      </c>
      <c r="B79" s="535" t="s">
        <v>1216</v>
      </c>
      <c r="C79" s="618">
        <f t="shared" si="7"/>
        <v>1385626.93</v>
      </c>
      <c r="D79" s="618">
        <f t="shared" si="3"/>
        <v>1562326</v>
      </c>
      <c r="E79" s="618"/>
      <c r="F79" s="618"/>
      <c r="G79" s="618">
        <f t="shared" si="4"/>
        <v>1473976</v>
      </c>
      <c r="H79" s="618"/>
      <c r="I79" s="618">
        <f t="shared" si="5"/>
        <v>0</v>
      </c>
      <c r="J79" s="618">
        <f t="shared" si="5"/>
        <v>1473976.4649999999</v>
      </c>
      <c r="K79" s="618">
        <f t="shared" si="5"/>
        <v>0</v>
      </c>
      <c r="L79" s="618"/>
      <c r="M79" s="619">
        <f>SUMIF([3]APCO_1901001!$A$53:$A$116,$B79,[3]APCO_1901001!$L$53:$L$116)</f>
        <v>0</v>
      </c>
      <c r="N79" s="619">
        <f>SUMIF([3]APCO_1901001!$A$117:$A$149,$B79,[3]APCO_1901001!$L$117:$L$149)</f>
        <v>1385626.93</v>
      </c>
      <c r="O79" s="619">
        <f>SUMIF([3]APCO_1901001!$A$3:$A$52,$B79,[3]APCO_1901001!$L$3:$L$52)</f>
        <v>0</v>
      </c>
      <c r="P79" s="522"/>
      <c r="Q79" s="529">
        <v>0</v>
      </c>
      <c r="R79" s="529">
        <v>1562326</v>
      </c>
      <c r="S79" s="529">
        <v>0</v>
      </c>
      <c r="T79" s="440"/>
      <c r="U79" s="440"/>
    </row>
    <row r="80" spans="1:21">
      <c r="A80" s="548">
        <f t="shared" si="0"/>
        <v>59</v>
      </c>
      <c r="B80" s="604" t="s">
        <v>1089</v>
      </c>
      <c r="C80" s="621">
        <f t="shared" si="7"/>
        <v>-3712600.95</v>
      </c>
      <c r="D80" s="621">
        <f t="shared" si="3"/>
        <v>903483.16999999993</v>
      </c>
      <c r="E80" s="621"/>
      <c r="F80" s="621"/>
      <c r="G80" s="621">
        <f t="shared" si="4"/>
        <v>-1404559</v>
      </c>
      <c r="H80" s="621"/>
      <c r="I80" s="621">
        <f t="shared" si="5"/>
        <v>-902094.73499999999</v>
      </c>
      <c r="J80" s="621">
        <f t="shared" si="5"/>
        <v>-124746.82999999999</v>
      </c>
      <c r="K80" s="621">
        <f t="shared" si="5"/>
        <v>-377717.32500000007</v>
      </c>
      <c r="L80" s="621"/>
      <c r="M80" s="621">
        <f>SUMIF([3]APCO_1901001!$A$53:$A$116,$B80,[3]APCO_1901001!$L$53:$L$116)</f>
        <v>-1920866.93</v>
      </c>
      <c r="N80" s="621">
        <f>SUMIF([3]APCO_1901001!$A$117:$A$149,$B80,[3]APCO_1901001!$L$117:$L$149)</f>
        <v>-346402.17</v>
      </c>
      <c r="O80" s="621">
        <f>SUMIF([3]APCO_1901001!$A$3:$A$52,$B80,[3]APCO_1901001!$L$3:$L$52)</f>
        <v>-1445331.85</v>
      </c>
      <c r="P80" s="522"/>
      <c r="Q80" s="529">
        <v>116677.46</v>
      </c>
      <c r="R80" s="529">
        <v>96908.51</v>
      </c>
      <c r="S80" s="529">
        <v>689897.2</v>
      </c>
      <c r="T80" s="440"/>
      <c r="U80" s="440"/>
    </row>
    <row r="81" spans="1:21">
      <c r="A81" s="548">
        <f t="shared" si="0"/>
        <v>60</v>
      </c>
      <c r="B81" s="604" t="s">
        <v>1090</v>
      </c>
      <c r="C81" s="621">
        <f t="shared" si="7"/>
        <v>11569715.85</v>
      </c>
      <c r="D81" s="621">
        <f>SUM(Q81:S81)</f>
        <v>11569715.85</v>
      </c>
      <c r="E81" s="621"/>
      <c r="F81" s="621"/>
      <c r="G81" s="621">
        <f>ROUND(SUM(C81:F81)/2,0)</f>
        <v>11569716</v>
      </c>
      <c r="H81" s="621"/>
      <c r="I81" s="621">
        <f t="shared" si="5"/>
        <v>5813426.5</v>
      </c>
      <c r="J81" s="621">
        <f t="shared" si="5"/>
        <v>523254.55</v>
      </c>
      <c r="K81" s="621">
        <f t="shared" si="5"/>
        <v>5233034.8</v>
      </c>
      <c r="L81" s="621"/>
      <c r="M81" s="621">
        <f>SUMIF([3]APCO_1901001!$A$53:$A$116,$B81,[3]APCO_1901001!$L$53:$L$116)</f>
        <v>5813426.5</v>
      </c>
      <c r="N81" s="621">
        <f>SUMIF([3]APCO_1901001!$A$117:$A$149,$B81,[3]APCO_1901001!$L$117:$L$149)</f>
        <v>523254.55</v>
      </c>
      <c r="O81" s="621">
        <f>SUMIF([3]APCO_1901001!$A$3:$A$52,$B81,[3]APCO_1901001!$L$3:$L$52)</f>
        <v>5233034.8</v>
      </c>
      <c r="P81" s="522"/>
      <c r="Q81" s="529">
        <v>5813426.5</v>
      </c>
      <c r="R81" s="529">
        <v>523254.55</v>
      </c>
      <c r="S81" s="529">
        <v>5233034.8</v>
      </c>
      <c r="T81" s="440"/>
      <c r="U81" s="440"/>
    </row>
    <row r="82" spans="1:21">
      <c r="A82" s="548">
        <f t="shared" si="0"/>
        <v>61</v>
      </c>
      <c r="B82" s="604" t="s">
        <v>1091</v>
      </c>
      <c r="C82" s="621">
        <f t="shared" si="7"/>
        <v>-246151.80000000002</v>
      </c>
      <c r="D82" s="621">
        <f>SUM(Q82:S82)</f>
        <v>-7115595.1999999993</v>
      </c>
      <c r="E82" s="621"/>
      <c r="F82" s="621"/>
      <c r="G82" s="621">
        <f>ROUND(SUM(C82:F82)/2,0)</f>
        <v>-3680874</v>
      </c>
      <c r="H82" s="621"/>
      <c r="I82" s="621">
        <f t="shared" si="5"/>
        <v>-1641039.63</v>
      </c>
      <c r="J82" s="621">
        <f t="shared" si="5"/>
        <v>-131719.58000000002</v>
      </c>
      <c r="K82" s="621">
        <f t="shared" si="5"/>
        <v>-1908114.29</v>
      </c>
      <c r="L82" s="621"/>
      <c r="M82" s="621">
        <f>SUMIF([3]APCO_1901001!$A$53:$A$116,$B82,[3]APCO_1901001!$L$53:$L$116)</f>
        <v>-190438.76</v>
      </c>
      <c r="N82" s="621">
        <f>SUMIF([3]APCO_1901001!$A$117:$A$149,$B82,[3]APCO_1901001!$L$117:$L$149)</f>
        <v>104325.35</v>
      </c>
      <c r="O82" s="621">
        <f>SUMIF([3]APCO_1901001!$A$3:$A$52,$B82,[3]APCO_1901001!$L$3:$L$52)</f>
        <v>-160038.39000000001</v>
      </c>
      <c r="P82" s="522"/>
      <c r="Q82" s="529">
        <v>-3091640.5</v>
      </c>
      <c r="R82" s="529">
        <v>-367764.51</v>
      </c>
      <c r="S82" s="529">
        <v>-3656190.19</v>
      </c>
      <c r="T82" s="440"/>
      <c r="U82" s="440"/>
    </row>
    <row r="83" spans="1:21">
      <c r="A83" s="548">
        <f t="shared" si="0"/>
        <v>62</v>
      </c>
      <c r="B83" s="604" t="s">
        <v>1217</v>
      </c>
      <c r="C83" s="621">
        <f t="shared" si="7"/>
        <v>6894297.4299999997</v>
      </c>
      <c r="D83" s="621">
        <f t="shared" si="3"/>
        <v>6244055.1299999999</v>
      </c>
      <c r="E83" s="621"/>
      <c r="F83" s="621"/>
      <c r="G83" s="621">
        <f t="shared" si="4"/>
        <v>6569176</v>
      </c>
      <c r="H83" s="621"/>
      <c r="I83" s="621">
        <f t="shared" si="5"/>
        <v>3140299.48</v>
      </c>
      <c r="J83" s="621">
        <f t="shared" si="5"/>
        <v>499095.36499999999</v>
      </c>
      <c r="K83" s="621">
        <f t="shared" si="5"/>
        <v>2929781.4350000001</v>
      </c>
      <c r="L83" s="621"/>
      <c r="M83" s="621">
        <f>SUMIF([3]APCO_1901001!$A$53:$A$116,$B83,[3]APCO_1901001!$L$53:$L$116)</f>
        <v>3064052.38</v>
      </c>
      <c r="N83" s="621">
        <f>SUMIF([3]APCO_1901001!$A$117:$A$149,$B83,[3]APCO_1901001!$L$117:$L$149)</f>
        <v>521215.01</v>
      </c>
      <c r="O83" s="621">
        <f>SUMIF([3]APCO_1901001!$A$3:$A$52,$B83,[3]APCO_1901001!$L$3:$L$52)</f>
        <v>3309030.04</v>
      </c>
      <c r="P83" s="522"/>
      <c r="Q83" s="529">
        <v>3216546.58</v>
      </c>
      <c r="R83" s="529">
        <v>476975.72</v>
      </c>
      <c r="S83" s="529">
        <v>2550532.83</v>
      </c>
      <c r="T83" s="440"/>
      <c r="U83" s="440"/>
    </row>
    <row r="84" spans="1:21">
      <c r="A84" s="548">
        <f t="shared" si="0"/>
        <v>63</v>
      </c>
      <c r="B84" s="551" t="s">
        <v>1218</v>
      </c>
      <c r="C84" s="622">
        <f t="shared" si="7"/>
        <v>45053649.780000001</v>
      </c>
      <c r="D84" s="622">
        <f t="shared" si="3"/>
        <v>47992916.779999994</v>
      </c>
      <c r="E84" s="622"/>
      <c r="F84" s="622"/>
      <c r="G84" s="622">
        <f t="shared" si="4"/>
        <v>46523283</v>
      </c>
      <c r="H84" s="622"/>
      <c r="I84" s="622">
        <f t="shared" si="5"/>
        <v>46119809.849999994</v>
      </c>
      <c r="J84" s="622">
        <f t="shared" si="5"/>
        <v>7449.65</v>
      </c>
      <c r="K84" s="622">
        <f t="shared" si="5"/>
        <v>396023.78</v>
      </c>
      <c r="L84" s="622"/>
      <c r="M84" s="622">
        <f>SUMIF([3]APCO_1901001!$A$53:$A$116,$B84,[3]APCO_1901001!$L$53:$L$116)</f>
        <v>44658522.789999999</v>
      </c>
      <c r="N84" s="622">
        <f>SUMIF([3]APCO_1901001!$A$117:$A$149,$B84,[3]APCO_1901001!$L$117:$L$149)</f>
        <v>7676.9</v>
      </c>
      <c r="O84" s="622">
        <f>SUMIF([3]APCO_1901001!$A$3:$A$52,$B84,[3]APCO_1901001!$L$3:$L$52)</f>
        <v>387450.09</v>
      </c>
      <c r="P84" s="522"/>
      <c r="Q84" s="529">
        <v>47581096.909999996</v>
      </c>
      <c r="R84" s="529">
        <v>7222.4</v>
      </c>
      <c r="S84" s="529">
        <v>404597.47</v>
      </c>
      <c r="T84" s="440"/>
      <c r="U84" s="440"/>
    </row>
    <row r="85" spans="1:21">
      <c r="A85" s="548">
        <f t="shared" si="0"/>
        <v>64</v>
      </c>
      <c r="B85" s="551" t="s">
        <v>1219</v>
      </c>
      <c r="C85" s="622">
        <f>SUM(M85:O85)</f>
        <v>4071513.35</v>
      </c>
      <c r="D85" s="622">
        <f>SUM(Q85:S85)</f>
        <v>4001217.1</v>
      </c>
      <c r="E85" s="622"/>
      <c r="F85" s="622"/>
      <c r="G85" s="622">
        <f>ROUND(SUM(C85:F85)/2,0)</f>
        <v>4036365</v>
      </c>
      <c r="H85" s="622"/>
      <c r="I85" s="622">
        <f>(M85+Q85)/2</f>
        <v>4036365.2250000001</v>
      </c>
      <c r="J85" s="622">
        <f>(N85+R85)/2</f>
        <v>0</v>
      </c>
      <c r="K85" s="622">
        <f>(O85+S85)/2</f>
        <v>0</v>
      </c>
      <c r="L85" s="622"/>
      <c r="M85" s="622">
        <f>SUMIF([3]APCO_1901001!$A$53:$A$116,$B85,[3]APCO_1901001!$L$53:$L$116)</f>
        <v>4071513.35</v>
      </c>
      <c r="N85" s="622">
        <f>SUMIF([3]APCO_1901001!$A$117:$A$149,$B85,[3]APCO_1901001!$L$117:$L$149)</f>
        <v>0</v>
      </c>
      <c r="O85" s="622">
        <f>SUMIF([3]APCO_1901001!$A$3:$A$52,$B85,[3]APCO_1901001!$L$3:$L$52)</f>
        <v>0</v>
      </c>
      <c r="P85" s="522"/>
      <c r="Q85" s="529">
        <v>4001217.1</v>
      </c>
      <c r="R85" s="529">
        <v>0</v>
      </c>
      <c r="S85" s="529">
        <v>0</v>
      </c>
      <c r="T85" s="440"/>
      <c r="U85" s="440"/>
    </row>
    <row r="86" spans="1:21">
      <c r="A86" s="548">
        <f t="shared" si="0"/>
        <v>65</v>
      </c>
      <c r="B86" s="604" t="s">
        <v>1220</v>
      </c>
      <c r="C86" s="621">
        <f t="shared" si="7"/>
        <v>-5729453.3700000001</v>
      </c>
      <c r="D86" s="621">
        <f>SUM(Q86:S86)</f>
        <v>-5729453.3700000001</v>
      </c>
      <c r="E86" s="621"/>
      <c r="F86" s="621"/>
      <c r="G86" s="621">
        <f>ROUND(SUM(C86:F86)/2,0)</f>
        <v>-5729453</v>
      </c>
      <c r="H86" s="621"/>
      <c r="I86" s="621">
        <f t="shared" si="5"/>
        <v>-2430799.54</v>
      </c>
      <c r="J86" s="621">
        <f t="shared" si="5"/>
        <v>-350341.9</v>
      </c>
      <c r="K86" s="621">
        <f t="shared" si="5"/>
        <v>-2948311.93</v>
      </c>
      <c r="L86" s="621"/>
      <c r="M86" s="621">
        <f>SUMIF([3]APCO_1901001!$A$53:$A$116,$B86,[3]APCO_1901001!$L$53:$L$116)</f>
        <v>-2430799.54</v>
      </c>
      <c r="N86" s="621">
        <f>SUMIF([3]APCO_1901001!$A$117:$A$149,$B86,[3]APCO_1901001!$L$117:$L$149)</f>
        <v>-350341.9</v>
      </c>
      <c r="O86" s="621">
        <f>SUMIF([3]APCO_1901001!$A$3:$A$52,$B86,[3]APCO_1901001!$L$3:$L$52)</f>
        <v>-2948311.93</v>
      </c>
      <c r="P86" s="522"/>
      <c r="Q86" s="529">
        <v>-2430799.54</v>
      </c>
      <c r="R86" s="529">
        <v>-350341.9</v>
      </c>
      <c r="S86" s="529">
        <v>-2948311.93</v>
      </c>
      <c r="T86" s="440"/>
      <c r="U86" s="440"/>
    </row>
    <row r="87" spans="1:21">
      <c r="A87" s="548">
        <f t="shared" ref="A87:A116" si="8">A86+1</f>
        <v>66</v>
      </c>
      <c r="B87" s="549" t="s">
        <v>1221</v>
      </c>
      <c r="C87" s="618">
        <f t="shared" si="7"/>
        <v>121212.84</v>
      </c>
      <c r="D87" s="618">
        <f>SUM(Q87:S87)</f>
        <v>121212.84</v>
      </c>
      <c r="E87" s="618"/>
      <c r="F87" s="618"/>
      <c r="G87" s="618">
        <f>ROUND(SUM(C87:F87)/2,0)</f>
        <v>121213</v>
      </c>
      <c r="H87" s="618"/>
      <c r="I87" s="618">
        <f t="shared" si="5"/>
        <v>121212.84</v>
      </c>
      <c r="J87" s="618">
        <f t="shared" si="5"/>
        <v>0</v>
      </c>
      <c r="K87" s="618">
        <f t="shared" si="5"/>
        <v>0</v>
      </c>
      <c r="L87" s="618"/>
      <c r="M87" s="619">
        <f>SUMIF([3]APCO_1901001!$A$53:$A$116,$B87,[3]APCO_1901001!$L$53:$L$116)</f>
        <v>121212.84</v>
      </c>
      <c r="N87" s="619">
        <f>SUMIF([3]APCO_1901001!$A$117:$A$149,$B87,[3]APCO_1901001!$L$117:$L$149)</f>
        <v>0</v>
      </c>
      <c r="O87" s="619">
        <f>SUMIF([3]APCO_1901001!$A$3:$A$52,$B87,[3]APCO_1901001!$L$3:$L$52)</f>
        <v>0</v>
      </c>
      <c r="P87" s="522"/>
      <c r="Q87" s="529">
        <v>121212.84</v>
      </c>
      <c r="R87" s="529">
        <v>0</v>
      </c>
      <c r="S87" s="529">
        <v>0</v>
      </c>
      <c r="T87" s="440"/>
      <c r="U87" s="440"/>
    </row>
    <row r="88" spans="1:21">
      <c r="A88" s="548">
        <f t="shared" si="8"/>
        <v>67</v>
      </c>
      <c r="B88" s="535" t="s">
        <v>1092</v>
      </c>
      <c r="C88" s="618">
        <f t="shared" si="7"/>
        <v>99027125.349999994</v>
      </c>
      <c r="D88" s="618">
        <f t="shared" si="3"/>
        <v>91945901.199999988</v>
      </c>
      <c r="E88" s="618"/>
      <c r="F88" s="618"/>
      <c r="G88" s="618">
        <f t="shared" si="4"/>
        <v>95486513</v>
      </c>
      <c r="H88" s="618"/>
      <c r="I88" s="618">
        <f t="shared" si="5"/>
        <v>13942292.774999999</v>
      </c>
      <c r="J88" s="618">
        <f t="shared" si="5"/>
        <v>28985116.575000003</v>
      </c>
      <c r="K88" s="618">
        <f t="shared" si="5"/>
        <v>52559103.924999997</v>
      </c>
      <c r="L88" s="618"/>
      <c r="M88" s="619">
        <f>SUMIF([3]APCO_1901001!$A$53:$A$116,$B88,[3]APCO_1901001!$L$53:$L$116)</f>
        <v>14651399.6</v>
      </c>
      <c r="N88" s="619">
        <f>SUMIF([3]APCO_1901001!$A$117:$A$149,$B88,[3]APCO_1901001!$L$117:$L$149)</f>
        <v>29695808.550000001</v>
      </c>
      <c r="O88" s="619">
        <f>SUMIF([3]APCO_1901001!$A$3:$A$52,$B88,[3]APCO_1901001!$L$3:$L$52)</f>
        <v>54679917.200000003</v>
      </c>
      <c r="P88" s="522"/>
      <c r="Q88" s="529">
        <v>13233185.949999999</v>
      </c>
      <c r="R88" s="529">
        <v>28274424.600000001</v>
      </c>
      <c r="S88" s="529">
        <v>50438290.649999999</v>
      </c>
      <c r="T88" s="440"/>
      <c r="U88" s="440"/>
    </row>
    <row r="89" spans="1:21">
      <c r="A89" s="548">
        <f t="shared" si="8"/>
        <v>68</v>
      </c>
      <c r="B89" s="535" t="s">
        <v>1093</v>
      </c>
      <c r="C89" s="618">
        <f t="shared" ref="C89:C94" si="9">SUM(M89:O89)</f>
        <v>-17714.199999999997</v>
      </c>
      <c r="D89" s="618">
        <f t="shared" si="3"/>
        <v>-17574.900000000001</v>
      </c>
      <c r="E89" s="618"/>
      <c r="F89" s="618"/>
      <c r="G89" s="618">
        <f t="shared" si="4"/>
        <v>-17645</v>
      </c>
      <c r="H89" s="618"/>
      <c r="I89" s="618">
        <f t="shared" si="5"/>
        <v>-1001.7</v>
      </c>
      <c r="J89" s="618">
        <f t="shared" si="5"/>
        <v>-12398.75</v>
      </c>
      <c r="K89" s="618">
        <f t="shared" si="5"/>
        <v>-4244.1000000000004</v>
      </c>
      <c r="L89" s="618"/>
      <c r="M89" s="619">
        <f>SUMIF([3]APCO_1901001!$A$53:$A$116,$B89,[3]APCO_1901001!$L$53:$L$116)</f>
        <v>-1005.55</v>
      </c>
      <c r="N89" s="619">
        <f>SUMIF([3]APCO_1901001!$A$117:$A$149,$B89,[3]APCO_1901001!$L$117:$L$149)</f>
        <v>-12447.75</v>
      </c>
      <c r="O89" s="619">
        <f>SUMIF([3]APCO_1901001!$A$3:$A$52,$B89,[3]APCO_1901001!$L$3:$L$52)</f>
        <v>-4260.8999999999996</v>
      </c>
      <c r="P89" s="522"/>
      <c r="Q89" s="529">
        <v>-997.85</v>
      </c>
      <c r="R89" s="529">
        <v>-12349.75</v>
      </c>
      <c r="S89" s="529">
        <v>-4227.3</v>
      </c>
      <c r="T89" s="440"/>
      <c r="U89" s="440"/>
    </row>
    <row r="90" spans="1:21">
      <c r="A90" s="548">
        <f t="shared" si="8"/>
        <v>69</v>
      </c>
      <c r="B90" s="535" t="s">
        <v>452</v>
      </c>
      <c r="C90" s="618">
        <f t="shared" si="9"/>
        <v>21683880.499999996</v>
      </c>
      <c r="D90" s="618">
        <f>SUM(Q90:S90)</f>
        <v>20745935</v>
      </c>
      <c r="E90" s="618"/>
      <c r="F90" s="618"/>
      <c r="G90" s="618">
        <f>ROUND(SUM(C90:F90)/2,0)</f>
        <v>21214908</v>
      </c>
      <c r="H90" s="618"/>
      <c r="I90" s="618">
        <f t="shared" si="5"/>
        <v>13675492.779999997</v>
      </c>
      <c r="J90" s="618">
        <f t="shared" si="5"/>
        <v>3189639.6850000001</v>
      </c>
      <c r="K90" s="618">
        <f t="shared" si="5"/>
        <v>4349775.2850000001</v>
      </c>
      <c r="L90" s="618"/>
      <c r="M90" s="619">
        <f>SUMIF([3]APCO_1901001!$A$53:$A$116,$B90,[3]APCO_1901001!$L$53:$L$116)</f>
        <v>14321296.159999996</v>
      </c>
      <c r="N90" s="619">
        <f>SUMIF([3]APCO_1901001!$A$117:$A$149,$B90,[3]APCO_1901001!$L$117:$L$149)</f>
        <v>3114829.37</v>
      </c>
      <c r="O90" s="619">
        <f>SUMIF([3]APCO_1901001!$A$3:$A$52,$B90,[3]APCO_1901001!$L$3:$L$52)</f>
        <v>4247754.97</v>
      </c>
      <c r="P90" s="522"/>
      <c r="Q90" s="529">
        <f>6596154.95-146112.05-15756626.9+20458571.7+1877701.7</f>
        <v>13029689.399999999</v>
      </c>
      <c r="R90" s="529">
        <f>+-3151505+6415955</f>
        <v>3264450</v>
      </c>
      <c r="S90" s="529">
        <f>-20880664.7+20880664.7-3865531.25+8317326.85</f>
        <v>4451795.5999999996</v>
      </c>
      <c r="T90" s="440"/>
      <c r="U90" s="440"/>
    </row>
    <row r="91" spans="1:21">
      <c r="A91" s="548">
        <f t="shared" si="8"/>
        <v>70</v>
      </c>
      <c r="B91" s="535" t="s">
        <v>1094</v>
      </c>
      <c r="C91" s="618">
        <f t="shared" si="9"/>
        <v>-783321</v>
      </c>
      <c r="D91" s="618">
        <f>SUM(Q91:S91)</f>
        <v>-783321</v>
      </c>
      <c r="E91" s="618"/>
      <c r="F91" s="618"/>
      <c r="G91" s="618">
        <f>ROUND(SUM(C91:F91)/2,0)</f>
        <v>-783321</v>
      </c>
      <c r="H91" s="618"/>
      <c r="I91" s="618">
        <f t="shared" si="5"/>
        <v>-593235.65</v>
      </c>
      <c r="J91" s="618">
        <f t="shared" si="5"/>
        <v>0</v>
      </c>
      <c r="K91" s="618">
        <f t="shared" si="5"/>
        <v>-190085.34999999998</v>
      </c>
      <c r="L91" s="618"/>
      <c r="M91" s="619">
        <f>SUMIF([3]APCO_1901001!$A$53:$A$116,$B91,[3]APCO_1901001!$L$53:$L$116)</f>
        <v>-593235.65</v>
      </c>
      <c r="N91" s="619">
        <f>SUMIF([3]APCO_1901001!$A$117:$A$149,$B91,[3]APCO_1901001!$L$117:$L$149)</f>
        <v>0</v>
      </c>
      <c r="O91" s="619">
        <f>SUMIF([3]APCO_1901001!$A$3:$A$52,$B91,[3]APCO_1901001!$L$3:$L$52)</f>
        <v>-190085.34999999998</v>
      </c>
      <c r="P91" s="522"/>
      <c r="Q91" s="529">
        <f>-962030.65+368795</f>
        <v>-593235.65</v>
      </c>
      <c r="R91" s="529">
        <v>0</v>
      </c>
      <c r="S91" s="529">
        <f>-315488.35+125403</f>
        <v>-190085.34999999998</v>
      </c>
      <c r="T91" s="440"/>
      <c r="U91" s="440"/>
    </row>
    <row r="92" spans="1:21">
      <c r="A92" s="548">
        <f t="shared" si="8"/>
        <v>71</v>
      </c>
      <c r="B92" s="535" t="s">
        <v>1095</v>
      </c>
      <c r="C92" s="618">
        <f t="shared" si="9"/>
        <v>190085</v>
      </c>
      <c r="D92" s="618">
        <f>SUM(Q92:S92)</f>
        <v>190085</v>
      </c>
      <c r="E92" s="618"/>
      <c r="F92" s="618"/>
      <c r="G92" s="618">
        <f>ROUND(SUM(C92:F92)/2,0)</f>
        <v>190085</v>
      </c>
      <c r="H92" s="618"/>
      <c r="I92" s="618">
        <f t="shared" si="5"/>
        <v>0</v>
      </c>
      <c r="J92" s="618">
        <f t="shared" si="5"/>
        <v>0</v>
      </c>
      <c r="K92" s="618">
        <f t="shared" si="5"/>
        <v>190085</v>
      </c>
      <c r="L92" s="618"/>
      <c r="M92" s="619">
        <f>SUMIF([3]APCO_1901001!$A$53:$A$116,$B92,[3]APCO_1901001!$L$53:$L$116)</f>
        <v>0</v>
      </c>
      <c r="N92" s="619">
        <f>SUMIF([3]APCO_1901001!$A$117:$A$149,$B92,[3]APCO_1901001!$L$117:$L$149)</f>
        <v>0</v>
      </c>
      <c r="O92" s="619">
        <f>SUMIF([3]APCO_1901001!$A$3:$A$52,$B92,[3]APCO_1901001!$L$3:$L$52)</f>
        <v>190085</v>
      </c>
      <c r="P92" s="522"/>
      <c r="Q92" s="529">
        <v>0</v>
      </c>
      <c r="R92" s="529">
        <v>0</v>
      </c>
      <c r="S92" s="529">
        <f>149485+40600</f>
        <v>190085</v>
      </c>
      <c r="T92" s="440"/>
      <c r="U92" s="440"/>
    </row>
    <row r="93" spans="1:21">
      <c r="A93" s="548">
        <f t="shared" si="8"/>
        <v>72</v>
      </c>
      <c r="B93" s="535" t="s">
        <v>1222</v>
      </c>
      <c r="C93" s="618">
        <f t="shared" si="9"/>
        <v>91791.29999999993</v>
      </c>
      <c r="D93" s="618">
        <f>SUM(Q93:S93)</f>
        <v>-0.15000000008149073</v>
      </c>
      <c r="E93" s="618"/>
      <c r="F93" s="618"/>
      <c r="G93" s="618">
        <f>ROUND(SUM(C93:F93)/2,0)</f>
        <v>45896</v>
      </c>
      <c r="H93" s="618"/>
      <c r="I93" s="618">
        <f t="shared" si="5"/>
        <v>0.3999999999650754</v>
      </c>
      <c r="J93" s="618">
        <f t="shared" si="5"/>
        <v>0.14999999999417923</v>
      </c>
      <c r="K93" s="618">
        <f t="shared" si="5"/>
        <v>45895.024999999965</v>
      </c>
      <c r="L93" s="618"/>
      <c r="M93" s="619">
        <f>SUMIF([3]APCO_1901001!$A$53:$A$116,$B93,[3]APCO_1901001!$L$53:$L$116)</f>
        <v>0.3999999999650754</v>
      </c>
      <c r="N93" s="619">
        <f>SUMIF([3]APCO_1901001!$A$117:$A$149,$B93,[3]APCO_1901001!$L$117:$L$149)</f>
        <v>0.20000000001164153</v>
      </c>
      <c r="O93" s="619">
        <f>SUMIF([3]APCO_1901001!$A$3:$A$52,$B93,[3]APCO_1901001!$L$3:$L$52)</f>
        <v>91790.699999999953</v>
      </c>
      <c r="P93" s="522"/>
      <c r="Q93" s="529">
        <f>-369030.2+369030.6</f>
        <v>0.3999999999650754</v>
      </c>
      <c r="R93" s="529">
        <f>-468155.9+468156</f>
        <v>9.9999999976716936E-2</v>
      </c>
      <c r="S93" s="529">
        <f>-766576.65+766576</f>
        <v>-0.65000000002328306</v>
      </c>
      <c r="T93" s="440"/>
      <c r="U93" s="440"/>
    </row>
    <row r="94" spans="1:21">
      <c r="A94" s="548">
        <f t="shared" si="8"/>
        <v>73</v>
      </c>
      <c r="B94" s="535" t="s">
        <v>1223</v>
      </c>
      <c r="C94" s="618">
        <f t="shared" si="9"/>
        <v>-36321.599999999999</v>
      </c>
      <c r="D94" s="618">
        <f>SUM(Q94:S94)</f>
        <v>-36321.599999999999</v>
      </c>
      <c r="E94" s="618"/>
      <c r="F94" s="618"/>
      <c r="G94" s="618">
        <f>ROUND(SUM(C94:F94)/2,0)</f>
        <v>-36322</v>
      </c>
      <c r="H94" s="618"/>
      <c r="I94" s="618">
        <f t="shared" si="5"/>
        <v>-49069.3</v>
      </c>
      <c r="J94" s="618">
        <f t="shared" si="5"/>
        <v>9496.9</v>
      </c>
      <c r="K94" s="618">
        <f t="shared" si="5"/>
        <v>3250.8</v>
      </c>
      <c r="L94" s="618"/>
      <c r="M94" s="619">
        <f>SUMIF([3]APCO_1901001!$A$53:$A$116,$B94,[3]APCO_1901001!$L$53:$L$116)</f>
        <v>-49069.3</v>
      </c>
      <c r="N94" s="619">
        <f>SUMIF([3]APCO_1901001!$A$117:$A$149,$B94,[3]APCO_1901001!$L$117:$L$149)</f>
        <v>9496.9</v>
      </c>
      <c r="O94" s="619">
        <f>SUMIF([3]APCO_1901001!$A$3:$A$52,$B94,[3]APCO_1901001!$L$3:$L$52)</f>
        <v>3250.8</v>
      </c>
      <c r="P94" s="522"/>
      <c r="Q94" s="529">
        <v>-49069.3</v>
      </c>
      <c r="R94" s="529">
        <v>9496.9</v>
      </c>
      <c r="S94" s="529">
        <v>3250.8</v>
      </c>
      <c r="T94" s="440"/>
      <c r="U94" s="440"/>
    </row>
    <row r="95" spans="1:21">
      <c r="A95" s="548">
        <f t="shared" si="8"/>
        <v>74</v>
      </c>
      <c r="B95" s="535" t="s">
        <v>1096</v>
      </c>
      <c r="C95" s="618">
        <f t="shared" ref="C95:C102" si="10">SUM(M95:O95)</f>
        <v>0</v>
      </c>
      <c r="D95" s="618">
        <f t="shared" ref="D95:D96" si="11">SUM(Q95:S95)</f>
        <v>0</v>
      </c>
      <c r="E95" s="618"/>
      <c r="F95" s="618"/>
      <c r="G95" s="618">
        <f t="shared" ref="G95:G111" si="12">ROUND(SUM(C95:F95)/2,0)</f>
        <v>0</v>
      </c>
      <c r="H95" s="618"/>
      <c r="I95" s="618">
        <f t="shared" si="5"/>
        <v>0</v>
      </c>
      <c r="J95" s="618">
        <f t="shared" si="5"/>
        <v>0</v>
      </c>
      <c r="K95" s="618">
        <f t="shared" si="5"/>
        <v>0</v>
      </c>
      <c r="L95" s="618"/>
      <c r="M95" s="619">
        <f>SUMIF([3]APCO_1901001!$A$53:$A$116,$B95,[3]APCO_1901001!$L$53:$L$116)</f>
        <v>0</v>
      </c>
      <c r="N95" s="619">
        <f>SUMIF([3]APCO_1901001!$A$117:$A$149,$B95,[3]APCO_1901001!$L$117:$L$149)</f>
        <v>0</v>
      </c>
      <c r="O95" s="619">
        <f>SUMIF([3]APCO_1901001!$A$3:$A$52,$B95,[3]APCO_1901001!$L$3:$L$52)</f>
        <v>0</v>
      </c>
      <c r="P95" s="522"/>
      <c r="Q95" s="529">
        <v>0</v>
      </c>
      <c r="R95" s="529">
        <v>0</v>
      </c>
      <c r="S95" s="529">
        <v>0</v>
      </c>
      <c r="T95" s="440"/>
      <c r="U95" s="440"/>
    </row>
    <row r="96" spans="1:21">
      <c r="A96" s="548">
        <f t="shared" si="8"/>
        <v>75</v>
      </c>
      <c r="B96" s="535" t="s">
        <v>1097</v>
      </c>
      <c r="C96" s="618">
        <f t="shared" si="10"/>
        <v>0</v>
      </c>
      <c r="D96" s="618">
        <f t="shared" si="11"/>
        <v>0.1</v>
      </c>
      <c r="E96" s="618"/>
      <c r="F96" s="618"/>
      <c r="G96" s="618">
        <f t="shared" si="12"/>
        <v>0</v>
      </c>
      <c r="H96" s="618"/>
      <c r="I96" s="618">
        <f t="shared" si="5"/>
        <v>0</v>
      </c>
      <c r="J96" s="618">
        <f t="shared" si="5"/>
        <v>0</v>
      </c>
      <c r="K96" s="618">
        <f t="shared" si="5"/>
        <v>0.05</v>
      </c>
      <c r="L96" s="618"/>
      <c r="M96" s="619">
        <f>SUMIF([3]APCO_1901001!$A$53:$A$116,$B96,[3]APCO_1901001!$L$53:$L$116)</f>
        <v>0</v>
      </c>
      <c r="N96" s="619">
        <f>SUMIF([3]APCO_1901001!$A$117:$A$149,$B96,[3]APCO_1901001!$L$117:$L$149)</f>
        <v>0</v>
      </c>
      <c r="O96" s="619">
        <f>SUMIF([3]APCO_1901001!$A$3:$A$52,$B96,[3]APCO_1901001!$L$3:$L$52)</f>
        <v>0</v>
      </c>
      <c r="P96" s="522"/>
      <c r="Q96" s="529">
        <v>0</v>
      </c>
      <c r="R96" s="529">
        <v>0</v>
      </c>
      <c r="S96" s="529">
        <v>0.1</v>
      </c>
      <c r="T96" s="440"/>
      <c r="U96" s="440"/>
    </row>
    <row r="97" spans="1:21">
      <c r="A97" s="548">
        <f t="shared" si="8"/>
        <v>76</v>
      </c>
      <c r="B97" s="535" t="s">
        <v>1098</v>
      </c>
      <c r="C97" s="618">
        <f t="shared" si="10"/>
        <v>89807.5</v>
      </c>
      <c r="D97" s="618">
        <f t="shared" ref="D97:D102" si="13">SUM(Q97:S97)</f>
        <v>89807.5</v>
      </c>
      <c r="E97" s="618"/>
      <c r="F97" s="618"/>
      <c r="G97" s="618">
        <f t="shared" si="12"/>
        <v>89808</v>
      </c>
      <c r="H97" s="618"/>
      <c r="I97" s="618">
        <f t="shared" si="5"/>
        <v>0</v>
      </c>
      <c r="J97" s="618">
        <f t="shared" si="5"/>
        <v>0</v>
      </c>
      <c r="K97" s="618">
        <f t="shared" si="5"/>
        <v>89807.5</v>
      </c>
      <c r="L97" s="618"/>
      <c r="M97" s="619">
        <f>SUMIF([3]APCO_1901001!$A$53:$A$116,$B97,[3]APCO_1901001!$L$53:$L$116)</f>
        <v>0</v>
      </c>
      <c r="N97" s="619">
        <f>SUMIF([3]APCO_1901001!$A$117:$A$149,$B97,[3]APCO_1901001!$L$117:$L$149)</f>
        <v>0</v>
      </c>
      <c r="O97" s="619">
        <f>SUMIF([3]APCO_1901001!$A$3:$A$52,$B97,[3]APCO_1901001!$L$3:$L$52)</f>
        <v>89807.5</v>
      </c>
      <c r="P97" s="522"/>
      <c r="Q97" s="529">
        <v>0</v>
      </c>
      <c r="R97" s="529">
        <v>0</v>
      </c>
      <c r="S97" s="529">
        <v>89807.5</v>
      </c>
      <c r="T97" s="440"/>
      <c r="U97" s="440"/>
    </row>
    <row r="98" spans="1:21">
      <c r="A98" s="548">
        <f t="shared" si="8"/>
        <v>77</v>
      </c>
      <c r="B98" s="535" t="s">
        <v>1099</v>
      </c>
      <c r="C98" s="618">
        <f t="shared" si="10"/>
        <v>1336186.8</v>
      </c>
      <c r="D98" s="618">
        <f t="shared" si="13"/>
        <v>1409947.2</v>
      </c>
      <c r="E98" s="618"/>
      <c r="F98" s="618"/>
      <c r="G98" s="618">
        <f t="shared" si="12"/>
        <v>1373067</v>
      </c>
      <c r="H98" s="618"/>
      <c r="I98" s="618">
        <f t="shared" si="5"/>
        <v>0</v>
      </c>
      <c r="J98" s="618">
        <f t="shared" si="5"/>
        <v>0</v>
      </c>
      <c r="K98" s="618">
        <f t="shared" si="5"/>
        <v>1373067</v>
      </c>
      <c r="L98" s="618"/>
      <c r="M98" s="619">
        <f>SUMIF([3]APCO_1901001!$A$53:$A$116,$B98,[3]APCO_1901001!$L$53:$L$116)</f>
        <v>0</v>
      </c>
      <c r="N98" s="619">
        <f>SUMIF([3]APCO_1901001!$A$117:$A$149,$B98,[3]APCO_1901001!$L$117:$L$149)</f>
        <v>0</v>
      </c>
      <c r="O98" s="619">
        <f>SUMIF([3]APCO_1901001!$A$3:$A$52,$B98,[3]APCO_1901001!$L$3:$L$52)</f>
        <v>1336186.8</v>
      </c>
      <c r="P98" s="522"/>
      <c r="Q98" s="529">
        <v>0</v>
      </c>
      <c r="R98" s="529">
        <v>0</v>
      </c>
      <c r="S98" s="529">
        <v>1409947.2</v>
      </c>
      <c r="T98" s="440"/>
      <c r="U98" s="440"/>
    </row>
    <row r="99" spans="1:21">
      <c r="A99" s="548">
        <f t="shared" si="8"/>
        <v>78</v>
      </c>
      <c r="B99" s="535" t="s">
        <v>1100</v>
      </c>
      <c r="C99" s="618">
        <f t="shared" si="10"/>
        <v>0</v>
      </c>
      <c r="D99" s="618">
        <f t="shared" si="13"/>
        <v>0</v>
      </c>
      <c r="E99" s="618"/>
      <c r="F99" s="618"/>
      <c r="G99" s="618">
        <f t="shared" si="12"/>
        <v>0</v>
      </c>
      <c r="H99" s="618"/>
      <c r="I99" s="618">
        <f t="shared" si="5"/>
        <v>0</v>
      </c>
      <c r="J99" s="618">
        <f t="shared" si="5"/>
        <v>0</v>
      </c>
      <c r="K99" s="618">
        <f t="shared" si="5"/>
        <v>0</v>
      </c>
      <c r="L99" s="618"/>
      <c r="M99" s="619">
        <f>SUMIF([3]APCO_1901001!$A$53:$A$116,$B99,[3]APCO_1901001!$L$53:$L$116)</f>
        <v>0</v>
      </c>
      <c r="N99" s="619">
        <f>SUMIF([3]APCO_1901001!$A$117:$A$149,$B99,[3]APCO_1901001!$L$117:$L$149)</f>
        <v>0</v>
      </c>
      <c r="O99" s="619">
        <f>SUMIF([3]APCO_1901001!$A$3:$A$52,$B99,[3]APCO_1901001!$L$3:$L$52)</f>
        <v>0</v>
      </c>
      <c r="P99" s="522"/>
      <c r="Q99" s="529">
        <v>0</v>
      </c>
      <c r="R99" s="529">
        <v>0</v>
      </c>
      <c r="S99" s="529">
        <v>0</v>
      </c>
      <c r="T99" s="440"/>
      <c r="U99" s="440"/>
    </row>
    <row r="100" spans="1:21">
      <c r="A100" s="548">
        <f t="shared" si="8"/>
        <v>79</v>
      </c>
      <c r="B100" s="535" t="s">
        <v>1101</v>
      </c>
      <c r="C100" s="618">
        <f t="shared" si="10"/>
        <v>2913180.2800000003</v>
      </c>
      <c r="D100" s="618">
        <f t="shared" si="13"/>
        <v>2945963.38</v>
      </c>
      <c r="E100" s="618"/>
      <c r="F100" s="618"/>
      <c r="G100" s="618">
        <f t="shared" si="12"/>
        <v>2929572</v>
      </c>
      <c r="H100" s="618"/>
      <c r="I100" s="618">
        <f t="shared" si="5"/>
        <v>1577568.3900000001</v>
      </c>
      <c r="J100" s="618">
        <f t="shared" si="5"/>
        <v>998466.875</v>
      </c>
      <c r="K100" s="618">
        <f t="shared" si="5"/>
        <v>353536.565</v>
      </c>
      <c r="L100" s="618"/>
      <c r="M100" s="619">
        <f>SUMIF([3]APCO_1901001!$A$53:$A$116,$B100,[3]APCO_1901001!$L$53:$L$116)</f>
        <v>1442669.29</v>
      </c>
      <c r="N100" s="619">
        <f>SUMIF([3]APCO_1901001!$A$117:$A$149,$B100,[3]APCO_1901001!$L$117:$L$149)</f>
        <v>1088964.1000000001</v>
      </c>
      <c r="O100" s="619">
        <f>SUMIF([3]APCO_1901001!$A$3:$A$52,$B100,[3]APCO_1901001!$L$3:$L$52)</f>
        <v>381546.89</v>
      </c>
      <c r="P100" s="522"/>
      <c r="Q100" s="529">
        <v>1712467.49</v>
      </c>
      <c r="R100" s="529">
        <v>907969.65</v>
      </c>
      <c r="S100" s="529">
        <v>325526.24</v>
      </c>
      <c r="T100" s="440"/>
      <c r="U100" s="440"/>
    </row>
    <row r="101" spans="1:21">
      <c r="A101" s="548">
        <f t="shared" si="8"/>
        <v>80</v>
      </c>
      <c r="B101" s="535" t="s">
        <v>1224</v>
      </c>
      <c r="C101" s="618">
        <f t="shared" si="10"/>
        <v>3174757</v>
      </c>
      <c r="D101" s="618">
        <f t="shared" si="13"/>
        <v>26894757</v>
      </c>
      <c r="E101" s="618"/>
      <c r="F101" s="618"/>
      <c r="G101" s="618">
        <f t="shared" si="12"/>
        <v>15034757</v>
      </c>
      <c r="H101" s="618"/>
      <c r="I101" s="618">
        <f t="shared" si="5"/>
        <v>14716949</v>
      </c>
      <c r="J101" s="618">
        <f t="shared" si="5"/>
        <v>87795</v>
      </c>
      <c r="K101" s="618">
        <f t="shared" si="5"/>
        <v>230013</v>
      </c>
      <c r="L101" s="618"/>
      <c r="M101" s="619">
        <f>SUMIF([3]APCO_1901001!$A$53:$A$116,$B101,[3]APCO_1901001!$L$53:$L$116)</f>
        <v>2856949</v>
      </c>
      <c r="N101" s="619">
        <f>SUMIF([3]APCO_1901001!$A$117:$A$149,$B101,[3]APCO_1901001!$L$117:$L$149)</f>
        <v>87795</v>
      </c>
      <c r="O101" s="619">
        <f>SUMIF([3]APCO_1901001!$A$3:$A$52,$B101,[3]APCO_1901001!$L$3:$L$52)</f>
        <v>230013</v>
      </c>
      <c r="P101" s="522"/>
      <c r="Q101" s="529">
        <v>26576949</v>
      </c>
      <c r="R101" s="529">
        <v>87795</v>
      </c>
      <c r="S101" s="529">
        <v>230013</v>
      </c>
      <c r="T101" s="440"/>
      <c r="U101" s="440"/>
    </row>
    <row r="102" spans="1:21">
      <c r="A102" s="548">
        <f t="shared" si="8"/>
        <v>81</v>
      </c>
      <c r="B102" s="549" t="s">
        <v>1225</v>
      </c>
      <c r="C102" s="618">
        <f t="shared" si="10"/>
        <v>4450347.8</v>
      </c>
      <c r="D102" s="618">
        <f t="shared" si="13"/>
        <v>4450347.8</v>
      </c>
      <c r="E102" s="618"/>
      <c r="F102" s="618"/>
      <c r="G102" s="618">
        <f t="shared" si="12"/>
        <v>4450348</v>
      </c>
      <c r="H102" s="618"/>
      <c r="I102" s="618">
        <f t="shared" si="5"/>
        <v>0</v>
      </c>
      <c r="J102" s="618">
        <f t="shared" si="5"/>
        <v>0</v>
      </c>
      <c r="K102" s="618">
        <f t="shared" si="5"/>
        <v>4450347.8</v>
      </c>
      <c r="L102" s="618"/>
      <c r="M102" s="619">
        <f>SUMIF([3]APCO_1901001!$A$53:$A$116,$B102,[3]APCO_1901001!$L$53:$L$116)</f>
        <v>0</v>
      </c>
      <c r="N102" s="619">
        <f>SUMIF([3]APCO_1901001!$A$117:$A$149,$B102,[3]APCO_1901001!$L$117:$L$149)</f>
        <v>0</v>
      </c>
      <c r="O102" s="619">
        <f>SUMIF([3]APCO_1901001!$A$3:$A$52,$B102,[3]APCO_1901001!$L$3:$L$52)</f>
        <v>4450347.8</v>
      </c>
      <c r="P102" s="522"/>
      <c r="Q102" s="529">
        <v>0</v>
      </c>
      <c r="R102" s="529">
        <v>0</v>
      </c>
      <c r="S102" s="529">
        <v>4450347.8</v>
      </c>
      <c r="T102" s="440"/>
      <c r="U102" s="440"/>
    </row>
    <row r="103" spans="1:21">
      <c r="A103" s="548">
        <f t="shared" si="8"/>
        <v>82</v>
      </c>
      <c r="B103" s="549" t="s">
        <v>485</v>
      </c>
      <c r="C103" s="623">
        <v>1465143.76</v>
      </c>
      <c r="D103" s="623">
        <v>3851810.56</v>
      </c>
      <c r="E103" s="618">
        <f t="shared" ref="E103:F112" si="14">-C103</f>
        <v>-1465143.76</v>
      </c>
      <c r="F103" s="618">
        <f t="shared" si="14"/>
        <v>-3851810.56</v>
      </c>
      <c r="G103" s="618">
        <f t="shared" si="12"/>
        <v>0</v>
      </c>
      <c r="H103" s="618"/>
      <c r="I103" s="618"/>
      <c r="J103" s="618"/>
      <c r="K103" s="618"/>
      <c r="L103" s="618"/>
      <c r="M103" s="618"/>
      <c r="N103" s="618"/>
      <c r="O103" s="618"/>
      <c r="P103" s="522"/>
      <c r="Q103" s="522"/>
      <c r="R103" s="522"/>
      <c r="S103" s="522"/>
      <c r="T103" s="440"/>
      <c r="U103" s="440"/>
    </row>
    <row r="104" spans="1:21">
      <c r="A104" s="548">
        <f t="shared" si="8"/>
        <v>83</v>
      </c>
      <c r="B104" s="522" t="s">
        <v>1102</v>
      </c>
      <c r="C104" s="623">
        <v>82638287.549999997</v>
      </c>
      <c r="D104" s="623">
        <v>67111038.439999998</v>
      </c>
      <c r="E104" s="618">
        <f t="shared" si="14"/>
        <v>-82638287.549999997</v>
      </c>
      <c r="F104" s="618">
        <f t="shared" si="14"/>
        <v>-67111038.439999998</v>
      </c>
      <c r="G104" s="618">
        <f t="shared" si="12"/>
        <v>0</v>
      </c>
      <c r="H104" s="618"/>
      <c r="I104" s="618"/>
      <c r="J104" s="618"/>
      <c r="K104" s="618"/>
      <c r="L104" s="618"/>
      <c r="M104" s="618"/>
      <c r="N104" s="618"/>
      <c r="O104" s="618"/>
      <c r="P104" s="522"/>
      <c r="Q104" s="522"/>
      <c r="R104" s="522"/>
      <c r="S104" s="522"/>
      <c r="T104" s="440"/>
      <c r="U104" s="440"/>
    </row>
    <row r="105" spans="1:21">
      <c r="A105" s="548">
        <f t="shared" si="8"/>
        <v>84</v>
      </c>
      <c r="B105" s="522" t="s">
        <v>1103</v>
      </c>
      <c r="C105" s="623">
        <v>954115.62</v>
      </c>
      <c r="D105" s="623">
        <v>1016830.77</v>
      </c>
      <c r="E105" s="618">
        <f t="shared" si="14"/>
        <v>-954115.62</v>
      </c>
      <c r="F105" s="618">
        <f t="shared" si="14"/>
        <v>-1016830.77</v>
      </c>
      <c r="G105" s="618">
        <f t="shared" si="12"/>
        <v>0</v>
      </c>
      <c r="H105" s="618"/>
      <c r="I105" s="618"/>
      <c r="J105" s="618"/>
      <c r="K105" s="618"/>
      <c r="L105" s="618"/>
      <c r="M105" s="618"/>
      <c r="N105" s="618"/>
      <c r="O105" s="618"/>
      <c r="P105" s="522"/>
      <c r="Q105" s="522"/>
      <c r="R105" s="522"/>
      <c r="S105" s="522"/>
      <c r="T105" s="440"/>
      <c r="U105" s="440"/>
    </row>
    <row r="106" spans="1:21">
      <c r="A106" s="548">
        <f t="shared" si="8"/>
        <v>85</v>
      </c>
      <c r="B106" s="522" t="s">
        <v>1104</v>
      </c>
      <c r="C106" s="623">
        <v>0</v>
      </c>
      <c r="D106" s="623">
        <v>0</v>
      </c>
      <c r="E106" s="618">
        <f t="shared" si="14"/>
        <v>0</v>
      </c>
      <c r="F106" s="618">
        <f t="shared" si="14"/>
        <v>0</v>
      </c>
      <c r="G106" s="618">
        <f t="shared" si="12"/>
        <v>0</v>
      </c>
      <c r="H106" s="618"/>
      <c r="I106" s="618"/>
      <c r="J106" s="618"/>
      <c r="K106" s="618"/>
      <c r="L106" s="618"/>
      <c r="M106" s="618"/>
      <c r="N106" s="618"/>
      <c r="O106" s="618"/>
      <c r="P106" s="522"/>
      <c r="Q106" s="522"/>
      <c r="R106" s="522"/>
      <c r="S106" s="522"/>
      <c r="T106" s="440"/>
      <c r="U106" s="440"/>
    </row>
    <row r="107" spans="1:21">
      <c r="A107" s="548">
        <f t="shared" si="8"/>
        <v>86</v>
      </c>
      <c r="B107" s="604" t="s">
        <v>1105</v>
      </c>
      <c r="C107" s="621">
        <v>0</v>
      </c>
      <c r="D107" s="621">
        <v>0</v>
      </c>
      <c r="E107" s="621">
        <f t="shared" si="14"/>
        <v>0</v>
      </c>
      <c r="F107" s="621">
        <f t="shared" si="14"/>
        <v>0</v>
      </c>
      <c r="G107" s="621">
        <f t="shared" si="12"/>
        <v>0</v>
      </c>
      <c r="H107" s="621"/>
      <c r="I107" s="621"/>
      <c r="J107" s="621"/>
      <c r="K107" s="621"/>
      <c r="L107" s="621"/>
      <c r="M107" s="621"/>
      <c r="N107" s="621"/>
      <c r="O107" s="621"/>
      <c r="P107" s="522"/>
      <c r="Q107" s="522"/>
      <c r="R107" s="522"/>
      <c r="S107" s="522"/>
      <c r="T107" s="440"/>
      <c r="U107" s="440"/>
    </row>
    <row r="108" spans="1:21">
      <c r="A108" s="548">
        <f t="shared" si="8"/>
        <v>87</v>
      </c>
      <c r="B108" s="604" t="s">
        <v>1106</v>
      </c>
      <c r="C108" s="621">
        <v>0</v>
      </c>
      <c r="D108" s="621">
        <v>0</v>
      </c>
      <c r="E108" s="621">
        <f t="shared" si="14"/>
        <v>0</v>
      </c>
      <c r="F108" s="621">
        <f t="shared" si="14"/>
        <v>0</v>
      </c>
      <c r="G108" s="621">
        <f>ROUND(SUM(C108:F108)/2,0)</f>
        <v>0</v>
      </c>
      <c r="H108" s="621"/>
      <c r="I108" s="621"/>
      <c r="J108" s="621"/>
      <c r="K108" s="621"/>
      <c r="L108" s="621"/>
      <c r="M108" s="621"/>
      <c r="N108" s="621"/>
      <c r="O108" s="621"/>
      <c r="P108" s="522"/>
      <c r="Q108" s="522"/>
      <c r="R108" s="522"/>
      <c r="S108" s="522"/>
      <c r="T108" s="440"/>
      <c r="U108" s="440"/>
    </row>
    <row r="109" spans="1:21">
      <c r="A109" s="548">
        <f t="shared" si="8"/>
        <v>88</v>
      </c>
      <c r="B109" s="604" t="s">
        <v>1107</v>
      </c>
      <c r="C109" s="621">
        <v>-256198.47</v>
      </c>
      <c r="D109" s="621">
        <v>-7406027.3099999996</v>
      </c>
      <c r="E109" s="621">
        <f t="shared" si="14"/>
        <v>256198.47</v>
      </c>
      <c r="F109" s="621">
        <f t="shared" si="14"/>
        <v>7406027.3099999996</v>
      </c>
      <c r="G109" s="621">
        <f>ROUND(SUM(C109:F109)/2,0)</f>
        <v>0</v>
      </c>
      <c r="H109" s="621"/>
      <c r="I109" s="621"/>
      <c r="J109" s="621"/>
      <c r="K109" s="621"/>
      <c r="L109" s="621"/>
      <c r="M109" s="621"/>
      <c r="N109" s="621"/>
      <c r="O109" s="621"/>
      <c r="P109" s="522"/>
      <c r="Q109" s="522"/>
      <c r="R109" s="522"/>
      <c r="S109" s="522"/>
      <c r="T109" s="440"/>
      <c r="U109" s="440"/>
    </row>
    <row r="110" spans="1:21">
      <c r="A110" s="548">
        <f t="shared" si="8"/>
        <v>89</v>
      </c>
      <c r="B110" s="604" t="s">
        <v>1108</v>
      </c>
      <c r="C110" s="621">
        <v>0</v>
      </c>
      <c r="D110" s="621">
        <v>0</v>
      </c>
      <c r="E110" s="621">
        <f t="shared" si="14"/>
        <v>0</v>
      </c>
      <c r="F110" s="621">
        <f t="shared" si="14"/>
        <v>0</v>
      </c>
      <c r="G110" s="621">
        <f>ROUND(SUM(C110:F110)/2,0)</f>
        <v>0</v>
      </c>
      <c r="H110" s="621"/>
      <c r="I110" s="621"/>
      <c r="J110" s="621"/>
      <c r="K110" s="621"/>
      <c r="L110" s="621"/>
      <c r="M110" s="621"/>
      <c r="N110" s="621"/>
      <c r="O110" s="621"/>
      <c r="P110" s="522"/>
      <c r="Q110" s="522"/>
      <c r="R110" s="522"/>
      <c r="S110" s="522"/>
      <c r="T110" s="440"/>
      <c r="U110" s="440"/>
    </row>
    <row r="111" spans="1:21">
      <c r="A111" s="548">
        <f t="shared" si="8"/>
        <v>90</v>
      </c>
      <c r="B111" s="535" t="s">
        <v>1109</v>
      </c>
      <c r="C111" s="623">
        <v>1469916.26</v>
      </c>
      <c r="D111" s="623">
        <v>1849443.58</v>
      </c>
      <c r="E111" s="618">
        <f t="shared" si="14"/>
        <v>-1469916.26</v>
      </c>
      <c r="F111" s="618">
        <f t="shared" si="14"/>
        <v>-1849443.58</v>
      </c>
      <c r="G111" s="618">
        <f t="shared" si="12"/>
        <v>0</v>
      </c>
      <c r="H111" s="618"/>
      <c r="I111" s="618"/>
      <c r="J111" s="618"/>
      <c r="K111" s="618"/>
      <c r="L111" s="618"/>
      <c r="M111" s="618"/>
      <c r="N111" s="618"/>
      <c r="O111" s="618"/>
      <c r="P111" s="522"/>
      <c r="Q111" s="522"/>
      <c r="R111" s="522"/>
      <c r="S111" s="522"/>
      <c r="T111" s="440"/>
      <c r="U111" s="440"/>
    </row>
    <row r="112" spans="1:21">
      <c r="A112" s="548">
        <f t="shared" si="8"/>
        <v>91</v>
      </c>
      <c r="B112" s="535" t="s">
        <v>1110</v>
      </c>
      <c r="C112" s="623">
        <v>68338.559999999998</v>
      </c>
      <c r="D112" s="623">
        <v>72609.72</v>
      </c>
      <c r="E112" s="618">
        <f t="shared" si="14"/>
        <v>-68338.559999999998</v>
      </c>
      <c r="F112" s="618">
        <f t="shared" si="14"/>
        <v>-72609.72</v>
      </c>
      <c r="G112" s="618">
        <f>ROUND(SUM(C112:F112)/2,0)</f>
        <v>0</v>
      </c>
      <c r="H112" s="618"/>
      <c r="I112" s="618"/>
      <c r="J112" s="618"/>
      <c r="K112" s="618"/>
      <c r="L112" s="618"/>
      <c r="M112" s="618"/>
      <c r="N112" s="618"/>
      <c r="O112" s="618"/>
      <c r="P112" s="522"/>
      <c r="Q112" s="522"/>
      <c r="R112" s="522"/>
      <c r="S112" s="522"/>
      <c r="T112" s="440"/>
      <c r="U112" s="440"/>
    </row>
    <row r="113" spans="1:21">
      <c r="A113" s="548">
        <f t="shared" si="8"/>
        <v>92</v>
      </c>
      <c r="B113" s="535" t="s">
        <v>1111</v>
      </c>
      <c r="C113" s="623">
        <v>0</v>
      </c>
      <c r="D113" s="623">
        <v>0</v>
      </c>
      <c r="E113" s="618">
        <f>-C113</f>
        <v>0</v>
      </c>
      <c r="F113" s="618">
        <f>-D113</f>
        <v>0</v>
      </c>
      <c r="G113" s="618">
        <f>ROUND(SUM(C113:F113)/2,0)</f>
        <v>0</v>
      </c>
      <c r="H113" s="618"/>
      <c r="I113" s="618">
        <f t="shared" ref="I113:K114" si="15">(M113+Q113)/2</f>
        <v>0</v>
      </c>
      <c r="J113" s="618">
        <f t="shared" si="15"/>
        <v>0</v>
      </c>
      <c r="K113" s="618">
        <f t="shared" si="15"/>
        <v>0</v>
      </c>
      <c r="L113" s="618"/>
      <c r="M113" s="618"/>
      <c r="N113" s="618"/>
      <c r="O113" s="618"/>
      <c r="P113" s="522"/>
      <c r="Q113" s="522"/>
      <c r="R113" s="522"/>
      <c r="S113" s="522"/>
      <c r="T113" s="440"/>
      <c r="U113" s="440"/>
    </row>
    <row r="114" spans="1:21">
      <c r="A114" s="548">
        <f t="shared" si="8"/>
        <v>93</v>
      </c>
      <c r="B114" s="535" t="s">
        <v>1112</v>
      </c>
      <c r="C114" s="618">
        <f>SUM(M114:O114)</f>
        <v>1536960.24</v>
      </c>
      <c r="D114" s="618">
        <f>SUM(Q114:S114)</f>
        <v>15880252.01</v>
      </c>
      <c r="E114" s="618"/>
      <c r="F114" s="618"/>
      <c r="G114" s="618">
        <f>ROUND(SUM(C114:F114)/2,0)</f>
        <v>8708606</v>
      </c>
      <c r="H114" s="618"/>
      <c r="I114" s="618">
        <f t="shared" si="15"/>
        <v>8708606.125</v>
      </c>
      <c r="J114" s="618">
        <f t="shared" si="15"/>
        <v>0</v>
      </c>
      <c r="K114" s="618">
        <f t="shared" si="15"/>
        <v>0</v>
      </c>
      <c r="L114" s="618"/>
      <c r="M114" s="623">
        <v>1536960.24</v>
      </c>
      <c r="N114" s="623">
        <v>0</v>
      </c>
      <c r="O114" s="623">
        <v>0</v>
      </c>
      <c r="P114" s="522"/>
      <c r="Q114" s="526">
        <v>15880252.01</v>
      </c>
      <c r="R114" s="526">
        <v>0</v>
      </c>
      <c r="S114" s="526">
        <v>0</v>
      </c>
      <c r="T114" s="440"/>
      <c r="U114" s="440"/>
    </row>
    <row r="115" spans="1:21">
      <c r="A115" s="548">
        <f t="shared" si="8"/>
        <v>94</v>
      </c>
      <c r="B115" s="522"/>
      <c r="C115" s="618"/>
      <c r="D115" s="618"/>
      <c r="E115" s="618"/>
      <c r="F115" s="618"/>
      <c r="G115" s="618"/>
      <c r="H115" s="618"/>
      <c r="I115" s="618"/>
      <c r="J115" s="618"/>
      <c r="K115" s="618"/>
      <c r="L115" s="618"/>
      <c r="M115" s="618"/>
      <c r="N115" s="618"/>
      <c r="O115" s="618"/>
      <c r="P115" s="522"/>
      <c r="Q115" s="522"/>
      <c r="R115" s="522"/>
      <c r="S115" s="522"/>
      <c r="T115" s="440"/>
      <c r="U115" s="440"/>
    </row>
    <row r="116" spans="1:21">
      <c r="A116" s="548">
        <f t="shared" si="8"/>
        <v>95</v>
      </c>
      <c r="B116" s="535" t="s">
        <v>1113</v>
      </c>
      <c r="C116" s="624">
        <f>SUM(C24:C115)</f>
        <v>398585901.18999994</v>
      </c>
      <c r="D116" s="624">
        <f>SUM(D24:D115)</f>
        <v>429804221.19</v>
      </c>
      <c r="E116" s="624">
        <f>SUM(E24:E115)</f>
        <v>-86339603.280000016</v>
      </c>
      <c r="F116" s="624">
        <f>SUM(F24:F115)</f>
        <v>-66495705.75999999</v>
      </c>
      <c r="G116" s="624">
        <f>SUM(G24:G115)</f>
        <v>337777404</v>
      </c>
      <c r="H116" s="618"/>
      <c r="I116" s="624">
        <f>SUM(I24:I115)</f>
        <v>187652982.76000002</v>
      </c>
      <c r="J116" s="624">
        <f>SUM(J24:J115)</f>
        <v>53816639.280000001</v>
      </c>
      <c r="K116" s="624">
        <f>SUM(K24:K115)</f>
        <v>96307784.63000001</v>
      </c>
      <c r="L116" s="618"/>
      <c r="M116" s="624">
        <f>SUM(M24:M115)</f>
        <v>161293288.84999993</v>
      </c>
      <c r="N116" s="624">
        <f>SUM(N24:N115)</f>
        <v>55889586.940000005</v>
      </c>
      <c r="O116" s="624">
        <f>SUM(O24:O115)</f>
        <v>95063422.11999999</v>
      </c>
      <c r="P116" s="522"/>
      <c r="Q116" s="527">
        <f>SUM(Q24:Q115)</f>
        <v>214012676.66999999</v>
      </c>
      <c r="R116" s="527">
        <f>SUM(R24:R115)</f>
        <v>51743691.619999997</v>
      </c>
      <c r="S116" s="527">
        <f>SUM(S24:S115)</f>
        <v>97552147.139999971</v>
      </c>
      <c r="T116" s="440"/>
      <c r="U116" s="440"/>
    </row>
    <row r="117" spans="1:21">
      <c r="A117" s="515"/>
      <c r="B117" s="522"/>
      <c r="C117" s="522"/>
      <c r="D117" s="522"/>
      <c r="E117" s="522"/>
      <c r="F117" s="522"/>
      <c r="G117" s="522"/>
      <c r="H117" s="522"/>
      <c r="I117" s="522"/>
      <c r="J117" s="522"/>
      <c r="K117" s="522"/>
      <c r="L117" s="522"/>
      <c r="M117" s="522"/>
      <c r="N117" s="522"/>
      <c r="O117" s="522"/>
      <c r="P117" s="522"/>
      <c r="Q117" s="522"/>
      <c r="R117" s="522"/>
      <c r="S117" s="522"/>
      <c r="T117" s="440"/>
      <c r="U117" s="440"/>
    </row>
    <row r="118" spans="1:21">
      <c r="A118" s="515"/>
      <c r="B118" s="604" t="s">
        <v>695</v>
      </c>
      <c r="C118" s="604"/>
      <c r="D118" s="604"/>
      <c r="E118" s="604"/>
      <c r="F118" s="604"/>
      <c r="G118" s="604"/>
      <c r="H118" s="604"/>
      <c r="I118" s="604"/>
      <c r="J118" s="604"/>
      <c r="K118" s="604"/>
      <c r="L118" s="604"/>
      <c r="M118" s="621">
        <f>M86+M83+M82+M81+M80+M78+M52+M51+M50+M48+M47+M43+M42+M41+M40+M39+M38</f>
        <v>9264970.6900000032</v>
      </c>
      <c r="N118" s="621">
        <f t="shared" ref="N118:O118" si="16">N86+N83+N82+N81+N80+N78+N52+N51+N50+N48+N47+N43+N42+N41+N40+N39+N38</f>
        <v>123981.12000000002</v>
      </c>
      <c r="O118" s="621">
        <f t="shared" si="16"/>
        <v>12566066.58</v>
      </c>
      <c r="P118" s="522"/>
      <c r="Q118" s="522"/>
      <c r="R118" s="522"/>
      <c r="S118" s="522"/>
      <c r="T118" s="440"/>
      <c r="U118" s="440"/>
    </row>
    <row r="119" spans="1:21">
      <c r="A119" s="515"/>
      <c r="B119" s="609" t="s">
        <v>696</v>
      </c>
      <c r="C119" s="609"/>
      <c r="D119" s="609"/>
      <c r="E119" s="609"/>
      <c r="F119" s="609"/>
      <c r="G119" s="609"/>
      <c r="H119" s="609"/>
      <c r="I119" s="609"/>
      <c r="J119" s="609"/>
      <c r="K119" s="609"/>
      <c r="L119" s="609"/>
      <c r="M119" s="609">
        <f>M76+M73+M72+M65+M57+M46+M45+M37+M36+M33+M32</f>
        <v>1770179.8400000003</v>
      </c>
      <c r="N119" s="609">
        <f t="shared" ref="N119:O119" si="17">N76+N73+N72+N65+N57+N46+N45+N37+N36+N33+N32</f>
        <v>371202.52</v>
      </c>
      <c r="O119" s="609">
        <f t="shared" si="17"/>
        <v>0</v>
      </c>
      <c r="P119" s="522"/>
      <c r="Q119" s="522"/>
      <c r="R119" s="522"/>
      <c r="S119" s="522"/>
      <c r="T119" s="440"/>
      <c r="U119" s="440"/>
    </row>
    <row r="120" spans="1:21">
      <c r="A120" s="515"/>
      <c r="B120" s="533" t="s">
        <v>295</v>
      </c>
      <c r="C120" s="533"/>
      <c r="D120" s="533"/>
      <c r="E120" s="533"/>
      <c r="F120" s="533"/>
      <c r="G120" s="533"/>
      <c r="H120" s="533"/>
      <c r="I120" s="533"/>
      <c r="J120" s="533"/>
      <c r="K120" s="533"/>
      <c r="L120" s="533"/>
      <c r="M120" s="533">
        <f>M85+M84</f>
        <v>48730036.140000001</v>
      </c>
      <c r="N120" s="533">
        <f t="shared" ref="N120:O120" si="18">N85+N84</f>
        <v>7676.9</v>
      </c>
      <c r="O120" s="533">
        <f t="shared" si="18"/>
        <v>387450.09</v>
      </c>
      <c r="P120" s="522"/>
      <c r="Q120" s="522"/>
      <c r="R120" s="522"/>
      <c r="S120" s="522"/>
      <c r="T120" s="440"/>
      <c r="U120" s="440"/>
    </row>
    <row r="121" spans="1:21">
      <c r="A121" s="515"/>
      <c r="B121" s="516" t="s">
        <v>697</v>
      </c>
      <c r="C121" s="522"/>
      <c r="D121" s="522"/>
      <c r="E121" s="522"/>
      <c r="F121" s="522"/>
      <c r="G121" s="522"/>
      <c r="H121" s="522"/>
      <c r="I121" s="522"/>
      <c r="J121" s="522"/>
      <c r="K121" s="522"/>
      <c r="L121" s="522"/>
      <c r="M121" s="522">
        <f>M116-M118-M119-M120</f>
        <v>101528102.17999993</v>
      </c>
      <c r="N121" s="522">
        <f t="shared" ref="N121:O121" si="19">N116-N118-N119-N120</f>
        <v>55386726.400000006</v>
      </c>
      <c r="O121" s="522">
        <f t="shared" si="19"/>
        <v>82109905.449999988</v>
      </c>
      <c r="P121" s="522"/>
      <c r="Q121" s="522"/>
      <c r="R121" s="522"/>
      <c r="S121" s="522"/>
      <c r="T121" s="440"/>
      <c r="U121" s="440"/>
    </row>
    <row r="122" spans="1:21">
      <c r="A122" s="515"/>
      <c r="B122" s="611" t="s">
        <v>699</v>
      </c>
      <c r="C122" s="611"/>
      <c r="D122" s="611"/>
      <c r="E122" s="611"/>
      <c r="F122" s="611"/>
      <c r="G122" s="611"/>
      <c r="H122" s="611"/>
      <c r="I122" s="611"/>
      <c r="J122" s="611"/>
      <c r="K122" s="611"/>
      <c r="L122" s="611"/>
      <c r="M122" s="611">
        <f>N116+O116+M120</f>
        <v>199683045.19999999</v>
      </c>
      <c r="N122" s="611"/>
      <c r="O122" s="611"/>
      <c r="P122" s="522"/>
      <c r="Q122" s="522"/>
      <c r="R122" s="522"/>
      <c r="S122" s="522"/>
      <c r="T122" s="440"/>
      <c r="U122" s="440"/>
    </row>
    <row r="123" spans="1:21">
      <c r="A123" s="515"/>
      <c r="B123" s="522"/>
      <c r="C123" s="522"/>
      <c r="D123" s="522"/>
      <c r="E123" s="522"/>
      <c r="F123" s="522"/>
      <c r="G123" s="522"/>
      <c r="H123" s="522"/>
      <c r="I123" s="522"/>
      <c r="J123" s="522"/>
      <c r="K123" s="522"/>
      <c r="L123" s="522"/>
      <c r="M123" s="522"/>
      <c r="N123" s="522"/>
      <c r="O123" s="522"/>
      <c r="P123" s="522"/>
      <c r="Q123" s="522"/>
      <c r="R123" s="522"/>
      <c r="S123" s="522"/>
      <c r="T123" s="440"/>
      <c r="U123" s="440"/>
    </row>
    <row r="124" spans="1:21">
      <c r="A124" s="515"/>
      <c r="B124" s="522"/>
      <c r="C124" s="522"/>
      <c r="D124" s="522"/>
      <c r="E124" s="522"/>
      <c r="F124" s="522"/>
      <c r="G124" s="522"/>
      <c r="H124" s="522"/>
      <c r="I124" s="522"/>
      <c r="J124" s="522"/>
      <c r="K124" s="522"/>
      <c r="L124" s="522"/>
      <c r="M124" s="522"/>
      <c r="N124" s="522"/>
      <c r="O124" s="522"/>
      <c r="P124" s="522"/>
      <c r="Q124" s="522"/>
      <c r="R124" s="522"/>
      <c r="S124" s="522"/>
      <c r="T124" s="440"/>
      <c r="U124" s="440"/>
    </row>
    <row r="125" spans="1:21">
      <c r="A125" s="515"/>
      <c r="B125" s="522"/>
      <c r="C125" s="522"/>
      <c r="D125" s="522"/>
      <c r="E125" s="522"/>
      <c r="F125" s="522"/>
      <c r="G125" s="522"/>
      <c r="H125" s="522"/>
      <c r="I125" s="522"/>
      <c r="J125" s="522"/>
      <c r="K125" s="522"/>
      <c r="L125" s="522"/>
      <c r="M125" s="522"/>
      <c r="N125" s="522"/>
      <c r="O125" s="522"/>
      <c r="P125" s="522"/>
      <c r="Q125" s="522"/>
      <c r="R125" s="522"/>
      <c r="S125" s="522"/>
      <c r="T125" s="440"/>
      <c r="U125" s="440"/>
    </row>
    <row r="126" spans="1:21">
      <c r="A126" s="515"/>
      <c r="B126" s="522"/>
      <c r="C126" s="522"/>
      <c r="D126" s="522"/>
      <c r="E126" s="522"/>
      <c r="F126" s="522"/>
      <c r="G126" s="522"/>
      <c r="H126" s="522"/>
      <c r="I126" s="522"/>
      <c r="J126" s="522"/>
      <c r="K126" s="522"/>
      <c r="L126" s="522"/>
      <c r="M126" s="522"/>
      <c r="N126" s="522"/>
      <c r="O126" s="522"/>
      <c r="P126" s="522"/>
      <c r="Q126" s="522"/>
      <c r="R126" s="522"/>
      <c r="S126" s="522"/>
      <c r="T126" s="440"/>
      <c r="U126" s="440"/>
    </row>
    <row r="127" spans="1:21">
      <c r="A127" s="515"/>
      <c r="B127" s="522"/>
      <c r="C127" s="522"/>
      <c r="D127" s="522"/>
      <c r="E127" s="522"/>
      <c r="F127" s="522"/>
      <c r="G127" s="522"/>
      <c r="H127" s="522"/>
      <c r="I127" s="522"/>
      <c r="J127" s="522"/>
      <c r="K127" s="522"/>
      <c r="L127" s="522"/>
      <c r="M127" s="522"/>
      <c r="N127" s="522"/>
      <c r="O127" s="522"/>
      <c r="P127" s="522"/>
      <c r="Q127" s="522"/>
      <c r="R127" s="522"/>
      <c r="S127" s="522"/>
      <c r="T127" s="440"/>
      <c r="U127" s="440"/>
    </row>
    <row r="128" spans="1:21">
      <c r="A128" s="515"/>
      <c r="B128" s="522"/>
      <c r="C128" s="522"/>
      <c r="D128" s="522"/>
      <c r="E128" s="522"/>
      <c r="F128" s="522"/>
      <c r="G128" s="522"/>
      <c r="H128" s="522"/>
      <c r="I128" s="522"/>
      <c r="J128" s="522"/>
      <c r="K128" s="522"/>
      <c r="L128" s="522"/>
      <c r="M128" s="522"/>
      <c r="N128" s="522"/>
      <c r="O128" s="522"/>
      <c r="P128" s="522"/>
      <c r="Q128" s="522"/>
      <c r="R128" s="522"/>
      <c r="S128" s="522"/>
      <c r="T128" s="440"/>
      <c r="U128" s="440"/>
    </row>
    <row r="129" spans="1:21">
      <c r="A129" s="515"/>
      <c r="B129" s="522"/>
      <c r="C129" s="522"/>
      <c r="D129" s="522"/>
      <c r="E129" s="522"/>
      <c r="F129" s="522"/>
      <c r="G129" s="522"/>
      <c r="H129" s="522"/>
      <c r="I129" s="522"/>
      <c r="J129" s="522"/>
      <c r="K129" s="522"/>
      <c r="L129" s="522"/>
      <c r="M129" s="522"/>
      <c r="N129" s="522"/>
      <c r="O129" s="522"/>
      <c r="P129" s="522"/>
      <c r="Q129" s="522"/>
      <c r="R129" s="522"/>
      <c r="S129" s="522"/>
      <c r="T129" s="440"/>
      <c r="U129" s="440"/>
    </row>
    <row r="130" spans="1:21">
      <c r="A130" s="515"/>
      <c r="B130" s="522"/>
      <c r="C130" s="522"/>
      <c r="D130" s="522"/>
      <c r="E130" s="522"/>
      <c r="F130" s="522"/>
      <c r="G130" s="522"/>
      <c r="H130" s="522"/>
      <c r="I130" s="522"/>
      <c r="J130" s="522"/>
      <c r="K130" s="522"/>
      <c r="L130" s="522"/>
      <c r="M130" s="522"/>
      <c r="N130" s="522"/>
      <c r="O130" s="522"/>
      <c r="P130" s="522"/>
      <c r="Q130" s="522"/>
      <c r="R130" s="522"/>
      <c r="S130" s="522"/>
      <c r="T130" s="440"/>
      <c r="U130" s="440"/>
    </row>
    <row r="131" spans="1:21">
      <c r="A131" s="515"/>
      <c r="B131" s="522"/>
      <c r="C131" s="522"/>
      <c r="D131" s="522"/>
      <c r="E131" s="522"/>
      <c r="F131" s="522"/>
      <c r="G131" s="522"/>
      <c r="H131" s="522"/>
      <c r="I131" s="522"/>
      <c r="J131" s="522"/>
      <c r="K131" s="522"/>
      <c r="L131" s="522"/>
      <c r="M131" s="522"/>
      <c r="N131" s="522"/>
      <c r="O131" s="522"/>
      <c r="P131" s="522"/>
      <c r="Q131" s="522"/>
      <c r="R131" s="522"/>
      <c r="S131" s="522"/>
      <c r="T131" s="440"/>
      <c r="U131" s="440"/>
    </row>
    <row r="132" spans="1:21">
      <c r="A132" s="515"/>
      <c r="B132" s="522"/>
      <c r="C132" s="522"/>
      <c r="D132" s="522"/>
      <c r="E132" s="522"/>
      <c r="F132" s="522"/>
      <c r="G132" s="522"/>
      <c r="H132" s="522"/>
      <c r="I132" s="522"/>
      <c r="J132" s="522"/>
      <c r="K132" s="522"/>
      <c r="L132" s="522"/>
      <c r="M132" s="522"/>
      <c r="N132" s="522"/>
      <c r="O132" s="522"/>
      <c r="P132" s="522"/>
      <c r="Q132" s="522"/>
      <c r="R132" s="522"/>
      <c r="S132" s="522"/>
      <c r="T132" s="440"/>
      <c r="U132" s="440"/>
    </row>
    <row r="133" spans="1:21">
      <c r="A133" s="515"/>
      <c r="B133" s="522"/>
      <c r="C133" s="522"/>
      <c r="D133" s="522"/>
      <c r="E133" s="611"/>
      <c r="F133" s="522"/>
      <c r="G133" s="522"/>
      <c r="H133" s="522"/>
      <c r="I133" s="522"/>
      <c r="J133" s="522"/>
      <c r="K133" s="522"/>
      <c r="L133" s="522"/>
      <c r="M133" s="522"/>
      <c r="N133" s="522"/>
      <c r="O133" s="522"/>
      <c r="P133" s="522"/>
      <c r="Q133" s="522"/>
      <c r="R133" s="522"/>
      <c r="S133" s="522"/>
      <c r="T133" s="440"/>
      <c r="U133" s="440"/>
    </row>
    <row r="134" spans="1:21">
      <c r="A134" s="537"/>
      <c r="B134" s="522"/>
      <c r="C134" s="550"/>
      <c r="D134" s="550"/>
      <c r="E134" s="550"/>
      <c r="F134" s="550"/>
      <c r="G134" s="550"/>
      <c r="H134" s="550"/>
      <c r="I134" s="550"/>
      <c r="J134" s="550"/>
      <c r="K134" s="550"/>
      <c r="L134" s="550"/>
      <c r="M134" s="522"/>
      <c r="N134" s="522"/>
      <c r="O134" s="522"/>
      <c r="P134" s="522"/>
      <c r="Q134" s="522"/>
      <c r="R134" s="522"/>
      <c r="S134" s="522"/>
      <c r="T134" s="440"/>
      <c r="U134" s="440"/>
    </row>
    <row r="135" spans="1:21">
      <c r="A135" s="537"/>
      <c r="B135" s="522"/>
      <c r="C135" s="550"/>
      <c r="D135" s="550"/>
      <c r="E135" s="550"/>
      <c r="F135" s="550"/>
      <c r="G135" s="550"/>
      <c r="H135" s="550"/>
      <c r="I135" s="550"/>
      <c r="J135" s="550"/>
      <c r="K135" s="550"/>
      <c r="L135" s="550"/>
      <c r="M135" s="522"/>
      <c r="N135" s="522"/>
      <c r="O135" s="522"/>
      <c r="P135" s="522"/>
      <c r="Q135" s="522"/>
      <c r="R135" s="522"/>
      <c r="S135" s="522"/>
      <c r="T135" s="440"/>
      <c r="U135" s="440"/>
    </row>
    <row r="136" spans="1:21">
      <c r="A136" s="537"/>
      <c r="B136" s="522"/>
      <c r="C136" s="550"/>
      <c r="D136" s="550"/>
      <c r="E136" s="550"/>
      <c r="F136" s="550"/>
      <c r="G136" s="550"/>
      <c r="H136" s="550"/>
      <c r="I136" s="550"/>
      <c r="J136" s="550"/>
      <c r="K136" s="550"/>
      <c r="L136" s="550"/>
      <c r="M136" s="522"/>
      <c r="N136" s="522"/>
      <c r="O136" s="522"/>
      <c r="P136" s="522"/>
      <c r="Q136" s="522"/>
      <c r="R136" s="522"/>
      <c r="S136" s="522"/>
      <c r="T136" s="440"/>
      <c r="U136" s="440"/>
    </row>
    <row r="137" spans="1:21">
      <c r="A137" s="537"/>
      <c r="B137" s="522"/>
      <c r="C137" s="550"/>
      <c r="D137" s="550"/>
      <c r="E137" s="550"/>
      <c r="F137" s="550"/>
      <c r="G137" s="550"/>
      <c r="H137" s="550"/>
      <c r="I137" s="550"/>
      <c r="J137" s="550"/>
      <c r="K137" s="550"/>
      <c r="L137" s="550"/>
      <c r="M137" s="522"/>
      <c r="N137" s="522"/>
      <c r="O137" s="522"/>
      <c r="P137" s="522"/>
      <c r="Q137" s="522"/>
      <c r="R137" s="522"/>
      <c r="S137" s="522"/>
      <c r="T137" s="440"/>
      <c r="U137" s="440"/>
    </row>
    <row r="138" spans="1:21">
      <c r="A138" s="537"/>
      <c r="B138" s="522"/>
      <c r="C138" s="550"/>
      <c r="D138" s="550"/>
      <c r="E138" s="550"/>
      <c r="F138" s="550"/>
      <c r="G138" s="550"/>
      <c r="H138" s="550"/>
      <c r="I138" s="550"/>
      <c r="J138" s="550"/>
      <c r="K138" s="550"/>
      <c r="L138" s="550"/>
      <c r="M138" s="522"/>
      <c r="N138" s="522"/>
      <c r="O138" s="522"/>
      <c r="P138" s="522"/>
      <c r="Q138" s="522"/>
      <c r="R138" s="522"/>
      <c r="S138" s="522"/>
      <c r="T138" s="440"/>
      <c r="U138" s="440"/>
    </row>
    <row r="139" spans="1:21">
      <c r="A139" s="537"/>
      <c r="B139" s="522"/>
      <c r="C139" s="550"/>
      <c r="D139" s="550"/>
      <c r="E139" s="550"/>
      <c r="F139" s="550"/>
      <c r="G139" s="550"/>
      <c r="H139" s="550"/>
      <c r="I139" s="550"/>
      <c r="J139" s="550"/>
      <c r="K139" s="550"/>
      <c r="L139" s="550"/>
      <c r="M139" s="522"/>
      <c r="N139" s="522"/>
      <c r="O139" s="522"/>
      <c r="P139" s="522"/>
      <c r="Q139" s="522"/>
      <c r="R139" s="522"/>
      <c r="S139" s="522"/>
      <c r="T139" s="440"/>
      <c r="U139" s="440"/>
    </row>
    <row r="140" spans="1:21">
      <c r="A140" s="537"/>
      <c r="B140" s="522"/>
      <c r="C140" s="550"/>
      <c r="D140" s="550"/>
      <c r="E140" s="550"/>
      <c r="F140" s="550"/>
      <c r="G140" s="550"/>
      <c r="H140" s="550"/>
      <c r="I140" s="550"/>
      <c r="J140" s="550"/>
      <c r="K140" s="550"/>
      <c r="L140" s="550"/>
      <c r="M140" s="522"/>
      <c r="N140" s="522"/>
      <c r="O140" s="522"/>
      <c r="P140" s="522"/>
      <c r="Q140" s="522"/>
      <c r="R140" s="522"/>
      <c r="S140" s="522"/>
      <c r="T140" s="440"/>
      <c r="U140" s="440"/>
    </row>
    <row r="141" spans="1:21">
      <c r="A141" s="537"/>
      <c r="B141" s="522"/>
      <c r="C141" s="550"/>
      <c r="D141" s="550"/>
      <c r="E141" s="550"/>
      <c r="F141" s="550"/>
      <c r="G141" s="550"/>
      <c r="H141" s="550"/>
      <c r="I141" s="550"/>
      <c r="J141" s="550"/>
      <c r="K141" s="550"/>
      <c r="L141" s="550"/>
      <c r="M141" s="522"/>
      <c r="N141" s="522"/>
      <c r="O141" s="522"/>
      <c r="P141" s="522"/>
      <c r="Q141" s="522"/>
      <c r="R141" s="522"/>
      <c r="S141" s="522"/>
      <c r="T141" s="440"/>
      <c r="U141" s="440"/>
    </row>
    <row r="142" spans="1:21">
      <c r="A142" s="537"/>
      <c r="B142" s="522"/>
      <c r="C142" s="550"/>
      <c r="D142" s="550"/>
      <c r="E142" s="550"/>
      <c r="F142" s="550"/>
      <c r="G142" s="550"/>
      <c r="H142" s="550"/>
      <c r="I142" s="550"/>
      <c r="J142" s="550"/>
      <c r="K142" s="550"/>
      <c r="L142" s="550"/>
      <c r="M142" s="522"/>
      <c r="N142" s="522"/>
      <c r="O142" s="522"/>
      <c r="P142" s="522"/>
      <c r="Q142" s="522"/>
      <c r="R142" s="522"/>
      <c r="S142" s="522"/>
      <c r="T142" s="440"/>
      <c r="U142" s="440"/>
    </row>
    <row r="143" spans="1:21">
      <c r="A143" s="537"/>
      <c r="B143" s="522"/>
      <c r="C143" s="550"/>
      <c r="D143" s="550"/>
      <c r="E143" s="550"/>
      <c r="F143" s="550"/>
      <c r="G143" s="550"/>
      <c r="H143" s="550"/>
      <c r="I143" s="550"/>
      <c r="J143" s="550"/>
      <c r="K143" s="550"/>
      <c r="L143" s="550"/>
      <c r="M143" s="522"/>
      <c r="N143" s="522"/>
      <c r="O143" s="522"/>
      <c r="P143" s="522"/>
      <c r="Q143" s="522"/>
      <c r="R143" s="522"/>
      <c r="S143" s="522"/>
      <c r="T143" s="440"/>
      <c r="U143" s="440"/>
    </row>
    <row r="144" spans="1:21">
      <c r="A144" s="537"/>
      <c r="B144" s="522"/>
      <c r="C144" s="550"/>
      <c r="D144" s="550"/>
      <c r="E144" s="550"/>
      <c r="F144" s="550"/>
      <c r="G144" s="550"/>
      <c r="H144" s="550"/>
      <c r="I144" s="550"/>
      <c r="J144" s="550"/>
      <c r="K144" s="550"/>
      <c r="L144" s="550"/>
      <c r="M144" s="522"/>
      <c r="N144" s="522"/>
      <c r="O144" s="522"/>
      <c r="P144" s="522"/>
      <c r="Q144" s="522"/>
      <c r="R144" s="522"/>
      <c r="S144" s="522"/>
      <c r="T144" s="440"/>
      <c r="U144" s="440"/>
    </row>
    <row r="145" spans="1:21">
      <c r="A145" s="537"/>
      <c r="B145" s="522"/>
      <c r="C145" s="550"/>
      <c r="D145" s="550"/>
      <c r="E145" s="550"/>
      <c r="F145" s="550"/>
      <c r="G145" s="550"/>
      <c r="H145" s="550"/>
      <c r="I145" s="550"/>
      <c r="J145" s="550"/>
      <c r="K145" s="550"/>
      <c r="L145" s="550"/>
      <c r="M145" s="522"/>
      <c r="N145" s="522"/>
      <c r="O145" s="522"/>
      <c r="P145" s="522"/>
      <c r="Q145" s="522"/>
      <c r="R145" s="522"/>
      <c r="S145" s="522"/>
      <c r="T145" s="440"/>
      <c r="U145" s="440"/>
    </row>
    <row r="146" spans="1:21">
      <c r="A146" s="537"/>
      <c r="B146" s="522"/>
      <c r="C146" s="550"/>
      <c r="D146" s="550"/>
      <c r="E146" s="550"/>
      <c r="F146" s="550"/>
      <c r="G146" s="550"/>
      <c r="H146" s="550"/>
      <c r="I146" s="550"/>
      <c r="J146" s="550"/>
      <c r="K146" s="550"/>
      <c r="L146" s="550"/>
      <c r="M146" s="522"/>
      <c r="N146" s="522"/>
      <c r="O146" s="522"/>
      <c r="P146" s="522"/>
      <c r="Q146" s="522"/>
      <c r="R146" s="522"/>
      <c r="S146" s="522"/>
      <c r="T146" s="440"/>
      <c r="U146" s="440"/>
    </row>
    <row r="147" spans="1:21">
      <c r="A147" s="537"/>
      <c r="B147" s="522"/>
      <c r="C147" s="550"/>
      <c r="D147" s="550"/>
      <c r="E147" s="550"/>
      <c r="F147" s="550"/>
      <c r="G147" s="550"/>
      <c r="H147" s="550"/>
      <c r="I147" s="550"/>
      <c r="J147" s="550"/>
      <c r="K147" s="550"/>
      <c r="L147" s="550"/>
      <c r="M147" s="522"/>
      <c r="N147" s="522"/>
      <c r="O147" s="522"/>
      <c r="P147" s="522"/>
      <c r="Q147" s="522"/>
      <c r="R147" s="522"/>
      <c r="S147" s="522"/>
      <c r="T147" s="440"/>
      <c r="U147" s="440"/>
    </row>
    <row r="148" spans="1:21">
      <c r="A148" s="537"/>
      <c r="B148" s="522"/>
      <c r="C148" s="550"/>
      <c r="D148" s="550"/>
      <c r="E148" s="550"/>
      <c r="F148" s="550"/>
      <c r="G148" s="550"/>
      <c r="H148" s="550"/>
      <c r="I148" s="550"/>
      <c r="J148" s="550"/>
      <c r="K148" s="550"/>
      <c r="L148" s="550"/>
      <c r="M148" s="522"/>
      <c r="N148" s="522"/>
      <c r="O148" s="522"/>
      <c r="P148" s="522"/>
      <c r="Q148" s="522"/>
      <c r="R148" s="522"/>
      <c r="S148" s="522"/>
      <c r="T148" s="440"/>
      <c r="U148" s="440"/>
    </row>
    <row r="149" spans="1:21">
      <c r="A149" s="537"/>
      <c r="B149" s="522"/>
      <c r="C149" s="550"/>
      <c r="D149" s="550"/>
      <c r="E149" s="550"/>
      <c r="F149" s="550"/>
      <c r="G149" s="550"/>
      <c r="H149" s="550"/>
      <c r="I149" s="550"/>
      <c r="J149" s="550"/>
      <c r="K149" s="550"/>
      <c r="L149" s="550"/>
      <c r="M149" s="522"/>
      <c r="N149" s="522"/>
      <c r="O149" s="522"/>
      <c r="P149" s="522"/>
      <c r="Q149" s="522"/>
      <c r="R149" s="522"/>
      <c r="S149" s="522"/>
      <c r="T149" s="440"/>
      <c r="U149" s="440"/>
    </row>
    <row r="150" spans="1:21">
      <c r="A150" s="537"/>
      <c r="B150" s="522"/>
      <c r="C150" s="550"/>
      <c r="D150" s="550"/>
      <c r="E150" s="550"/>
      <c r="F150" s="550"/>
      <c r="G150" s="550"/>
      <c r="H150" s="550"/>
      <c r="I150" s="550"/>
      <c r="J150" s="550"/>
      <c r="K150" s="550"/>
      <c r="L150" s="550"/>
      <c r="M150" s="522"/>
      <c r="N150" s="522"/>
      <c r="O150" s="522"/>
      <c r="P150" s="522"/>
      <c r="Q150" s="522"/>
      <c r="R150" s="522"/>
      <c r="S150" s="522"/>
      <c r="T150" s="440"/>
      <c r="U150" s="440"/>
    </row>
    <row r="151" spans="1:21">
      <c r="A151" s="537"/>
      <c r="B151" s="522"/>
      <c r="C151" s="550"/>
      <c r="D151" s="550"/>
      <c r="E151" s="550"/>
      <c r="F151" s="550"/>
      <c r="G151" s="550"/>
      <c r="H151" s="550"/>
      <c r="I151" s="550"/>
      <c r="J151" s="550"/>
      <c r="K151" s="550"/>
      <c r="L151" s="550"/>
      <c r="M151" s="522"/>
      <c r="N151" s="522"/>
      <c r="O151" s="522"/>
      <c r="P151" s="522"/>
      <c r="Q151" s="522"/>
      <c r="R151" s="522"/>
      <c r="S151" s="522"/>
      <c r="T151" s="440"/>
      <c r="U151" s="440"/>
    </row>
    <row r="152" spans="1:21">
      <c r="A152" s="537"/>
      <c r="B152" s="522"/>
      <c r="C152" s="550"/>
      <c r="D152" s="550"/>
      <c r="E152" s="550"/>
      <c r="F152" s="550"/>
      <c r="G152" s="550"/>
      <c r="H152" s="550"/>
      <c r="I152" s="550"/>
      <c r="J152" s="550"/>
      <c r="K152" s="550"/>
      <c r="L152" s="550"/>
      <c r="M152" s="522"/>
      <c r="N152" s="522"/>
      <c r="O152" s="522"/>
      <c r="P152" s="522"/>
      <c r="Q152" s="522"/>
      <c r="R152" s="522"/>
      <c r="S152" s="522"/>
      <c r="T152" s="440"/>
      <c r="U152" s="440"/>
    </row>
    <row r="153" spans="1:21">
      <c r="A153" s="537"/>
      <c r="B153" s="522"/>
      <c r="C153" s="550"/>
      <c r="D153" s="550"/>
      <c r="E153" s="550"/>
      <c r="F153" s="550"/>
      <c r="G153" s="550"/>
      <c r="H153" s="550"/>
      <c r="I153" s="550"/>
      <c r="J153" s="550"/>
      <c r="K153" s="550"/>
      <c r="L153" s="550"/>
      <c r="M153" s="522"/>
      <c r="N153" s="522"/>
      <c r="O153" s="522"/>
      <c r="P153" s="522"/>
      <c r="Q153" s="522"/>
      <c r="R153" s="522"/>
      <c r="S153" s="522"/>
      <c r="T153" s="440"/>
      <c r="U153" s="440"/>
    </row>
    <row r="154" spans="1:21">
      <c r="A154" s="537"/>
      <c r="B154" s="522"/>
      <c r="C154" s="550"/>
      <c r="D154" s="550"/>
      <c r="E154" s="550"/>
      <c r="F154" s="550"/>
      <c r="G154" s="550"/>
      <c r="H154" s="550"/>
      <c r="I154" s="550"/>
      <c r="J154" s="550"/>
      <c r="K154" s="550"/>
      <c r="L154" s="550"/>
      <c r="M154" s="522"/>
      <c r="N154" s="522"/>
      <c r="O154" s="522"/>
      <c r="P154" s="522"/>
      <c r="Q154" s="522"/>
      <c r="R154" s="522"/>
      <c r="S154" s="522"/>
      <c r="T154" s="440"/>
      <c r="U154" s="440"/>
    </row>
    <row r="155" spans="1:21">
      <c r="A155" s="537"/>
      <c r="B155" s="522"/>
      <c r="C155" s="550"/>
      <c r="D155" s="550"/>
      <c r="E155" s="550"/>
      <c r="F155" s="550"/>
      <c r="G155" s="550"/>
      <c r="H155" s="550"/>
      <c r="I155" s="550"/>
      <c r="J155" s="550"/>
      <c r="K155" s="550"/>
      <c r="L155" s="550"/>
      <c r="M155" s="522"/>
      <c r="N155" s="522"/>
      <c r="O155" s="522"/>
      <c r="P155" s="522"/>
      <c r="Q155" s="522"/>
      <c r="R155" s="522"/>
      <c r="S155" s="522"/>
      <c r="T155" s="440"/>
      <c r="U155" s="440"/>
    </row>
    <row r="156" spans="1:21">
      <c r="A156" s="537"/>
      <c r="B156" s="522"/>
      <c r="C156" s="550"/>
      <c r="D156" s="550"/>
      <c r="E156" s="550"/>
      <c r="F156" s="550"/>
      <c r="G156" s="550"/>
      <c r="H156" s="550"/>
      <c r="I156" s="550"/>
      <c r="J156" s="550"/>
      <c r="K156" s="550"/>
      <c r="L156" s="550"/>
      <c r="M156" s="522"/>
      <c r="N156" s="522"/>
      <c r="O156" s="522"/>
      <c r="P156" s="522"/>
      <c r="Q156" s="522"/>
      <c r="R156" s="522"/>
      <c r="S156" s="522"/>
      <c r="T156" s="440"/>
      <c r="U156" s="440"/>
    </row>
    <row r="157" spans="1:21">
      <c r="A157" s="537"/>
      <c r="B157" s="522"/>
      <c r="C157" s="550"/>
      <c r="D157" s="550"/>
      <c r="E157" s="550"/>
      <c r="F157" s="550"/>
      <c r="G157" s="550"/>
      <c r="H157" s="550"/>
      <c r="I157" s="550"/>
      <c r="J157" s="550"/>
      <c r="K157" s="550"/>
      <c r="L157" s="550"/>
      <c r="M157" s="522"/>
      <c r="N157" s="522"/>
      <c r="O157" s="522"/>
      <c r="P157" s="522"/>
      <c r="Q157" s="522"/>
      <c r="R157" s="522"/>
      <c r="S157" s="522"/>
      <c r="T157" s="440"/>
      <c r="U157" s="440"/>
    </row>
    <row r="158" spans="1:21">
      <c r="A158" s="537"/>
      <c r="B158" s="522"/>
      <c r="C158" s="550"/>
      <c r="D158" s="550"/>
      <c r="E158" s="550"/>
      <c r="F158" s="550"/>
      <c r="G158" s="550"/>
      <c r="H158" s="550"/>
      <c r="I158" s="550"/>
      <c r="J158" s="550"/>
      <c r="K158" s="550"/>
      <c r="L158" s="550"/>
      <c r="M158" s="522"/>
      <c r="N158" s="522"/>
      <c r="O158" s="522"/>
      <c r="P158" s="522"/>
      <c r="Q158" s="522"/>
      <c r="R158" s="522"/>
      <c r="S158" s="522"/>
      <c r="T158" s="440"/>
      <c r="U158" s="440"/>
    </row>
    <row r="159" spans="1:21">
      <c r="A159" s="537"/>
      <c r="B159" s="522"/>
      <c r="C159" s="550"/>
      <c r="D159" s="550"/>
      <c r="E159" s="550"/>
      <c r="F159" s="550"/>
      <c r="G159" s="550"/>
      <c r="H159" s="550"/>
      <c r="I159" s="550"/>
      <c r="J159" s="550"/>
      <c r="K159" s="550"/>
      <c r="L159" s="550"/>
      <c r="M159" s="522"/>
      <c r="N159" s="522"/>
      <c r="O159" s="522"/>
      <c r="P159" s="522"/>
      <c r="Q159" s="522"/>
      <c r="R159" s="522"/>
      <c r="S159" s="522"/>
      <c r="T159" s="440"/>
      <c r="U159" s="440"/>
    </row>
    <row r="160" spans="1:21">
      <c r="A160" s="537"/>
      <c r="B160" s="522"/>
      <c r="C160" s="550"/>
      <c r="D160" s="550"/>
      <c r="E160" s="550"/>
      <c r="F160" s="550"/>
      <c r="G160" s="550"/>
      <c r="H160" s="550"/>
      <c r="I160" s="550"/>
      <c r="J160" s="550"/>
      <c r="K160" s="550"/>
      <c r="L160" s="550"/>
      <c r="M160" s="522"/>
      <c r="N160" s="522"/>
      <c r="O160" s="522"/>
      <c r="P160" s="522"/>
      <c r="Q160" s="522"/>
      <c r="R160" s="522"/>
      <c r="S160" s="522"/>
      <c r="T160" s="440"/>
      <c r="U160" s="440"/>
    </row>
    <row r="161" spans="1:21">
      <c r="A161" s="537"/>
      <c r="B161" s="522"/>
      <c r="C161" s="550"/>
      <c r="D161" s="550"/>
      <c r="E161" s="550"/>
      <c r="F161" s="550"/>
      <c r="G161" s="550"/>
      <c r="H161" s="550"/>
      <c r="I161" s="550"/>
      <c r="J161" s="550"/>
      <c r="K161" s="550"/>
      <c r="L161" s="550"/>
      <c r="M161" s="522"/>
      <c r="N161" s="522"/>
      <c r="O161" s="522"/>
      <c r="P161" s="522"/>
      <c r="Q161" s="522"/>
      <c r="R161" s="522"/>
      <c r="S161" s="522"/>
      <c r="T161" s="440"/>
      <c r="U161" s="440"/>
    </row>
    <row r="162" spans="1:21">
      <c r="A162" s="537"/>
      <c r="B162" s="522"/>
      <c r="C162" s="550"/>
      <c r="D162" s="550"/>
      <c r="E162" s="550"/>
      <c r="F162" s="550"/>
      <c r="G162" s="550"/>
      <c r="H162" s="550"/>
      <c r="I162" s="550"/>
      <c r="J162" s="550"/>
      <c r="K162" s="550"/>
      <c r="L162" s="550"/>
      <c r="M162" s="522"/>
      <c r="N162" s="522"/>
      <c r="O162" s="522"/>
      <c r="P162" s="522"/>
      <c r="Q162" s="522"/>
      <c r="R162" s="522"/>
      <c r="S162" s="522"/>
      <c r="T162" s="440"/>
      <c r="U162" s="440"/>
    </row>
    <row r="163" spans="1:21">
      <c r="A163" s="537"/>
      <c r="B163" s="522"/>
      <c r="C163" s="550"/>
      <c r="D163" s="550"/>
      <c r="E163" s="550"/>
      <c r="F163" s="550"/>
      <c r="G163" s="550"/>
      <c r="H163" s="550"/>
      <c r="I163" s="550"/>
      <c r="J163" s="550"/>
      <c r="K163" s="550"/>
      <c r="L163" s="550"/>
      <c r="M163" s="522"/>
      <c r="N163" s="522"/>
      <c r="O163" s="522"/>
      <c r="P163" s="522"/>
      <c r="Q163" s="522"/>
      <c r="R163" s="522"/>
      <c r="S163" s="522"/>
      <c r="T163" s="440"/>
      <c r="U163" s="440"/>
    </row>
    <row r="164" spans="1:21">
      <c r="A164" s="537"/>
      <c r="B164" s="522"/>
      <c r="C164" s="550"/>
      <c r="D164" s="550"/>
      <c r="E164" s="550"/>
      <c r="F164" s="550"/>
      <c r="G164" s="550"/>
      <c r="H164" s="550"/>
      <c r="I164" s="550"/>
      <c r="J164" s="550"/>
      <c r="K164" s="550"/>
      <c r="L164" s="550"/>
      <c r="M164" s="522"/>
      <c r="N164" s="522"/>
      <c r="O164" s="522"/>
      <c r="P164" s="522"/>
      <c r="Q164" s="522"/>
      <c r="R164" s="522"/>
      <c r="S164" s="522"/>
      <c r="T164" s="440"/>
      <c r="U164" s="440"/>
    </row>
    <row r="165" spans="1:21">
      <c r="A165" s="537"/>
      <c r="B165" s="522"/>
      <c r="C165" s="550"/>
      <c r="D165" s="550"/>
      <c r="E165" s="550"/>
      <c r="F165" s="550"/>
      <c r="G165" s="550"/>
      <c r="H165" s="550"/>
      <c r="I165" s="550"/>
      <c r="J165" s="550"/>
      <c r="K165" s="550"/>
      <c r="L165" s="550"/>
      <c r="M165" s="522"/>
      <c r="N165" s="522"/>
      <c r="O165" s="522"/>
      <c r="P165" s="522"/>
      <c r="Q165" s="522"/>
      <c r="R165" s="522"/>
      <c r="S165" s="522"/>
      <c r="T165" s="440"/>
      <c r="U165" s="440"/>
    </row>
    <row r="166" spans="1:21">
      <c r="A166" s="537"/>
      <c r="B166" s="522"/>
      <c r="C166" s="550"/>
      <c r="D166" s="550"/>
      <c r="E166" s="550"/>
      <c r="F166" s="550"/>
      <c r="G166" s="550"/>
      <c r="H166" s="550"/>
      <c r="I166" s="550"/>
      <c r="J166" s="550"/>
      <c r="K166" s="550"/>
      <c r="L166" s="550"/>
      <c r="M166" s="522"/>
      <c r="N166" s="522"/>
      <c r="O166" s="522"/>
      <c r="P166" s="522"/>
      <c r="Q166" s="522"/>
      <c r="R166" s="522"/>
      <c r="S166" s="522"/>
      <c r="T166" s="440"/>
      <c r="U166" s="440"/>
    </row>
    <row r="167" spans="1:21">
      <c r="A167" s="537"/>
      <c r="B167" s="522"/>
      <c r="C167" s="550"/>
      <c r="D167" s="550"/>
      <c r="E167" s="550"/>
      <c r="F167" s="550"/>
      <c r="G167" s="550"/>
      <c r="H167" s="550"/>
      <c r="I167" s="550"/>
      <c r="J167" s="550"/>
      <c r="K167" s="550"/>
      <c r="L167" s="550"/>
      <c r="M167" s="522"/>
      <c r="N167" s="522"/>
      <c r="O167" s="522"/>
      <c r="P167" s="522"/>
      <c r="Q167" s="522"/>
      <c r="R167" s="522"/>
      <c r="S167" s="522"/>
      <c r="T167" s="440"/>
      <c r="U167" s="440"/>
    </row>
    <row r="168" spans="1:21">
      <c r="A168" s="537"/>
      <c r="B168" s="522"/>
      <c r="C168" s="550"/>
      <c r="D168" s="550"/>
      <c r="E168" s="550"/>
      <c r="F168" s="550"/>
      <c r="G168" s="550"/>
      <c r="H168" s="550"/>
      <c r="I168" s="550"/>
      <c r="J168" s="550"/>
      <c r="K168" s="550"/>
      <c r="L168" s="550"/>
      <c r="M168" s="522"/>
      <c r="N168" s="522"/>
      <c r="O168" s="522"/>
      <c r="P168" s="522"/>
      <c r="Q168" s="522"/>
      <c r="R168" s="522"/>
      <c r="S168" s="522"/>
      <c r="T168" s="440"/>
      <c r="U168" s="440"/>
    </row>
    <row r="169" spans="1:21">
      <c r="A169" s="537"/>
      <c r="B169" s="522"/>
      <c r="C169" s="550"/>
      <c r="D169" s="550"/>
      <c r="E169" s="550"/>
      <c r="F169" s="550"/>
      <c r="G169" s="550"/>
      <c r="H169" s="550"/>
      <c r="I169" s="550"/>
      <c r="J169" s="550"/>
      <c r="K169" s="550"/>
      <c r="L169" s="550"/>
      <c r="M169" s="522"/>
      <c r="N169" s="522"/>
      <c r="O169" s="522"/>
      <c r="P169" s="522"/>
      <c r="Q169" s="522"/>
      <c r="R169" s="522"/>
      <c r="S169" s="522"/>
      <c r="T169" s="440"/>
      <c r="U169" s="440"/>
    </row>
    <row r="170" spans="1:21">
      <c r="A170" s="537"/>
      <c r="B170" s="522"/>
      <c r="C170" s="550"/>
      <c r="D170" s="550"/>
      <c r="E170" s="550"/>
      <c r="F170" s="550"/>
      <c r="G170" s="550"/>
      <c r="H170" s="550"/>
      <c r="I170" s="550"/>
      <c r="J170" s="550"/>
      <c r="K170" s="550"/>
      <c r="L170" s="550"/>
      <c r="M170" s="522"/>
      <c r="N170" s="522"/>
      <c r="O170" s="522"/>
      <c r="P170" s="522"/>
      <c r="Q170" s="522"/>
      <c r="R170" s="522"/>
      <c r="S170" s="522"/>
      <c r="T170" s="440"/>
      <c r="U170" s="440"/>
    </row>
    <row r="171" spans="1:21">
      <c r="A171" s="537"/>
      <c r="B171" s="522"/>
      <c r="C171" s="550"/>
      <c r="D171" s="550"/>
      <c r="E171" s="550"/>
      <c r="F171" s="550"/>
      <c r="G171" s="550"/>
      <c r="H171" s="550"/>
      <c r="I171" s="550"/>
      <c r="J171" s="550"/>
      <c r="K171" s="550"/>
      <c r="L171" s="550"/>
      <c r="M171" s="522"/>
      <c r="N171" s="522"/>
      <c r="O171" s="522"/>
      <c r="P171" s="522"/>
      <c r="Q171" s="522"/>
      <c r="R171" s="522"/>
      <c r="S171" s="522"/>
      <c r="T171" s="440"/>
      <c r="U171" s="440"/>
    </row>
    <row r="172" spans="1:21">
      <c r="A172" s="537"/>
      <c r="B172" s="522"/>
      <c r="C172" s="550"/>
      <c r="D172" s="550"/>
      <c r="E172" s="550"/>
      <c r="F172" s="550"/>
      <c r="G172" s="550"/>
      <c r="H172" s="550"/>
      <c r="I172" s="550"/>
      <c r="J172" s="550"/>
      <c r="K172" s="550"/>
      <c r="L172" s="550"/>
      <c r="M172" s="522"/>
      <c r="N172" s="522"/>
      <c r="O172" s="522"/>
      <c r="P172" s="522"/>
      <c r="Q172" s="522"/>
      <c r="R172" s="522"/>
      <c r="S172" s="522"/>
      <c r="T172" s="440"/>
      <c r="U172" s="440"/>
    </row>
    <row r="173" spans="1:21">
      <c r="A173" s="537"/>
      <c r="B173" s="522"/>
      <c r="C173" s="550"/>
      <c r="D173" s="550"/>
      <c r="E173" s="550"/>
      <c r="F173" s="550"/>
      <c r="G173" s="550"/>
      <c r="H173" s="550"/>
      <c r="I173" s="550"/>
      <c r="J173" s="550"/>
      <c r="K173" s="550"/>
      <c r="L173" s="550"/>
      <c r="M173" s="522"/>
      <c r="N173" s="522"/>
      <c r="O173" s="522"/>
      <c r="P173" s="522"/>
      <c r="Q173" s="522"/>
      <c r="R173" s="522"/>
      <c r="S173" s="522"/>
      <c r="T173" s="440"/>
      <c r="U173" s="440"/>
    </row>
    <row r="174" spans="1:21">
      <c r="A174" s="537"/>
      <c r="B174" s="522"/>
      <c r="C174" s="550"/>
      <c r="D174" s="550"/>
      <c r="E174" s="550"/>
      <c r="F174" s="550"/>
      <c r="G174" s="550"/>
      <c r="H174" s="550"/>
      <c r="I174" s="550"/>
      <c r="J174" s="550"/>
      <c r="K174" s="550"/>
      <c r="L174" s="550"/>
      <c r="M174" s="522"/>
      <c r="N174" s="522"/>
      <c r="O174" s="522"/>
      <c r="P174" s="522"/>
      <c r="Q174" s="522"/>
      <c r="R174" s="522"/>
      <c r="S174" s="522"/>
      <c r="T174" s="440"/>
      <c r="U174" s="440"/>
    </row>
    <row r="175" spans="1:21">
      <c r="A175" s="537"/>
      <c r="B175" s="522"/>
      <c r="C175" s="550"/>
      <c r="D175" s="550"/>
      <c r="E175" s="550"/>
      <c r="F175" s="550"/>
      <c r="G175" s="550"/>
      <c r="H175" s="550"/>
      <c r="I175" s="550"/>
      <c r="J175" s="550"/>
      <c r="K175" s="550"/>
      <c r="L175" s="550"/>
      <c r="M175" s="522"/>
      <c r="N175" s="522"/>
      <c r="O175" s="522"/>
      <c r="P175" s="522"/>
      <c r="Q175" s="522"/>
      <c r="R175" s="522"/>
      <c r="S175" s="522"/>
      <c r="T175" s="440"/>
      <c r="U175" s="440"/>
    </row>
    <row r="176" spans="1:21">
      <c r="A176" s="537"/>
      <c r="B176" s="522"/>
      <c r="C176" s="550"/>
      <c r="D176" s="550"/>
      <c r="E176" s="550"/>
      <c r="F176" s="550"/>
      <c r="G176" s="550"/>
      <c r="H176" s="550"/>
      <c r="I176" s="550"/>
      <c r="J176" s="550"/>
      <c r="K176" s="550"/>
      <c r="L176" s="550"/>
      <c r="M176" s="522"/>
      <c r="N176" s="522"/>
      <c r="O176" s="522"/>
      <c r="P176" s="522"/>
      <c r="Q176" s="522"/>
      <c r="R176" s="522"/>
      <c r="S176" s="522"/>
      <c r="T176" s="440"/>
      <c r="U176" s="440"/>
    </row>
    <row r="177" spans="1:21">
      <c r="A177" s="537"/>
      <c r="B177" s="522"/>
      <c r="C177" s="550"/>
      <c r="D177" s="550"/>
      <c r="E177" s="550"/>
      <c r="F177" s="550"/>
      <c r="G177" s="550"/>
      <c r="H177" s="550"/>
      <c r="I177" s="550"/>
      <c r="J177" s="550"/>
      <c r="K177" s="550"/>
      <c r="L177" s="550"/>
      <c r="M177" s="522"/>
      <c r="N177" s="522"/>
      <c r="O177" s="522"/>
      <c r="P177" s="522"/>
      <c r="Q177" s="522"/>
      <c r="R177" s="522"/>
      <c r="S177" s="522"/>
      <c r="T177" s="440"/>
      <c r="U177" s="440"/>
    </row>
    <row r="178" spans="1:21">
      <c r="A178" s="537"/>
      <c r="B178" s="522"/>
      <c r="C178" s="550"/>
      <c r="D178" s="550"/>
      <c r="E178" s="550"/>
      <c r="F178" s="550"/>
      <c r="G178" s="550"/>
      <c r="H178" s="550"/>
      <c r="I178" s="550"/>
      <c r="J178" s="550"/>
      <c r="K178" s="550"/>
      <c r="L178" s="550"/>
      <c r="M178" s="522"/>
      <c r="N178" s="522"/>
      <c r="O178" s="522"/>
      <c r="P178" s="522"/>
      <c r="Q178" s="522"/>
      <c r="R178" s="522"/>
      <c r="S178" s="522"/>
      <c r="T178" s="440"/>
      <c r="U178" s="440"/>
    </row>
    <row r="179" spans="1:21">
      <c r="A179" s="537"/>
      <c r="B179" s="522"/>
      <c r="C179" s="550"/>
      <c r="D179" s="550"/>
      <c r="E179" s="550"/>
      <c r="F179" s="550"/>
      <c r="G179" s="550"/>
      <c r="H179" s="550"/>
      <c r="I179" s="550"/>
      <c r="J179" s="550"/>
      <c r="K179" s="550"/>
      <c r="L179" s="550"/>
      <c r="M179" s="522"/>
      <c r="N179" s="522"/>
      <c r="O179" s="522"/>
      <c r="P179" s="522"/>
      <c r="Q179" s="522"/>
      <c r="R179" s="522"/>
      <c r="S179" s="522"/>
      <c r="T179" s="440"/>
      <c r="U179" s="440"/>
    </row>
    <row r="180" spans="1:21">
      <c r="A180" s="537"/>
      <c r="B180" s="522"/>
      <c r="C180" s="550"/>
      <c r="D180" s="550"/>
      <c r="E180" s="550"/>
      <c r="F180" s="550"/>
      <c r="G180" s="550"/>
      <c r="H180" s="550"/>
      <c r="I180" s="550"/>
      <c r="J180" s="550"/>
      <c r="K180" s="550"/>
      <c r="L180" s="550"/>
      <c r="M180" s="522"/>
      <c r="N180" s="522"/>
      <c r="O180" s="522"/>
      <c r="P180" s="522"/>
      <c r="Q180" s="522"/>
      <c r="R180" s="522"/>
      <c r="S180" s="522"/>
      <c r="T180" s="440"/>
      <c r="U180" s="440"/>
    </row>
    <row r="181" spans="1:21">
      <c r="A181" s="537"/>
      <c r="B181" s="522"/>
      <c r="C181" s="550"/>
      <c r="D181" s="550"/>
      <c r="E181" s="550"/>
      <c r="F181" s="550"/>
      <c r="G181" s="550"/>
      <c r="H181" s="550"/>
      <c r="I181" s="550"/>
      <c r="J181" s="550"/>
      <c r="K181" s="550"/>
      <c r="L181" s="550"/>
      <c r="M181" s="522"/>
      <c r="N181" s="522"/>
      <c r="O181" s="522"/>
      <c r="P181" s="522"/>
      <c r="Q181" s="522"/>
      <c r="R181" s="522"/>
      <c r="S181" s="522"/>
      <c r="T181" s="440"/>
      <c r="U181" s="440"/>
    </row>
    <row r="182" spans="1:21">
      <c r="A182" s="537"/>
      <c r="B182" s="522"/>
      <c r="C182" s="550"/>
      <c r="D182" s="550"/>
      <c r="E182" s="550"/>
      <c r="F182" s="550"/>
      <c r="G182" s="550"/>
      <c r="H182" s="550"/>
      <c r="I182" s="550"/>
      <c r="J182" s="550"/>
      <c r="K182" s="550"/>
      <c r="L182" s="550"/>
      <c r="M182" s="522"/>
      <c r="N182" s="522"/>
      <c r="O182" s="522"/>
      <c r="P182" s="522"/>
      <c r="Q182" s="522"/>
      <c r="R182" s="522"/>
      <c r="S182" s="522"/>
      <c r="T182" s="440"/>
      <c r="U182" s="440"/>
    </row>
    <row r="183" spans="1:21">
      <c r="A183" s="537"/>
      <c r="B183" s="522"/>
      <c r="C183" s="550"/>
      <c r="D183" s="550"/>
      <c r="E183" s="550"/>
      <c r="F183" s="550"/>
      <c r="G183" s="550"/>
      <c r="H183" s="550"/>
      <c r="I183" s="550"/>
      <c r="J183" s="550"/>
      <c r="K183" s="550"/>
      <c r="L183" s="550"/>
      <c r="M183" s="522"/>
      <c r="N183" s="522"/>
      <c r="O183" s="522"/>
      <c r="P183" s="522"/>
      <c r="Q183" s="522"/>
      <c r="R183" s="522"/>
      <c r="S183" s="522"/>
      <c r="T183" s="440"/>
      <c r="U183" s="440"/>
    </row>
    <row r="184" spans="1:21">
      <c r="A184" s="537"/>
      <c r="B184" s="522"/>
      <c r="C184" s="550"/>
      <c r="D184" s="550"/>
      <c r="E184" s="550"/>
      <c r="F184" s="550"/>
      <c r="G184" s="550"/>
      <c r="H184" s="550"/>
      <c r="I184" s="550"/>
      <c r="J184" s="550"/>
      <c r="K184" s="550"/>
      <c r="L184" s="550"/>
      <c r="M184" s="522"/>
      <c r="N184" s="522"/>
      <c r="O184" s="522"/>
      <c r="P184" s="522"/>
      <c r="Q184" s="522"/>
      <c r="R184" s="522"/>
      <c r="S184" s="522"/>
      <c r="T184" s="440"/>
      <c r="U184" s="440"/>
    </row>
    <row r="185" spans="1:21">
      <c r="A185" s="537"/>
      <c r="B185" s="522"/>
      <c r="C185" s="550"/>
      <c r="D185" s="550"/>
      <c r="E185" s="550"/>
      <c r="F185" s="550"/>
      <c r="G185" s="550"/>
      <c r="H185" s="550"/>
      <c r="I185" s="550"/>
      <c r="J185" s="550"/>
      <c r="K185" s="550"/>
      <c r="L185" s="550"/>
      <c r="M185" s="522"/>
      <c r="N185" s="522"/>
      <c r="O185" s="522"/>
      <c r="P185" s="522"/>
      <c r="Q185" s="522"/>
      <c r="R185" s="522"/>
      <c r="S185" s="522"/>
      <c r="T185" s="440"/>
      <c r="U185" s="440"/>
    </row>
    <row r="186" spans="1:21">
      <c r="A186" s="537"/>
      <c r="B186" s="522"/>
      <c r="C186" s="550"/>
      <c r="D186" s="550"/>
      <c r="E186" s="550"/>
      <c r="F186" s="550"/>
      <c r="G186" s="550"/>
      <c r="H186" s="550"/>
      <c r="I186" s="550"/>
      <c r="J186" s="550"/>
      <c r="K186" s="550"/>
      <c r="L186" s="550"/>
      <c r="M186" s="522"/>
      <c r="N186" s="522"/>
      <c r="O186" s="522"/>
      <c r="P186" s="522"/>
      <c r="Q186" s="522"/>
      <c r="R186" s="522"/>
      <c r="S186" s="522"/>
      <c r="T186" s="440"/>
      <c r="U186" s="440"/>
    </row>
    <row r="187" spans="1:21">
      <c r="A187" s="537"/>
      <c r="B187" s="522"/>
      <c r="C187" s="550"/>
      <c r="D187" s="550"/>
      <c r="E187" s="550"/>
      <c r="F187" s="550"/>
      <c r="G187" s="550"/>
      <c r="H187" s="550"/>
      <c r="I187" s="550"/>
      <c r="J187" s="550"/>
      <c r="K187" s="550"/>
      <c r="L187" s="550"/>
      <c r="M187" s="522"/>
      <c r="N187" s="522"/>
      <c r="O187" s="522"/>
      <c r="P187" s="522"/>
      <c r="Q187" s="522"/>
      <c r="R187" s="522"/>
      <c r="S187" s="522"/>
      <c r="T187" s="440"/>
      <c r="U187" s="440"/>
    </row>
    <row r="188" spans="1:21">
      <c r="A188" s="537"/>
      <c r="B188" s="522"/>
      <c r="C188" s="550"/>
      <c r="D188" s="550"/>
      <c r="E188" s="550"/>
      <c r="F188" s="550"/>
      <c r="G188" s="550"/>
      <c r="H188" s="550"/>
      <c r="I188" s="550"/>
      <c r="J188" s="550"/>
      <c r="K188" s="550"/>
      <c r="L188" s="550"/>
      <c r="M188" s="522"/>
      <c r="N188" s="522"/>
      <c r="O188" s="522"/>
      <c r="P188" s="522"/>
      <c r="Q188" s="522"/>
      <c r="R188" s="522"/>
      <c r="S188" s="522"/>
      <c r="T188" s="440"/>
      <c r="U188" s="440"/>
    </row>
    <row r="189" spans="1:21">
      <c r="A189" s="537"/>
      <c r="B189" s="522"/>
      <c r="C189" s="550"/>
      <c r="D189" s="550"/>
      <c r="E189" s="550"/>
      <c r="F189" s="550"/>
      <c r="G189" s="550"/>
      <c r="H189" s="550"/>
      <c r="I189" s="550"/>
      <c r="J189" s="550"/>
      <c r="K189" s="550"/>
      <c r="L189" s="550"/>
      <c r="M189" s="522"/>
      <c r="N189" s="522"/>
      <c r="O189" s="522"/>
      <c r="P189" s="522"/>
      <c r="Q189" s="522"/>
      <c r="R189" s="522"/>
      <c r="S189" s="522"/>
      <c r="T189" s="440"/>
      <c r="U189" s="440"/>
    </row>
    <row r="190" spans="1:21">
      <c r="A190" s="537"/>
      <c r="B190" s="522"/>
      <c r="C190" s="550"/>
      <c r="D190" s="550"/>
      <c r="E190" s="550"/>
      <c r="F190" s="550"/>
      <c r="G190" s="550"/>
      <c r="H190" s="550"/>
      <c r="I190" s="550"/>
      <c r="J190" s="550"/>
      <c r="K190" s="550"/>
      <c r="L190" s="550"/>
      <c r="M190" s="522"/>
      <c r="N190" s="522"/>
      <c r="O190" s="522"/>
      <c r="P190" s="522"/>
      <c r="Q190" s="522"/>
      <c r="R190" s="522"/>
      <c r="S190" s="522"/>
      <c r="T190" s="440"/>
      <c r="U190" s="440"/>
    </row>
    <row r="191" spans="1:21">
      <c r="A191" s="537"/>
      <c r="B191" s="522"/>
      <c r="C191" s="550"/>
      <c r="D191" s="550"/>
      <c r="E191" s="550"/>
      <c r="F191" s="550"/>
      <c r="G191" s="550"/>
      <c r="H191" s="550"/>
      <c r="I191" s="550"/>
      <c r="J191" s="550"/>
      <c r="K191" s="550"/>
      <c r="L191" s="550"/>
      <c r="M191" s="522"/>
      <c r="N191" s="522"/>
      <c r="O191" s="522"/>
      <c r="P191" s="522"/>
      <c r="Q191" s="522"/>
      <c r="R191" s="522"/>
      <c r="S191" s="522"/>
      <c r="T191" s="440"/>
      <c r="U191" s="440"/>
    </row>
    <row r="192" spans="1:21">
      <c r="A192" s="537"/>
      <c r="B192" s="522"/>
      <c r="C192" s="550"/>
      <c r="D192" s="550"/>
      <c r="E192" s="550"/>
      <c r="F192" s="550"/>
      <c r="G192" s="550"/>
      <c r="H192" s="550"/>
      <c r="I192" s="550"/>
      <c r="J192" s="550"/>
      <c r="K192" s="550"/>
      <c r="L192" s="550"/>
      <c r="M192" s="522"/>
      <c r="N192" s="522"/>
      <c r="O192" s="522"/>
      <c r="P192" s="522"/>
      <c r="Q192" s="522"/>
      <c r="R192" s="522"/>
      <c r="S192" s="522"/>
      <c r="T192" s="440"/>
      <c r="U192" s="440"/>
    </row>
    <row r="193" spans="1:21">
      <c r="A193" s="537"/>
      <c r="B193" s="522"/>
      <c r="C193" s="550"/>
      <c r="D193" s="550"/>
      <c r="E193" s="550"/>
      <c r="F193" s="550"/>
      <c r="G193" s="550"/>
      <c r="H193" s="550"/>
      <c r="I193" s="550"/>
      <c r="J193" s="550"/>
      <c r="K193" s="550"/>
      <c r="L193" s="550"/>
      <c r="M193" s="522"/>
      <c r="N193" s="522"/>
      <c r="O193" s="522"/>
      <c r="P193" s="522"/>
      <c r="Q193" s="522"/>
      <c r="R193" s="522"/>
      <c r="S193" s="522"/>
      <c r="T193" s="440"/>
      <c r="U193" s="440"/>
    </row>
    <row r="194" spans="1:21">
      <c r="A194" s="537"/>
      <c r="B194" s="522"/>
      <c r="C194" s="550"/>
      <c r="D194" s="550"/>
      <c r="E194" s="550"/>
      <c r="F194" s="550"/>
      <c r="G194" s="550"/>
      <c r="H194" s="550"/>
      <c r="I194" s="550"/>
      <c r="J194" s="550"/>
      <c r="K194" s="550"/>
      <c r="L194" s="550"/>
      <c r="M194" s="522"/>
      <c r="N194" s="522"/>
      <c r="O194" s="522"/>
      <c r="P194" s="522"/>
      <c r="Q194" s="522"/>
      <c r="R194" s="522"/>
      <c r="S194" s="522"/>
      <c r="T194" s="440"/>
      <c r="U194" s="440"/>
    </row>
    <row r="195" spans="1:21">
      <c r="A195" s="537"/>
      <c r="B195" s="522"/>
      <c r="C195" s="550"/>
      <c r="D195" s="550"/>
      <c r="E195" s="550"/>
      <c r="F195" s="550"/>
      <c r="G195" s="550"/>
      <c r="H195" s="550"/>
      <c r="I195" s="550"/>
      <c r="J195" s="550"/>
      <c r="K195" s="550"/>
      <c r="L195" s="550"/>
      <c r="M195" s="522"/>
      <c r="N195" s="522"/>
      <c r="O195" s="522"/>
      <c r="P195" s="522"/>
      <c r="Q195" s="522"/>
      <c r="R195" s="522"/>
      <c r="S195" s="522"/>
      <c r="T195" s="440"/>
      <c r="U195" s="440"/>
    </row>
    <row r="196" spans="1:21">
      <c r="A196" s="537"/>
      <c r="B196" s="522"/>
      <c r="C196" s="550"/>
      <c r="D196" s="550"/>
      <c r="E196" s="550"/>
      <c r="F196" s="550"/>
      <c r="G196" s="550"/>
      <c r="H196" s="550"/>
      <c r="I196" s="550"/>
      <c r="J196" s="550"/>
      <c r="K196" s="550"/>
      <c r="L196" s="550"/>
      <c r="M196" s="522"/>
      <c r="N196" s="522"/>
      <c r="O196" s="522"/>
      <c r="P196" s="522"/>
      <c r="Q196" s="522"/>
      <c r="R196" s="522"/>
      <c r="S196" s="522"/>
      <c r="T196" s="440"/>
      <c r="U196" s="440"/>
    </row>
    <row r="197" spans="1:21">
      <c r="A197" s="537"/>
      <c r="B197" s="522"/>
      <c r="C197" s="550"/>
      <c r="D197" s="550"/>
      <c r="E197" s="550"/>
      <c r="F197" s="550"/>
      <c r="G197" s="550"/>
      <c r="H197" s="550"/>
      <c r="I197" s="550"/>
      <c r="J197" s="550"/>
      <c r="K197" s="550"/>
      <c r="L197" s="550"/>
      <c r="M197" s="522"/>
      <c r="N197" s="522"/>
      <c r="O197" s="522"/>
      <c r="P197" s="522"/>
      <c r="Q197" s="522"/>
      <c r="R197" s="522"/>
      <c r="S197" s="522"/>
      <c r="T197" s="440"/>
      <c r="U197" s="440"/>
    </row>
    <row r="198" spans="1:21">
      <c r="A198" s="537"/>
      <c r="B198" s="522"/>
      <c r="C198" s="550"/>
      <c r="D198" s="550"/>
      <c r="E198" s="550"/>
      <c r="F198" s="550"/>
      <c r="G198" s="550"/>
      <c r="H198" s="550"/>
      <c r="I198" s="550"/>
      <c r="J198" s="550"/>
      <c r="K198" s="550"/>
      <c r="L198" s="550"/>
      <c r="M198" s="522"/>
      <c r="N198" s="522"/>
      <c r="O198" s="522"/>
      <c r="P198" s="522"/>
      <c r="Q198" s="522"/>
      <c r="R198" s="522"/>
      <c r="S198" s="522"/>
      <c r="T198" s="440"/>
      <c r="U198" s="440"/>
    </row>
    <row r="199" spans="1:21">
      <c r="A199" s="537"/>
      <c r="B199" s="522"/>
      <c r="C199" s="550"/>
      <c r="D199" s="550"/>
      <c r="E199" s="550"/>
      <c r="F199" s="550"/>
      <c r="G199" s="550"/>
      <c r="H199" s="550"/>
      <c r="I199" s="550"/>
      <c r="J199" s="550"/>
      <c r="K199" s="550"/>
      <c r="L199" s="550"/>
      <c r="M199" s="522"/>
      <c r="N199" s="522"/>
      <c r="O199" s="522"/>
      <c r="P199" s="522"/>
      <c r="Q199" s="522"/>
      <c r="R199" s="522"/>
      <c r="S199" s="522"/>
      <c r="T199" s="440"/>
      <c r="U199" s="440"/>
    </row>
    <row r="200" spans="1:21">
      <c r="A200" s="537"/>
      <c r="B200" s="522"/>
      <c r="C200" s="550"/>
      <c r="D200" s="550"/>
      <c r="E200" s="550"/>
      <c r="F200" s="550"/>
      <c r="G200" s="550"/>
      <c r="H200" s="550"/>
      <c r="I200" s="550"/>
      <c r="J200" s="550"/>
      <c r="K200" s="550"/>
      <c r="L200" s="550"/>
      <c r="M200" s="522"/>
      <c r="N200" s="522"/>
      <c r="O200" s="522"/>
      <c r="P200" s="522"/>
      <c r="Q200" s="522"/>
      <c r="R200" s="522"/>
      <c r="S200" s="522"/>
      <c r="T200" s="440"/>
      <c r="U200" s="440"/>
    </row>
    <row r="201" spans="1:21">
      <c r="A201" s="537"/>
      <c r="B201" s="522"/>
      <c r="C201" s="550"/>
      <c r="D201" s="550"/>
      <c r="E201" s="550"/>
      <c r="F201" s="550"/>
      <c r="G201" s="550"/>
      <c r="H201" s="550"/>
      <c r="I201" s="550"/>
      <c r="J201" s="550"/>
      <c r="K201" s="550"/>
      <c r="L201" s="550"/>
      <c r="M201" s="522"/>
      <c r="N201" s="522"/>
      <c r="O201" s="522"/>
      <c r="P201" s="522"/>
      <c r="Q201" s="522"/>
      <c r="R201" s="522"/>
      <c r="S201" s="522"/>
      <c r="T201" s="440"/>
      <c r="U201" s="440"/>
    </row>
    <row r="202" spans="1:21">
      <c r="A202" s="537"/>
      <c r="B202" s="522"/>
      <c r="C202" s="550"/>
      <c r="D202" s="550"/>
      <c r="E202" s="550"/>
      <c r="F202" s="550"/>
      <c r="G202" s="550"/>
      <c r="H202" s="550"/>
      <c r="I202" s="550"/>
      <c r="J202" s="550"/>
      <c r="K202" s="550"/>
      <c r="L202" s="550"/>
      <c r="M202" s="522"/>
      <c r="N202" s="522"/>
      <c r="O202" s="522"/>
      <c r="P202" s="522"/>
      <c r="Q202" s="522"/>
      <c r="R202" s="522"/>
      <c r="S202" s="522"/>
      <c r="T202" s="440"/>
      <c r="U202" s="440"/>
    </row>
    <row r="203" spans="1:21">
      <c r="A203" s="537"/>
      <c r="B203" s="522"/>
      <c r="C203" s="550"/>
      <c r="D203" s="550"/>
      <c r="E203" s="550"/>
      <c r="F203" s="550"/>
      <c r="G203" s="550"/>
      <c r="H203" s="550"/>
      <c r="I203" s="550"/>
      <c r="J203" s="550"/>
      <c r="K203" s="550"/>
      <c r="L203" s="550"/>
      <c r="M203" s="522"/>
      <c r="N203" s="522"/>
      <c r="O203" s="522"/>
      <c r="P203" s="522"/>
      <c r="Q203" s="522"/>
      <c r="R203" s="522"/>
      <c r="S203" s="522"/>
      <c r="T203" s="440"/>
      <c r="U203" s="440"/>
    </row>
    <row r="204" spans="1:21">
      <c r="A204" s="537"/>
      <c r="B204" s="522"/>
      <c r="C204" s="550"/>
      <c r="D204" s="550"/>
      <c r="E204" s="550"/>
      <c r="F204" s="550"/>
      <c r="G204" s="550"/>
      <c r="H204" s="550"/>
      <c r="I204" s="550"/>
      <c r="J204" s="550"/>
      <c r="K204" s="550"/>
      <c r="L204" s="550"/>
      <c r="M204" s="522"/>
      <c r="N204" s="522"/>
      <c r="O204" s="522"/>
      <c r="P204" s="522"/>
      <c r="Q204" s="522"/>
      <c r="R204" s="522"/>
      <c r="S204" s="522"/>
      <c r="T204" s="440"/>
      <c r="U204" s="440"/>
    </row>
    <row r="205" spans="1:21">
      <c r="A205" s="537"/>
      <c r="B205" s="522"/>
      <c r="C205" s="550"/>
      <c r="D205" s="550"/>
      <c r="E205" s="550"/>
      <c r="F205" s="550"/>
      <c r="G205" s="550"/>
      <c r="H205" s="550"/>
      <c r="I205" s="550"/>
      <c r="J205" s="550"/>
      <c r="K205" s="550"/>
      <c r="L205" s="550"/>
      <c r="M205" s="522"/>
      <c r="N205" s="522"/>
      <c r="O205" s="522"/>
      <c r="P205" s="522"/>
      <c r="Q205" s="522"/>
      <c r="R205" s="522"/>
      <c r="S205" s="522"/>
      <c r="T205" s="440"/>
      <c r="U205" s="440"/>
    </row>
    <row r="206" spans="1:21">
      <c r="A206" s="537"/>
      <c r="B206" s="522"/>
      <c r="C206" s="550"/>
      <c r="D206" s="550"/>
      <c r="E206" s="550"/>
      <c r="F206" s="550"/>
      <c r="G206" s="550"/>
      <c r="H206" s="550"/>
      <c r="I206" s="550"/>
      <c r="J206" s="550"/>
      <c r="K206" s="550"/>
      <c r="L206" s="550"/>
      <c r="M206" s="522"/>
      <c r="N206" s="522"/>
      <c r="O206" s="522"/>
      <c r="P206" s="522"/>
      <c r="Q206" s="522"/>
      <c r="R206" s="522"/>
      <c r="S206" s="522"/>
      <c r="T206" s="440"/>
      <c r="U206" s="440"/>
    </row>
    <row r="207" spans="1:21">
      <c r="A207" s="537"/>
      <c r="B207" s="522"/>
      <c r="C207" s="550"/>
      <c r="D207" s="550"/>
      <c r="E207" s="550"/>
      <c r="F207" s="550"/>
      <c r="G207" s="550"/>
      <c r="H207" s="550"/>
      <c r="I207" s="550"/>
      <c r="J207" s="550"/>
      <c r="K207" s="550"/>
      <c r="L207" s="550"/>
      <c r="M207" s="522"/>
      <c r="N207" s="522"/>
      <c r="O207" s="522"/>
      <c r="P207" s="522"/>
      <c r="Q207" s="522"/>
      <c r="R207" s="522"/>
      <c r="S207" s="522"/>
      <c r="T207" s="440"/>
      <c r="U207" s="440"/>
    </row>
    <row r="208" spans="1:21">
      <c r="A208" s="537"/>
      <c r="B208" s="522"/>
      <c r="C208" s="550"/>
      <c r="D208" s="550"/>
      <c r="E208" s="550"/>
      <c r="F208" s="550"/>
      <c r="G208" s="550"/>
      <c r="H208" s="550"/>
      <c r="I208" s="550"/>
      <c r="J208" s="550"/>
      <c r="K208" s="550"/>
      <c r="L208" s="550"/>
      <c r="M208" s="522"/>
      <c r="N208" s="522"/>
      <c r="O208" s="522"/>
      <c r="P208" s="522"/>
      <c r="Q208" s="522"/>
      <c r="R208" s="522"/>
      <c r="S208" s="522"/>
      <c r="T208" s="440"/>
      <c r="U208" s="440"/>
    </row>
    <row r="209" spans="1:21">
      <c r="A209" s="537"/>
      <c r="B209" s="522"/>
      <c r="C209" s="550"/>
      <c r="D209" s="550"/>
      <c r="E209" s="550"/>
      <c r="F209" s="550"/>
      <c r="G209" s="550"/>
      <c r="H209" s="550"/>
      <c r="I209" s="550"/>
      <c r="J209" s="550"/>
      <c r="K209" s="550"/>
      <c r="L209" s="550"/>
      <c r="M209" s="522"/>
      <c r="N209" s="522"/>
      <c r="O209" s="522"/>
      <c r="P209" s="522"/>
      <c r="Q209" s="522"/>
      <c r="R209" s="522"/>
      <c r="S209" s="522"/>
      <c r="T209" s="440"/>
      <c r="U209" s="440"/>
    </row>
    <row r="210" spans="1:21">
      <c r="B210" s="431"/>
      <c r="C210" s="440"/>
      <c r="D210" s="440"/>
      <c r="E210" s="440"/>
      <c r="F210" s="440"/>
      <c r="G210" s="440"/>
      <c r="H210" s="440"/>
      <c r="I210" s="431"/>
      <c r="J210" s="431"/>
      <c r="K210" s="431"/>
      <c r="L210" s="431"/>
      <c r="M210" s="431"/>
      <c r="N210" s="431"/>
      <c r="O210" s="431"/>
      <c r="P210" s="440"/>
      <c r="Q210" s="440"/>
      <c r="R210" s="440"/>
      <c r="S210" s="440"/>
      <c r="T210" s="440"/>
      <c r="U210" s="440"/>
    </row>
    <row r="211" spans="1:21">
      <c r="B211" s="431"/>
      <c r="C211" s="440"/>
      <c r="D211" s="440"/>
      <c r="E211" s="440"/>
      <c r="F211" s="440"/>
      <c r="G211" s="440"/>
      <c r="H211" s="440"/>
      <c r="I211" s="431"/>
      <c r="J211" s="431"/>
      <c r="K211" s="431"/>
      <c r="L211" s="431"/>
      <c r="M211" s="431"/>
      <c r="N211" s="431"/>
      <c r="O211" s="431"/>
      <c r="P211" s="440"/>
      <c r="Q211" s="440"/>
      <c r="R211" s="440"/>
      <c r="S211" s="440"/>
      <c r="T211" s="440"/>
      <c r="U211" s="440"/>
    </row>
    <row r="212" spans="1:21">
      <c r="B212" s="431"/>
      <c r="C212" s="440"/>
      <c r="D212" s="440"/>
      <c r="E212" s="440"/>
      <c r="F212" s="440"/>
      <c r="G212" s="440"/>
      <c r="H212" s="440"/>
      <c r="I212" s="431"/>
      <c r="J212" s="431"/>
      <c r="K212" s="431"/>
      <c r="L212" s="431"/>
      <c r="M212" s="431"/>
      <c r="N212" s="431"/>
      <c r="O212" s="431"/>
      <c r="P212" s="440"/>
      <c r="Q212" s="440"/>
      <c r="R212" s="440"/>
      <c r="S212" s="440"/>
      <c r="T212" s="440"/>
      <c r="U212" s="440"/>
    </row>
    <row r="213" spans="1:21">
      <c r="B213" s="431"/>
      <c r="C213" s="440"/>
      <c r="D213" s="440"/>
      <c r="E213" s="440"/>
      <c r="F213" s="440"/>
      <c r="G213" s="440"/>
      <c r="H213" s="440"/>
      <c r="I213" s="431"/>
      <c r="J213" s="431"/>
      <c r="K213" s="431"/>
      <c r="L213" s="431"/>
      <c r="M213" s="431"/>
      <c r="N213" s="431"/>
      <c r="O213" s="431"/>
      <c r="P213" s="440"/>
      <c r="Q213" s="440"/>
      <c r="R213" s="440"/>
      <c r="S213" s="440"/>
      <c r="T213" s="440"/>
      <c r="U213" s="440"/>
    </row>
    <row r="214" spans="1:21">
      <c r="B214" s="431"/>
      <c r="C214" s="440"/>
      <c r="D214" s="440"/>
      <c r="E214" s="440"/>
      <c r="F214" s="440"/>
      <c r="G214" s="440"/>
      <c r="H214" s="440"/>
      <c r="I214" s="431"/>
      <c r="J214" s="431"/>
      <c r="K214" s="431"/>
      <c r="L214" s="431"/>
      <c r="M214" s="431"/>
      <c r="N214" s="431"/>
      <c r="O214" s="431"/>
      <c r="P214" s="440"/>
      <c r="Q214" s="440"/>
      <c r="R214" s="440"/>
      <c r="S214" s="440"/>
      <c r="T214" s="440"/>
      <c r="U214" s="440"/>
    </row>
    <row r="215" spans="1:21">
      <c r="B215" s="431"/>
      <c r="C215" s="440"/>
      <c r="D215" s="440"/>
      <c r="E215" s="440"/>
      <c r="F215" s="440"/>
      <c r="G215" s="440"/>
      <c r="H215" s="440"/>
      <c r="I215" s="431"/>
      <c r="J215" s="431"/>
      <c r="K215" s="431"/>
      <c r="L215" s="431"/>
      <c r="M215" s="431"/>
      <c r="N215" s="431"/>
      <c r="O215" s="431"/>
      <c r="P215" s="440"/>
      <c r="Q215" s="440"/>
      <c r="R215" s="440"/>
      <c r="S215" s="440"/>
      <c r="T215" s="440"/>
      <c r="U215" s="440"/>
    </row>
    <row r="216" spans="1:21">
      <c r="B216" s="431"/>
      <c r="C216" s="440"/>
      <c r="D216" s="440"/>
      <c r="E216" s="440"/>
      <c r="F216" s="440"/>
      <c r="G216" s="440"/>
      <c r="H216" s="440"/>
      <c r="I216" s="431"/>
      <c r="J216" s="431"/>
      <c r="K216" s="431"/>
      <c r="L216" s="431"/>
      <c r="M216" s="431"/>
      <c r="N216" s="431"/>
      <c r="O216" s="431"/>
      <c r="P216" s="440"/>
      <c r="Q216" s="440"/>
      <c r="R216" s="440"/>
      <c r="S216" s="440"/>
      <c r="T216" s="440"/>
      <c r="U216" s="440"/>
    </row>
    <row r="217" spans="1:21">
      <c r="B217" s="431"/>
      <c r="C217" s="440"/>
      <c r="D217" s="440"/>
      <c r="E217" s="440"/>
      <c r="F217" s="440"/>
      <c r="G217" s="440"/>
      <c r="H217" s="440"/>
      <c r="I217" s="431"/>
      <c r="J217" s="431"/>
      <c r="K217" s="431"/>
      <c r="L217" s="431"/>
      <c r="M217" s="431"/>
      <c r="N217" s="431"/>
      <c r="O217" s="431"/>
      <c r="P217" s="440"/>
      <c r="Q217" s="440"/>
      <c r="R217" s="440"/>
      <c r="S217" s="440"/>
      <c r="T217" s="440"/>
      <c r="U217" s="440"/>
    </row>
    <row r="218" spans="1:21">
      <c r="B218" s="431"/>
      <c r="C218" s="440"/>
      <c r="D218" s="440"/>
      <c r="E218" s="440"/>
      <c r="F218" s="440"/>
      <c r="G218" s="440"/>
      <c r="H218" s="440"/>
      <c r="I218" s="431"/>
      <c r="J218" s="431"/>
      <c r="K218" s="431"/>
      <c r="L218" s="431"/>
      <c r="M218" s="431"/>
      <c r="N218" s="431"/>
      <c r="O218" s="431"/>
      <c r="P218" s="440"/>
      <c r="Q218" s="440"/>
      <c r="R218" s="440"/>
      <c r="S218" s="440"/>
      <c r="T218" s="440"/>
      <c r="U218" s="440"/>
    </row>
    <row r="219" spans="1:21">
      <c r="B219" s="431"/>
      <c r="C219" s="440"/>
      <c r="D219" s="440"/>
      <c r="E219" s="440"/>
      <c r="F219" s="440"/>
      <c r="G219" s="440"/>
      <c r="H219" s="440"/>
      <c r="I219" s="431"/>
      <c r="J219" s="431"/>
      <c r="K219" s="431"/>
      <c r="L219" s="431"/>
      <c r="M219" s="431"/>
      <c r="N219" s="431"/>
      <c r="O219" s="431"/>
      <c r="P219" s="440"/>
      <c r="Q219" s="440"/>
      <c r="R219" s="440"/>
      <c r="S219" s="440"/>
      <c r="T219" s="440"/>
      <c r="U219" s="440"/>
    </row>
    <row r="220" spans="1:21">
      <c r="B220" s="431"/>
      <c r="C220" s="440"/>
      <c r="D220" s="440"/>
      <c r="E220" s="440"/>
      <c r="F220" s="440"/>
      <c r="G220" s="440"/>
      <c r="H220" s="440"/>
      <c r="I220" s="431"/>
      <c r="J220" s="431"/>
      <c r="K220" s="431"/>
      <c r="L220" s="431"/>
      <c r="M220" s="431"/>
      <c r="N220" s="431"/>
      <c r="O220" s="431"/>
      <c r="P220" s="440"/>
      <c r="Q220" s="440"/>
      <c r="R220" s="440"/>
      <c r="S220" s="440"/>
      <c r="T220" s="440"/>
      <c r="U220" s="440"/>
    </row>
    <row r="221" spans="1:21">
      <c r="B221" s="431"/>
      <c r="C221" s="440"/>
      <c r="D221" s="440"/>
      <c r="E221" s="440"/>
      <c r="F221" s="440"/>
      <c r="G221" s="440"/>
      <c r="H221" s="440"/>
      <c r="I221" s="431"/>
      <c r="J221" s="431"/>
      <c r="K221" s="431"/>
      <c r="L221" s="431"/>
      <c r="M221" s="431"/>
      <c r="N221" s="431"/>
      <c r="O221" s="431"/>
      <c r="P221" s="440"/>
      <c r="Q221" s="440"/>
      <c r="R221" s="440"/>
      <c r="S221" s="440"/>
      <c r="T221" s="440"/>
      <c r="U221" s="440"/>
    </row>
    <row r="222" spans="1:21">
      <c r="B222" s="431"/>
      <c r="C222" s="440"/>
      <c r="D222" s="440"/>
      <c r="E222" s="440"/>
      <c r="F222" s="440"/>
      <c r="G222" s="440"/>
      <c r="H222" s="440"/>
      <c r="I222" s="431"/>
      <c r="J222" s="431"/>
      <c r="K222" s="431"/>
      <c r="L222" s="431"/>
      <c r="M222" s="431"/>
      <c r="N222" s="431"/>
      <c r="O222" s="431"/>
      <c r="P222" s="440"/>
      <c r="Q222" s="440"/>
      <c r="R222" s="440"/>
      <c r="S222" s="440"/>
      <c r="T222" s="440"/>
      <c r="U222" s="440"/>
    </row>
    <row r="223" spans="1:21">
      <c r="B223" s="431"/>
      <c r="C223" s="440"/>
      <c r="D223" s="440"/>
      <c r="E223" s="440"/>
      <c r="F223" s="440"/>
      <c r="G223" s="440"/>
      <c r="H223" s="440"/>
      <c r="I223" s="431"/>
      <c r="J223" s="431"/>
      <c r="K223" s="431"/>
      <c r="L223" s="431"/>
      <c r="M223" s="431"/>
      <c r="N223" s="431"/>
      <c r="O223" s="431"/>
      <c r="P223" s="440"/>
      <c r="Q223" s="440"/>
      <c r="R223" s="440"/>
      <c r="S223" s="440"/>
      <c r="T223" s="440"/>
      <c r="U223" s="440"/>
    </row>
    <row r="224" spans="1:21">
      <c r="B224" s="431"/>
      <c r="C224" s="440"/>
      <c r="D224" s="440"/>
      <c r="E224" s="440"/>
      <c r="F224" s="440"/>
      <c r="G224" s="440"/>
      <c r="H224" s="440"/>
      <c r="I224" s="431"/>
      <c r="J224" s="431"/>
      <c r="K224" s="431"/>
      <c r="L224" s="431"/>
      <c r="M224" s="431"/>
      <c r="N224" s="431"/>
      <c r="O224" s="431"/>
      <c r="P224" s="440"/>
      <c r="Q224" s="440"/>
      <c r="R224" s="440"/>
      <c r="S224" s="440"/>
      <c r="T224" s="440"/>
      <c r="U224" s="440"/>
    </row>
    <row r="225" spans="2:21">
      <c r="B225" s="431"/>
      <c r="C225" s="440"/>
      <c r="D225" s="440"/>
      <c r="E225" s="440"/>
      <c r="F225" s="440"/>
      <c r="G225" s="440"/>
      <c r="H225" s="440"/>
      <c r="I225" s="431"/>
      <c r="J225" s="431"/>
      <c r="K225" s="431"/>
      <c r="L225" s="431"/>
      <c r="M225" s="431"/>
      <c r="N225" s="431"/>
      <c r="O225" s="431"/>
      <c r="P225" s="440"/>
      <c r="Q225" s="440"/>
      <c r="R225" s="440"/>
      <c r="S225" s="440"/>
      <c r="T225" s="440"/>
      <c r="U225" s="440"/>
    </row>
    <row r="226" spans="2:21">
      <c r="B226" s="431"/>
      <c r="C226" s="440"/>
      <c r="D226" s="440"/>
      <c r="E226" s="440"/>
      <c r="F226" s="440"/>
      <c r="G226" s="440"/>
      <c r="H226" s="440"/>
      <c r="I226" s="431"/>
      <c r="J226" s="431"/>
      <c r="K226" s="431"/>
      <c r="L226" s="431"/>
      <c r="M226" s="431"/>
      <c r="N226" s="431"/>
      <c r="O226" s="431"/>
      <c r="P226" s="440"/>
      <c r="Q226" s="440"/>
      <c r="R226" s="440"/>
      <c r="S226" s="440"/>
      <c r="T226" s="440"/>
      <c r="U226" s="440"/>
    </row>
    <row r="227" spans="2:21">
      <c r="B227" s="431"/>
      <c r="C227" s="440"/>
      <c r="D227" s="440"/>
      <c r="E227" s="440"/>
      <c r="F227" s="440"/>
      <c r="G227" s="440"/>
      <c r="H227" s="440"/>
      <c r="I227" s="431"/>
      <c r="J227" s="431"/>
      <c r="K227" s="431"/>
      <c r="L227" s="431"/>
      <c r="M227" s="431"/>
      <c r="N227" s="431"/>
      <c r="O227" s="431"/>
      <c r="P227" s="440"/>
      <c r="Q227" s="440"/>
      <c r="R227" s="440"/>
      <c r="S227" s="440"/>
      <c r="T227" s="440"/>
      <c r="U227" s="440"/>
    </row>
    <row r="228" spans="2:21">
      <c r="B228" s="431"/>
      <c r="C228" s="440"/>
      <c r="D228" s="440"/>
      <c r="E228" s="440"/>
      <c r="F228" s="440"/>
      <c r="G228" s="440"/>
      <c r="H228" s="440"/>
      <c r="I228" s="431"/>
      <c r="J228" s="431"/>
      <c r="K228" s="431"/>
      <c r="L228" s="431"/>
      <c r="M228" s="431"/>
      <c r="N228" s="431"/>
      <c r="O228" s="431"/>
      <c r="P228" s="440"/>
      <c r="Q228" s="440"/>
      <c r="R228" s="440"/>
      <c r="S228" s="440"/>
      <c r="T228" s="440"/>
      <c r="U228" s="440"/>
    </row>
    <row r="229" spans="2:21">
      <c r="B229" s="431"/>
      <c r="C229" s="440"/>
      <c r="D229" s="440"/>
      <c r="E229" s="440"/>
      <c r="F229" s="440"/>
      <c r="G229" s="440"/>
      <c r="H229" s="440"/>
      <c r="I229" s="431"/>
      <c r="J229" s="431"/>
      <c r="K229" s="431"/>
      <c r="L229" s="431"/>
      <c r="M229" s="431"/>
      <c r="N229" s="431"/>
      <c r="O229" s="431"/>
      <c r="P229" s="440"/>
      <c r="Q229" s="440"/>
      <c r="R229" s="440"/>
      <c r="S229" s="440"/>
      <c r="T229" s="440"/>
      <c r="U229" s="440"/>
    </row>
    <row r="230" spans="2:21">
      <c r="B230" s="431"/>
      <c r="C230" s="440"/>
      <c r="D230" s="440"/>
      <c r="E230" s="440"/>
      <c r="F230" s="440"/>
      <c r="G230" s="440"/>
      <c r="H230" s="440"/>
      <c r="I230" s="431"/>
      <c r="J230" s="431"/>
      <c r="K230" s="431"/>
      <c r="L230" s="431"/>
      <c r="M230" s="431"/>
      <c r="N230" s="431"/>
      <c r="O230" s="431"/>
      <c r="P230" s="440"/>
      <c r="Q230" s="440"/>
      <c r="R230" s="440"/>
      <c r="S230" s="440"/>
      <c r="T230" s="440"/>
      <c r="U230" s="440"/>
    </row>
    <row r="231" spans="2:21">
      <c r="B231" s="431"/>
      <c r="C231" s="440"/>
      <c r="D231" s="440"/>
      <c r="E231" s="440"/>
      <c r="F231" s="440"/>
      <c r="G231" s="440"/>
      <c r="H231" s="440"/>
      <c r="I231" s="431"/>
      <c r="J231" s="431"/>
      <c r="K231" s="431"/>
      <c r="L231" s="431"/>
      <c r="M231" s="431"/>
      <c r="N231" s="431"/>
      <c r="O231" s="431"/>
      <c r="P231" s="440"/>
      <c r="Q231" s="440"/>
      <c r="R231" s="440"/>
      <c r="S231" s="440"/>
      <c r="T231" s="440"/>
      <c r="U231" s="440"/>
    </row>
    <row r="232" spans="2:21">
      <c r="B232" s="431"/>
      <c r="C232" s="440"/>
      <c r="D232" s="440"/>
      <c r="E232" s="440"/>
      <c r="F232" s="440"/>
      <c r="G232" s="440"/>
      <c r="H232" s="440"/>
      <c r="I232" s="431"/>
      <c r="J232" s="431"/>
      <c r="K232" s="431"/>
      <c r="L232" s="431"/>
      <c r="M232" s="431"/>
      <c r="N232" s="431"/>
      <c r="O232" s="431"/>
      <c r="P232" s="440"/>
      <c r="Q232" s="440"/>
      <c r="R232" s="440"/>
      <c r="S232" s="440"/>
      <c r="T232" s="440"/>
      <c r="U232" s="440"/>
    </row>
    <row r="233" spans="2:21">
      <c r="B233" s="431"/>
      <c r="C233" s="440"/>
      <c r="D233" s="440"/>
      <c r="E233" s="440"/>
      <c r="F233" s="440"/>
      <c r="G233" s="440"/>
      <c r="H233" s="440"/>
      <c r="I233" s="431"/>
      <c r="J233" s="431"/>
      <c r="K233" s="431"/>
      <c r="L233" s="431"/>
      <c r="M233" s="431"/>
      <c r="N233" s="431"/>
      <c r="O233" s="431"/>
      <c r="P233" s="440"/>
      <c r="Q233" s="440"/>
      <c r="R233" s="440"/>
      <c r="S233" s="440"/>
      <c r="T233" s="440"/>
      <c r="U233" s="440"/>
    </row>
    <row r="234" spans="2:21">
      <c r="B234" s="431"/>
      <c r="C234" s="440"/>
      <c r="D234" s="440"/>
      <c r="E234" s="440"/>
      <c r="F234" s="440"/>
      <c r="G234" s="440"/>
      <c r="H234" s="440"/>
      <c r="I234" s="431"/>
      <c r="J234" s="431"/>
      <c r="K234" s="431"/>
      <c r="L234" s="431"/>
      <c r="M234" s="431"/>
      <c r="N234" s="431"/>
      <c r="O234" s="431"/>
      <c r="P234" s="440"/>
      <c r="Q234" s="440"/>
      <c r="R234" s="440"/>
      <c r="S234" s="440"/>
      <c r="T234" s="440"/>
      <c r="U234" s="440"/>
    </row>
    <row r="235" spans="2:21">
      <c r="B235" s="431"/>
      <c r="C235" s="440"/>
      <c r="D235" s="440"/>
      <c r="E235" s="440"/>
      <c r="F235" s="440"/>
      <c r="G235" s="440"/>
      <c r="H235" s="440"/>
      <c r="I235" s="431"/>
      <c r="J235" s="431"/>
      <c r="K235" s="431"/>
      <c r="L235" s="431"/>
      <c r="M235" s="431"/>
      <c r="N235" s="431"/>
      <c r="O235" s="431"/>
      <c r="P235" s="440"/>
      <c r="Q235" s="440"/>
      <c r="R235" s="440"/>
      <c r="S235" s="440"/>
      <c r="T235" s="440"/>
      <c r="U235" s="440"/>
    </row>
    <row r="236" spans="2:21">
      <c r="B236" s="431"/>
      <c r="C236" s="440"/>
      <c r="D236" s="440"/>
      <c r="E236" s="440"/>
      <c r="F236" s="440"/>
      <c r="G236" s="440"/>
      <c r="H236" s="440"/>
      <c r="I236" s="431"/>
      <c r="J236" s="431"/>
      <c r="K236" s="431"/>
      <c r="L236" s="431"/>
      <c r="M236" s="431"/>
      <c r="N236" s="431"/>
      <c r="O236" s="431"/>
      <c r="P236" s="440"/>
      <c r="Q236" s="440"/>
      <c r="R236" s="440"/>
      <c r="S236" s="440"/>
      <c r="T236" s="440"/>
      <c r="U236" s="440"/>
    </row>
    <row r="237" spans="2:21">
      <c r="B237" s="431"/>
      <c r="C237" s="440"/>
      <c r="D237" s="440"/>
      <c r="E237" s="440"/>
      <c r="F237" s="440"/>
      <c r="G237" s="440"/>
      <c r="H237" s="440"/>
      <c r="I237" s="431"/>
      <c r="J237" s="431"/>
      <c r="K237" s="431"/>
      <c r="L237" s="431"/>
      <c r="M237" s="431"/>
      <c r="N237" s="431"/>
      <c r="O237" s="431"/>
      <c r="P237" s="440"/>
      <c r="Q237" s="440"/>
      <c r="R237" s="440"/>
      <c r="S237" s="440"/>
      <c r="T237" s="440"/>
      <c r="U237" s="440"/>
    </row>
    <row r="238" spans="2:21">
      <c r="B238" s="431"/>
      <c r="C238" s="440"/>
      <c r="D238" s="440"/>
      <c r="E238" s="440"/>
      <c r="F238" s="440"/>
      <c r="G238" s="440"/>
      <c r="H238" s="440"/>
      <c r="I238" s="431"/>
      <c r="J238" s="431"/>
      <c r="K238" s="431"/>
      <c r="L238" s="431"/>
      <c r="M238" s="431"/>
      <c r="N238" s="431"/>
      <c r="O238" s="431"/>
      <c r="P238" s="440"/>
      <c r="Q238" s="440"/>
      <c r="R238" s="440"/>
      <c r="S238" s="440"/>
      <c r="T238" s="440"/>
      <c r="U238" s="440"/>
    </row>
    <row r="239" spans="2:21">
      <c r="B239" s="431"/>
      <c r="C239" s="440"/>
      <c r="D239" s="440"/>
      <c r="E239" s="440"/>
      <c r="F239" s="440"/>
      <c r="G239" s="440"/>
      <c r="H239" s="440"/>
      <c r="I239" s="431"/>
      <c r="J239" s="431"/>
      <c r="K239" s="431"/>
      <c r="L239" s="431"/>
      <c r="M239" s="431"/>
      <c r="N239" s="431"/>
      <c r="O239" s="431"/>
      <c r="P239" s="440"/>
      <c r="Q239" s="440"/>
      <c r="R239" s="440"/>
      <c r="S239" s="440"/>
      <c r="T239" s="440"/>
      <c r="U239" s="440"/>
    </row>
    <row r="240" spans="2:21">
      <c r="B240" s="431"/>
      <c r="C240" s="440"/>
      <c r="D240" s="440"/>
      <c r="E240" s="440"/>
      <c r="F240" s="440"/>
      <c r="G240" s="440"/>
      <c r="H240" s="440"/>
      <c r="I240" s="431"/>
      <c r="J240" s="431"/>
      <c r="K240" s="431"/>
      <c r="L240" s="431"/>
      <c r="M240" s="431"/>
      <c r="N240" s="431"/>
      <c r="O240" s="431"/>
      <c r="P240" s="440"/>
      <c r="Q240" s="440"/>
      <c r="R240" s="440"/>
      <c r="S240" s="440"/>
      <c r="T240" s="440"/>
      <c r="U240" s="440"/>
    </row>
    <row r="241" spans="2:21">
      <c r="B241" s="431"/>
      <c r="C241" s="440"/>
      <c r="D241" s="440"/>
      <c r="E241" s="440"/>
      <c r="F241" s="440"/>
      <c r="G241" s="440"/>
      <c r="H241" s="440"/>
      <c r="I241" s="431"/>
      <c r="J241" s="431"/>
      <c r="K241" s="431"/>
      <c r="L241" s="431"/>
      <c r="M241" s="431"/>
      <c r="N241" s="431"/>
      <c r="O241" s="431"/>
      <c r="P241" s="440"/>
      <c r="Q241" s="440"/>
      <c r="R241" s="440"/>
      <c r="S241" s="440"/>
      <c r="T241" s="440"/>
      <c r="U241" s="440"/>
    </row>
    <row r="242" spans="2:21">
      <c r="B242" s="431"/>
      <c r="C242" s="440"/>
      <c r="D242" s="440"/>
      <c r="E242" s="440"/>
      <c r="F242" s="440"/>
      <c r="G242" s="440"/>
      <c r="H242" s="440"/>
      <c r="I242" s="431"/>
      <c r="J242" s="431"/>
      <c r="K242" s="431"/>
      <c r="L242" s="431"/>
      <c r="M242" s="431"/>
      <c r="N242" s="431"/>
      <c r="O242" s="431"/>
      <c r="P242" s="440"/>
      <c r="Q242" s="440"/>
      <c r="R242" s="440"/>
      <c r="S242" s="440"/>
      <c r="T242" s="440"/>
      <c r="U242" s="440"/>
    </row>
    <row r="243" spans="2:21">
      <c r="B243" s="431"/>
      <c r="C243" s="440"/>
      <c r="D243" s="440"/>
      <c r="E243" s="440"/>
      <c r="F243" s="440"/>
      <c r="G243" s="440"/>
      <c r="H243" s="440"/>
      <c r="I243" s="431"/>
      <c r="J243" s="431"/>
      <c r="K243" s="431"/>
      <c r="L243" s="431"/>
      <c r="M243" s="431"/>
      <c r="N243" s="431"/>
      <c r="O243" s="431"/>
      <c r="P243" s="440"/>
      <c r="Q243" s="440"/>
      <c r="R243" s="440"/>
      <c r="S243" s="440"/>
      <c r="T243" s="440"/>
      <c r="U243" s="440"/>
    </row>
    <row r="244" spans="2:21">
      <c r="B244" s="431"/>
      <c r="C244" s="440"/>
      <c r="D244" s="440"/>
      <c r="E244" s="440"/>
      <c r="F244" s="440"/>
      <c r="G244" s="440"/>
      <c r="H244" s="440"/>
      <c r="I244" s="431"/>
      <c r="J244" s="431"/>
      <c r="K244" s="431"/>
      <c r="L244" s="431"/>
      <c r="M244" s="431"/>
      <c r="N244" s="431"/>
      <c r="O244" s="431"/>
      <c r="P244" s="440"/>
      <c r="Q244" s="440"/>
      <c r="R244" s="440"/>
      <c r="S244" s="440"/>
      <c r="T244" s="440"/>
      <c r="U244" s="440"/>
    </row>
    <row r="245" spans="2:21">
      <c r="B245" s="431"/>
      <c r="C245" s="440"/>
      <c r="D245" s="440"/>
      <c r="E245" s="440"/>
      <c r="F245" s="440"/>
      <c r="G245" s="440"/>
      <c r="H245" s="440"/>
      <c r="I245" s="431"/>
      <c r="J245" s="431"/>
      <c r="K245" s="431"/>
      <c r="L245" s="431"/>
      <c r="M245" s="431"/>
      <c r="N245" s="431"/>
      <c r="O245" s="431"/>
      <c r="P245" s="440"/>
      <c r="Q245" s="440"/>
      <c r="R245" s="440"/>
      <c r="S245" s="440"/>
      <c r="T245" s="440"/>
      <c r="U245" s="440"/>
    </row>
    <row r="246" spans="2:21">
      <c r="B246" s="431"/>
      <c r="C246" s="440"/>
      <c r="D246" s="440"/>
      <c r="E246" s="440"/>
      <c r="F246" s="440"/>
      <c r="G246" s="440"/>
      <c r="H246" s="440"/>
      <c r="I246" s="431"/>
      <c r="J246" s="431"/>
      <c r="K246" s="431"/>
      <c r="L246" s="431"/>
      <c r="M246" s="431"/>
      <c r="N246" s="431"/>
      <c r="O246" s="431"/>
      <c r="P246" s="440"/>
      <c r="Q246" s="440"/>
      <c r="R246" s="440"/>
      <c r="S246" s="440"/>
      <c r="T246" s="440"/>
      <c r="U246" s="440"/>
    </row>
    <row r="247" spans="2:21">
      <c r="B247" s="431"/>
      <c r="C247" s="440"/>
      <c r="D247" s="440"/>
      <c r="E247" s="440"/>
      <c r="F247" s="440"/>
      <c r="G247" s="440"/>
      <c r="H247" s="440"/>
      <c r="I247" s="431"/>
      <c r="J247" s="431"/>
      <c r="K247" s="431"/>
      <c r="L247" s="431"/>
      <c r="M247" s="431"/>
      <c r="N247" s="431"/>
      <c r="O247" s="431"/>
      <c r="P247" s="440"/>
      <c r="Q247" s="440"/>
      <c r="R247" s="440"/>
      <c r="S247" s="440"/>
      <c r="T247" s="440"/>
      <c r="U247" s="440"/>
    </row>
    <row r="248" spans="2:21">
      <c r="B248" s="431"/>
      <c r="C248" s="440"/>
      <c r="D248" s="440"/>
      <c r="E248" s="440"/>
      <c r="F248" s="440"/>
      <c r="G248" s="440"/>
      <c r="H248" s="440"/>
      <c r="I248" s="431"/>
      <c r="J248" s="431"/>
      <c r="K248" s="431"/>
      <c r="L248" s="431"/>
      <c r="M248" s="431"/>
      <c r="N248" s="431"/>
      <c r="O248" s="431"/>
      <c r="P248" s="440"/>
      <c r="Q248" s="440"/>
      <c r="R248" s="440"/>
      <c r="S248" s="440"/>
      <c r="T248" s="440"/>
      <c r="U248" s="440"/>
    </row>
    <row r="249" spans="2:21">
      <c r="B249" s="431"/>
      <c r="C249" s="440"/>
      <c r="D249" s="440"/>
      <c r="E249" s="440"/>
      <c r="F249" s="440"/>
      <c r="G249" s="440"/>
      <c r="H249" s="440"/>
      <c r="I249" s="431"/>
      <c r="J249" s="431"/>
      <c r="K249" s="431"/>
      <c r="L249" s="431"/>
      <c r="M249" s="431"/>
      <c r="N249" s="431"/>
      <c r="O249" s="431"/>
      <c r="P249" s="440"/>
      <c r="Q249" s="440"/>
      <c r="R249" s="440"/>
      <c r="S249" s="440"/>
      <c r="T249" s="440"/>
      <c r="U249" s="440"/>
    </row>
    <row r="250" spans="2:21">
      <c r="B250" s="431"/>
      <c r="C250" s="440"/>
      <c r="D250" s="440"/>
      <c r="E250" s="440"/>
      <c r="F250" s="440"/>
      <c r="G250" s="440"/>
      <c r="H250" s="440"/>
      <c r="I250" s="431"/>
      <c r="J250" s="431"/>
      <c r="K250" s="431"/>
      <c r="L250" s="431"/>
      <c r="M250" s="431"/>
      <c r="N250" s="431"/>
      <c r="O250" s="431"/>
      <c r="P250" s="440"/>
      <c r="Q250" s="440"/>
      <c r="R250" s="440"/>
      <c r="S250" s="440"/>
      <c r="T250" s="440"/>
      <c r="U250" s="440"/>
    </row>
    <row r="251" spans="2:21">
      <c r="B251" s="431"/>
      <c r="C251" s="440"/>
      <c r="D251" s="440"/>
      <c r="E251" s="440"/>
      <c r="F251" s="440"/>
      <c r="G251" s="440"/>
      <c r="H251" s="440"/>
      <c r="I251" s="431"/>
      <c r="J251" s="431"/>
      <c r="K251" s="431"/>
      <c r="L251" s="431"/>
      <c r="M251" s="431"/>
      <c r="N251" s="431"/>
      <c r="O251" s="431"/>
      <c r="P251" s="440"/>
      <c r="Q251" s="440"/>
      <c r="R251" s="440"/>
      <c r="S251" s="440"/>
      <c r="T251" s="440"/>
      <c r="U251" s="440"/>
    </row>
    <row r="252" spans="2:21">
      <c r="B252" s="431"/>
      <c r="C252" s="440"/>
      <c r="D252" s="440"/>
      <c r="E252" s="440"/>
      <c r="F252" s="440"/>
      <c r="G252" s="440"/>
      <c r="H252" s="440"/>
      <c r="I252" s="431"/>
      <c r="J252" s="431"/>
      <c r="K252" s="431"/>
      <c r="L252" s="431"/>
      <c r="M252" s="431"/>
      <c r="N252" s="431"/>
      <c r="O252" s="431"/>
      <c r="P252" s="440"/>
      <c r="Q252" s="440"/>
      <c r="R252" s="440"/>
      <c r="S252" s="440"/>
      <c r="T252" s="440"/>
      <c r="U252" s="440"/>
    </row>
    <row r="253" spans="2:21">
      <c r="B253" s="431"/>
      <c r="C253" s="440"/>
      <c r="D253" s="440"/>
      <c r="E253" s="440"/>
      <c r="F253" s="440"/>
      <c r="G253" s="440"/>
      <c r="H253" s="440"/>
      <c r="I253" s="431"/>
      <c r="J253" s="431"/>
      <c r="K253" s="431"/>
      <c r="L253" s="431"/>
      <c r="M253" s="431"/>
      <c r="N253" s="431"/>
      <c r="O253" s="431"/>
      <c r="P253" s="440"/>
      <c r="Q253" s="440"/>
      <c r="R253" s="440"/>
      <c r="S253" s="440"/>
      <c r="T253" s="440"/>
      <c r="U253" s="440"/>
    </row>
    <row r="254" spans="2:21">
      <c r="B254" s="431"/>
      <c r="C254" s="440"/>
      <c r="D254" s="440"/>
      <c r="E254" s="440"/>
      <c r="F254" s="440"/>
      <c r="G254" s="440"/>
      <c r="H254" s="440"/>
      <c r="I254" s="431"/>
      <c r="J254" s="431"/>
      <c r="K254" s="431"/>
      <c r="L254" s="431"/>
      <c r="M254" s="431"/>
      <c r="N254" s="431"/>
      <c r="O254" s="431"/>
      <c r="P254" s="440"/>
      <c r="Q254" s="440"/>
      <c r="R254" s="440"/>
      <c r="S254" s="440"/>
      <c r="T254" s="440"/>
      <c r="U254" s="440"/>
    </row>
    <row r="255" spans="2:21">
      <c r="B255" s="431"/>
      <c r="C255" s="440"/>
      <c r="D255" s="440"/>
      <c r="E255" s="440"/>
      <c r="F255" s="440"/>
      <c r="G255" s="440"/>
      <c r="H255" s="440"/>
      <c r="I255" s="431"/>
      <c r="J255" s="431"/>
      <c r="K255" s="431"/>
      <c r="L255" s="431"/>
      <c r="M255" s="431"/>
      <c r="N255" s="431"/>
      <c r="O255" s="431"/>
      <c r="P255" s="440"/>
      <c r="Q255" s="440"/>
      <c r="R255" s="440"/>
      <c r="S255" s="440"/>
      <c r="T255" s="440"/>
      <c r="U255" s="440"/>
    </row>
    <row r="256" spans="2:21">
      <c r="B256" s="431"/>
      <c r="C256" s="440"/>
      <c r="D256" s="440"/>
      <c r="E256" s="440"/>
      <c r="F256" s="440"/>
      <c r="G256" s="440"/>
      <c r="H256" s="440"/>
      <c r="I256" s="431"/>
      <c r="J256" s="431"/>
      <c r="K256" s="431"/>
      <c r="L256" s="431"/>
      <c r="M256" s="431"/>
      <c r="N256" s="431"/>
      <c r="O256" s="431"/>
      <c r="P256" s="440"/>
      <c r="Q256" s="440"/>
      <c r="R256" s="440"/>
      <c r="S256" s="440"/>
      <c r="T256" s="440"/>
      <c r="U256" s="440"/>
    </row>
    <row r="257" spans="2:21">
      <c r="B257" s="431"/>
      <c r="C257" s="440"/>
      <c r="D257" s="440"/>
      <c r="E257" s="440"/>
      <c r="F257" s="440"/>
      <c r="G257" s="440"/>
      <c r="H257" s="440"/>
      <c r="I257" s="431"/>
      <c r="J257" s="431"/>
      <c r="K257" s="431"/>
      <c r="L257" s="431"/>
      <c r="M257" s="431"/>
      <c r="N257" s="431"/>
      <c r="O257" s="431"/>
      <c r="P257" s="440"/>
      <c r="Q257" s="440"/>
      <c r="R257" s="440"/>
      <c r="S257" s="440"/>
      <c r="T257" s="440"/>
      <c r="U257" s="440"/>
    </row>
    <row r="258" spans="2:21">
      <c r="B258" s="431"/>
      <c r="C258" s="440"/>
      <c r="D258" s="440"/>
      <c r="E258" s="440"/>
      <c r="F258" s="440"/>
      <c r="G258" s="440"/>
      <c r="H258" s="440"/>
      <c r="I258" s="431"/>
      <c r="J258" s="431"/>
      <c r="K258" s="431"/>
      <c r="L258" s="431"/>
      <c r="M258" s="431"/>
      <c r="N258" s="431"/>
      <c r="O258" s="431"/>
      <c r="P258" s="440"/>
      <c r="Q258" s="440"/>
      <c r="R258" s="440"/>
      <c r="S258" s="440"/>
      <c r="T258" s="440"/>
      <c r="U258" s="440"/>
    </row>
    <row r="259" spans="2:21">
      <c r="B259" s="431"/>
      <c r="C259" s="440"/>
      <c r="D259" s="440"/>
      <c r="E259" s="440"/>
      <c r="F259" s="440"/>
      <c r="G259" s="440"/>
      <c r="H259" s="440"/>
      <c r="I259" s="431"/>
      <c r="J259" s="431"/>
      <c r="K259" s="431"/>
      <c r="L259" s="431"/>
      <c r="M259" s="431"/>
      <c r="N259" s="431"/>
      <c r="O259" s="431"/>
      <c r="P259" s="440"/>
      <c r="Q259" s="440"/>
      <c r="R259" s="440"/>
      <c r="S259" s="440"/>
      <c r="T259" s="440"/>
      <c r="U259" s="440"/>
    </row>
    <row r="260" spans="2:21">
      <c r="B260" s="431"/>
      <c r="C260" s="440"/>
      <c r="D260" s="440"/>
      <c r="E260" s="440"/>
      <c r="F260" s="440"/>
      <c r="G260" s="440"/>
      <c r="H260" s="440"/>
      <c r="I260" s="431"/>
      <c r="J260" s="431"/>
      <c r="K260" s="431"/>
      <c r="L260" s="431"/>
      <c r="M260" s="431"/>
      <c r="N260" s="431"/>
      <c r="O260" s="431"/>
      <c r="P260" s="440"/>
      <c r="Q260" s="440"/>
      <c r="R260" s="440"/>
      <c r="S260" s="440"/>
      <c r="T260" s="440"/>
      <c r="U260" s="440"/>
    </row>
    <row r="261" spans="2:21">
      <c r="B261" s="431"/>
      <c r="C261" s="440"/>
      <c r="D261" s="440"/>
      <c r="E261" s="440"/>
      <c r="F261" s="440"/>
      <c r="G261" s="440"/>
      <c r="H261" s="440"/>
      <c r="I261" s="431"/>
      <c r="J261" s="431"/>
      <c r="K261" s="431"/>
      <c r="L261" s="431"/>
      <c r="M261" s="431"/>
      <c r="N261" s="431"/>
      <c r="O261" s="431"/>
      <c r="P261" s="440"/>
      <c r="Q261" s="440"/>
      <c r="R261" s="440"/>
      <c r="S261" s="440"/>
      <c r="T261" s="440"/>
      <c r="U261" s="440"/>
    </row>
    <row r="262" spans="2:21">
      <c r="B262" s="431"/>
      <c r="C262" s="440"/>
      <c r="D262" s="440"/>
      <c r="E262" s="440"/>
      <c r="F262" s="440"/>
      <c r="G262" s="440"/>
      <c r="H262" s="440"/>
      <c r="I262" s="431"/>
      <c r="J262" s="431"/>
      <c r="K262" s="431"/>
      <c r="L262" s="431"/>
      <c r="M262" s="431"/>
      <c r="N262" s="431"/>
      <c r="O262" s="431"/>
      <c r="P262" s="440"/>
      <c r="Q262" s="440"/>
      <c r="R262" s="440"/>
      <c r="S262" s="440"/>
      <c r="T262" s="440"/>
      <c r="U262" s="440"/>
    </row>
    <row r="263" spans="2:21">
      <c r="B263" s="431"/>
      <c r="C263" s="440"/>
      <c r="D263" s="440"/>
      <c r="E263" s="440"/>
      <c r="F263" s="440"/>
      <c r="G263" s="440"/>
      <c r="H263" s="440"/>
      <c r="I263" s="431"/>
      <c r="J263" s="431"/>
      <c r="K263" s="431"/>
      <c r="L263" s="431"/>
      <c r="M263" s="431"/>
      <c r="N263" s="431"/>
      <c r="O263" s="431"/>
      <c r="P263" s="440"/>
      <c r="Q263" s="440"/>
      <c r="R263" s="440"/>
      <c r="S263" s="440"/>
      <c r="T263" s="440"/>
      <c r="U263" s="440"/>
    </row>
    <row r="264" spans="2:21">
      <c r="B264" s="431"/>
      <c r="C264" s="440"/>
      <c r="D264" s="440"/>
      <c r="E264" s="440"/>
      <c r="F264" s="440"/>
      <c r="G264" s="440"/>
      <c r="H264" s="440"/>
      <c r="I264" s="431"/>
      <c r="J264" s="431"/>
      <c r="K264" s="431"/>
      <c r="L264" s="431"/>
      <c r="M264" s="431"/>
      <c r="N264" s="431"/>
      <c r="O264" s="431"/>
      <c r="P264" s="440"/>
      <c r="Q264" s="440"/>
      <c r="R264" s="440"/>
      <c r="S264" s="440"/>
      <c r="T264" s="440"/>
      <c r="U264" s="440"/>
    </row>
    <row r="265" spans="2:21">
      <c r="B265" s="431"/>
      <c r="C265" s="440"/>
      <c r="D265" s="440"/>
      <c r="E265" s="440"/>
      <c r="F265" s="440"/>
      <c r="G265" s="440"/>
      <c r="H265" s="440"/>
      <c r="I265" s="431"/>
      <c r="J265" s="431"/>
      <c r="K265" s="431"/>
      <c r="L265" s="431"/>
      <c r="M265" s="431"/>
      <c r="N265" s="431"/>
      <c r="O265" s="431"/>
      <c r="P265" s="440"/>
      <c r="Q265" s="440"/>
      <c r="R265" s="440"/>
      <c r="S265" s="440"/>
      <c r="T265" s="440"/>
      <c r="U265" s="440"/>
    </row>
    <row r="266" spans="2:21">
      <c r="B266" s="431"/>
      <c r="C266" s="440"/>
      <c r="D266" s="440"/>
      <c r="E266" s="440"/>
      <c r="F266" s="440"/>
      <c r="G266" s="440"/>
      <c r="H266" s="440"/>
      <c r="I266" s="431"/>
      <c r="J266" s="431"/>
      <c r="K266" s="431"/>
      <c r="L266" s="431"/>
      <c r="M266" s="431"/>
      <c r="N266" s="431"/>
      <c r="O266" s="431"/>
      <c r="P266" s="440"/>
      <c r="Q266" s="440"/>
      <c r="R266" s="440"/>
      <c r="S266" s="440"/>
      <c r="T266" s="440"/>
      <c r="U266" s="440"/>
    </row>
    <row r="267" spans="2:21">
      <c r="B267" s="431"/>
      <c r="C267" s="440"/>
      <c r="D267" s="440"/>
      <c r="E267" s="440"/>
      <c r="F267" s="440"/>
      <c r="G267" s="440"/>
      <c r="H267" s="440"/>
      <c r="I267" s="431"/>
      <c r="J267" s="431"/>
      <c r="K267" s="431"/>
      <c r="L267" s="431"/>
      <c r="M267" s="431"/>
      <c r="N267" s="431"/>
      <c r="O267" s="431"/>
      <c r="P267" s="440"/>
      <c r="Q267" s="440"/>
      <c r="R267" s="440"/>
      <c r="S267" s="440"/>
      <c r="T267" s="440"/>
      <c r="U267" s="440"/>
    </row>
    <row r="268" spans="2:21">
      <c r="B268" s="431"/>
      <c r="C268" s="440"/>
      <c r="D268" s="440"/>
      <c r="E268" s="440"/>
      <c r="F268" s="440"/>
      <c r="G268" s="440"/>
      <c r="H268" s="440"/>
      <c r="I268" s="431"/>
      <c r="J268" s="431"/>
      <c r="K268" s="431"/>
      <c r="L268" s="431"/>
      <c r="M268" s="431"/>
      <c r="N268" s="431"/>
      <c r="O268" s="431"/>
      <c r="P268" s="440"/>
      <c r="Q268" s="440"/>
      <c r="R268" s="440"/>
      <c r="S268" s="440"/>
      <c r="T268" s="440"/>
      <c r="U268" s="440"/>
    </row>
    <row r="269" spans="2:21">
      <c r="B269" s="431"/>
      <c r="C269" s="440"/>
      <c r="D269" s="440"/>
      <c r="E269" s="440"/>
      <c r="F269" s="440"/>
      <c r="G269" s="440"/>
      <c r="H269" s="440"/>
      <c r="I269" s="431"/>
      <c r="J269" s="431"/>
      <c r="K269" s="431"/>
      <c r="L269" s="431"/>
      <c r="M269" s="431"/>
      <c r="N269" s="431"/>
      <c r="O269" s="431"/>
      <c r="P269" s="440"/>
      <c r="Q269" s="440"/>
      <c r="R269" s="440"/>
      <c r="S269" s="440"/>
      <c r="T269" s="440"/>
      <c r="U269" s="440"/>
    </row>
    <row r="270" spans="2:21">
      <c r="B270" s="431"/>
      <c r="C270" s="440"/>
      <c r="D270" s="440"/>
      <c r="E270" s="440"/>
      <c r="F270" s="440"/>
      <c r="G270" s="440"/>
      <c r="H270" s="440"/>
      <c r="I270" s="431"/>
      <c r="J270" s="431"/>
      <c r="K270" s="431"/>
      <c r="L270" s="431"/>
      <c r="M270" s="431"/>
      <c r="N270" s="431"/>
      <c r="O270" s="431"/>
      <c r="P270" s="440"/>
      <c r="Q270" s="440"/>
      <c r="R270" s="440"/>
      <c r="S270" s="440"/>
      <c r="T270" s="440"/>
      <c r="U270" s="440"/>
    </row>
    <row r="271" spans="2:21">
      <c r="B271" s="431"/>
      <c r="C271" s="440"/>
      <c r="D271" s="440"/>
      <c r="E271" s="440"/>
      <c r="F271" s="440"/>
      <c r="G271" s="440"/>
      <c r="H271" s="440"/>
      <c r="I271" s="431"/>
      <c r="J271" s="431"/>
      <c r="K271" s="431"/>
      <c r="L271" s="431"/>
      <c r="M271" s="431"/>
      <c r="N271" s="431"/>
      <c r="O271" s="431"/>
      <c r="P271" s="440"/>
      <c r="Q271" s="440"/>
      <c r="R271" s="440"/>
      <c r="S271" s="440"/>
      <c r="T271" s="440"/>
      <c r="U271" s="440"/>
    </row>
    <row r="272" spans="2:21">
      <c r="B272" s="431"/>
      <c r="C272" s="440"/>
      <c r="D272" s="440"/>
      <c r="E272" s="440"/>
      <c r="F272" s="440"/>
      <c r="G272" s="440"/>
      <c r="H272" s="440"/>
      <c r="I272" s="431"/>
      <c r="J272" s="431"/>
      <c r="K272" s="431"/>
      <c r="L272" s="431"/>
      <c r="M272" s="431"/>
      <c r="N272" s="431"/>
      <c r="O272" s="431"/>
      <c r="P272" s="440"/>
      <c r="Q272" s="440"/>
      <c r="R272" s="440"/>
      <c r="S272" s="440"/>
      <c r="T272" s="440"/>
      <c r="U272" s="440"/>
    </row>
    <row r="273" spans="2:21">
      <c r="B273" s="431"/>
      <c r="C273" s="440"/>
      <c r="D273" s="440"/>
      <c r="E273" s="440"/>
      <c r="F273" s="440"/>
      <c r="G273" s="440"/>
      <c r="H273" s="440"/>
      <c r="I273" s="431"/>
      <c r="J273" s="431"/>
      <c r="K273" s="431"/>
      <c r="L273" s="431"/>
      <c r="M273" s="431"/>
      <c r="N273" s="431"/>
      <c r="O273" s="431"/>
      <c r="P273" s="440"/>
      <c r="Q273" s="440"/>
      <c r="R273" s="440"/>
      <c r="S273" s="440"/>
      <c r="T273" s="440"/>
      <c r="U273" s="440"/>
    </row>
    <row r="274" spans="2:21">
      <c r="B274" s="431"/>
      <c r="C274" s="440"/>
      <c r="D274" s="440"/>
      <c r="E274" s="440"/>
      <c r="F274" s="440"/>
      <c r="G274" s="440"/>
      <c r="H274" s="440"/>
      <c r="I274" s="431"/>
      <c r="J274" s="431"/>
      <c r="K274" s="431"/>
      <c r="L274" s="431"/>
      <c r="M274" s="431"/>
      <c r="N274" s="431"/>
      <c r="O274" s="431"/>
      <c r="P274" s="440"/>
      <c r="Q274" s="440"/>
      <c r="R274" s="440"/>
      <c r="S274" s="440"/>
      <c r="T274" s="440"/>
      <c r="U274" s="440"/>
    </row>
    <row r="275" spans="2:21">
      <c r="B275" s="431"/>
      <c r="C275" s="440"/>
      <c r="D275" s="440"/>
      <c r="E275" s="440"/>
      <c r="F275" s="440"/>
      <c r="G275" s="440"/>
      <c r="H275" s="440"/>
      <c r="I275" s="431"/>
      <c r="J275" s="431"/>
      <c r="K275" s="431"/>
      <c r="L275" s="431"/>
      <c r="M275" s="431"/>
      <c r="N275" s="431"/>
      <c r="O275" s="431"/>
      <c r="P275" s="440"/>
      <c r="Q275" s="440"/>
      <c r="R275" s="440"/>
      <c r="S275" s="440"/>
      <c r="T275" s="440"/>
      <c r="U275" s="440"/>
    </row>
    <row r="276" spans="2:21">
      <c r="B276" s="431"/>
      <c r="C276" s="440"/>
      <c r="D276" s="440"/>
      <c r="E276" s="440"/>
      <c r="F276" s="440"/>
      <c r="G276" s="440"/>
      <c r="H276" s="440"/>
      <c r="I276" s="431"/>
      <c r="J276" s="431"/>
      <c r="K276" s="431"/>
      <c r="L276" s="431"/>
      <c r="M276" s="431"/>
      <c r="N276" s="431"/>
      <c r="O276" s="431"/>
      <c r="P276" s="440"/>
      <c r="Q276" s="440"/>
      <c r="R276" s="440"/>
      <c r="S276" s="440"/>
      <c r="T276" s="440"/>
      <c r="U276" s="440"/>
    </row>
    <row r="277" spans="2:21">
      <c r="B277" s="431"/>
      <c r="C277" s="440"/>
      <c r="D277" s="440"/>
      <c r="E277" s="440"/>
      <c r="F277" s="440"/>
      <c r="G277" s="440"/>
      <c r="H277" s="440"/>
      <c r="I277" s="431"/>
      <c r="J277" s="431"/>
      <c r="K277" s="431"/>
      <c r="L277" s="431"/>
      <c r="M277" s="431"/>
      <c r="N277" s="431"/>
      <c r="O277" s="431"/>
      <c r="P277" s="440"/>
      <c r="Q277" s="440"/>
      <c r="R277" s="440"/>
      <c r="S277" s="440"/>
      <c r="T277" s="440"/>
      <c r="U277" s="440"/>
    </row>
    <row r="278" spans="2:21">
      <c r="B278" s="431"/>
      <c r="C278" s="440"/>
      <c r="D278" s="440"/>
      <c r="E278" s="440"/>
      <c r="F278" s="440"/>
      <c r="G278" s="440"/>
      <c r="H278" s="440"/>
      <c r="I278" s="431"/>
      <c r="J278" s="431"/>
      <c r="K278" s="431"/>
      <c r="L278" s="431"/>
      <c r="M278" s="431"/>
      <c r="N278" s="431"/>
      <c r="O278" s="431"/>
      <c r="P278" s="440"/>
      <c r="Q278" s="440"/>
      <c r="R278" s="440"/>
      <c r="S278" s="440"/>
      <c r="T278" s="440"/>
      <c r="U278" s="440"/>
    </row>
    <row r="279" spans="2:21">
      <c r="B279" s="431"/>
      <c r="C279" s="440"/>
      <c r="D279" s="440"/>
      <c r="E279" s="440"/>
      <c r="F279" s="440"/>
      <c r="G279" s="440"/>
      <c r="H279" s="440"/>
      <c r="I279" s="431"/>
      <c r="J279" s="431"/>
      <c r="K279" s="431"/>
      <c r="L279" s="431"/>
      <c r="M279" s="431"/>
      <c r="N279" s="431"/>
      <c r="O279" s="431"/>
      <c r="P279" s="440"/>
      <c r="Q279" s="440"/>
      <c r="R279" s="440"/>
      <c r="S279" s="440"/>
      <c r="T279" s="440"/>
      <c r="U279" s="440"/>
    </row>
    <row r="280" spans="2:21">
      <c r="B280" s="431"/>
      <c r="C280" s="440"/>
      <c r="D280" s="440"/>
      <c r="E280" s="440"/>
      <c r="F280" s="440"/>
      <c r="G280" s="440"/>
      <c r="H280" s="440"/>
      <c r="I280" s="431"/>
      <c r="J280" s="431"/>
      <c r="K280" s="431"/>
      <c r="L280" s="431"/>
      <c r="M280" s="431"/>
      <c r="N280" s="431"/>
      <c r="O280" s="431"/>
      <c r="P280" s="440"/>
      <c r="Q280" s="440"/>
      <c r="R280" s="440"/>
      <c r="S280" s="440"/>
      <c r="T280" s="440"/>
      <c r="U280" s="440"/>
    </row>
    <row r="281" spans="2:21">
      <c r="B281" s="431"/>
      <c r="C281" s="440"/>
      <c r="D281" s="440"/>
      <c r="E281" s="440"/>
      <c r="F281" s="440"/>
      <c r="G281" s="440"/>
      <c r="H281" s="440"/>
      <c r="I281" s="431"/>
      <c r="J281" s="431"/>
      <c r="K281" s="431"/>
      <c r="L281" s="431"/>
      <c r="M281" s="431"/>
      <c r="N281" s="431"/>
      <c r="O281" s="431"/>
      <c r="P281" s="440"/>
      <c r="Q281" s="440"/>
      <c r="R281" s="440"/>
      <c r="S281" s="440"/>
      <c r="T281" s="440"/>
      <c r="U281" s="440"/>
    </row>
    <row r="282" spans="2:21">
      <c r="B282" s="431"/>
      <c r="C282" s="440"/>
      <c r="D282" s="440"/>
      <c r="E282" s="440"/>
      <c r="F282" s="440"/>
      <c r="G282" s="440"/>
      <c r="H282" s="440"/>
      <c r="I282" s="431"/>
      <c r="J282" s="431"/>
      <c r="K282" s="431"/>
      <c r="L282" s="431"/>
      <c r="M282" s="431"/>
      <c r="N282" s="431"/>
      <c r="O282" s="431"/>
      <c r="P282" s="440"/>
      <c r="Q282" s="440"/>
      <c r="R282" s="440"/>
      <c r="S282" s="440"/>
      <c r="T282" s="440"/>
      <c r="U282" s="440"/>
    </row>
    <row r="283" spans="2:21">
      <c r="B283" s="431"/>
      <c r="C283" s="440"/>
      <c r="D283" s="440"/>
      <c r="E283" s="440"/>
      <c r="F283" s="440"/>
      <c r="G283" s="440"/>
      <c r="H283" s="440"/>
      <c r="I283" s="431"/>
      <c r="J283" s="431"/>
      <c r="K283" s="431"/>
      <c r="L283" s="431"/>
      <c r="M283" s="431"/>
      <c r="N283" s="431"/>
      <c r="O283" s="431"/>
      <c r="P283" s="440"/>
      <c r="Q283" s="440"/>
      <c r="R283" s="440"/>
      <c r="S283" s="440"/>
      <c r="T283" s="440"/>
      <c r="U283" s="440"/>
    </row>
    <row r="284" spans="2:21">
      <c r="B284" s="431"/>
      <c r="C284" s="440"/>
      <c r="D284" s="440"/>
      <c r="E284" s="440"/>
      <c r="F284" s="440"/>
      <c r="G284" s="440"/>
      <c r="H284" s="440"/>
      <c r="I284" s="431"/>
      <c r="J284" s="431"/>
      <c r="K284" s="431"/>
      <c r="L284" s="431"/>
      <c r="M284" s="431"/>
      <c r="N284" s="431"/>
      <c r="O284" s="431"/>
      <c r="P284" s="440"/>
      <c r="Q284" s="440"/>
      <c r="R284" s="440"/>
      <c r="S284" s="440"/>
      <c r="T284" s="440"/>
      <c r="U284" s="440"/>
    </row>
    <row r="285" spans="2:21">
      <c r="B285" s="431"/>
      <c r="C285" s="440"/>
      <c r="D285" s="440"/>
      <c r="E285" s="440"/>
      <c r="F285" s="440"/>
      <c r="G285" s="440"/>
      <c r="H285" s="440"/>
      <c r="I285" s="431"/>
      <c r="J285" s="431"/>
      <c r="K285" s="431"/>
      <c r="L285" s="431"/>
      <c r="M285" s="431"/>
      <c r="N285" s="431"/>
      <c r="O285" s="431"/>
      <c r="P285" s="440"/>
      <c r="Q285" s="440"/>
      <c r="R285" s="440"/>
      <c r="S285" s="440"/>
      <c r="T285" s="440"/>
      <c r="U285" s="440"/>
    </row>
    <row r="286" spans="2:21">
      <c r="B286" s="431"/>
      <c r="C286" s="440"/>
      <c r="D286" s="440"/>
      <c r="E286" s="440"/>
      <c r="F286" s="440"/>
      <c r="G286" s="440"/>
      <c r="H286" s="440"/>
      <c r="I286" s="431"/>
      <c r="J286" s="431"/>
      <c r="K286" s="431"/>
      <c r="L286" s="431"/>
      <c r="M286" s="431"/>
      <c r="N286" s="431"/>
      <c r="O286" s="431"/>
      <c r="P286" s="440"/>
      <c r="Q286" s="440"/>
      <c r="R286" s="440"/>
      <c r="S286" s="440"/>
      <c r="T286" s="440"/>
      <c r="U286" s="440"/>
    </row>
    <row r="287" spans="2:21">
      <c r="B287" s="431"/>
      <c r="C287" s="440"/>
      <c r="D287" s="440"/>
      <c r="E287" s="440"/>
      <c r="F287" s="440"/>
      <c r="G287" s="440"/>
      <c r="H287" s="440"/>
      <c r="I287" s="431"/>
      <c r="J287" s="431"/>
      <c r="K287" s="431"/>
      <c r="L287" s="431"/>
      <c r="M287" s="431"/>
      <c r="N287" s="431"/>
      <c r="O287" s="431"/>
      <c r="P287" s="440"/>
      <c r="Q287" s="440"/>
      <c r="R287" s="440"/>
      <c r="S287" s="440"/>
      <c r="T287" s="440"/>
      <c r="U287" s="440"/>
    </row>
    <row r="288" spans="2:21">
      <c r="B288" s="431"/>
      <c r="C288" s="440"/>
      <c r="D288" s="440"/>
      <c r="E288" s="440"/>
      <c r="F288" s="440"/>
      <c r="G288" s="440"/>
      <c r="H288" s="440"/>
      <c r="I288" s="431"/>
      <c r="J288" s="431"/>
      <c r="K288" s="431"/>
      <c r="L288" s="431"/>
      <c r="M288" s="431"/>
      <c r="N288" s="431"/>
      <c r="O288" s="431"/>
      <c r="P288" s="440"/>
      <c r="Q288" s="440"/>
      <c r="R288" s="440"/>
      <c r="S288" s="440"/>
      <c r="T288" s="440"/>
      <c r="U288" s="440"/>
    </row>
    <row r="289" spans="2:21">
      <c r="B289" s="431"/>
      <c r="C289" s="440"/>
      <c r="D289" s="440"/>
      <c r="E289" s="440"/>
      <c r="F289" s="440"/>
      <c r="G289" s="440"/>
      <c r="H289" s="440"/>
      <c r="I289" s="431"/>
      <c r="J289" s="431"/>
      <c r="K289" s="431"/>
      <c r="L289" s="431"/>
      <c r="M289" s="431"/>
      <c r="N289" s="431"/>
      <c r="O289" s="431"/>
      <c r="P289" s="440"/>
      <c r="Q289" s="440"/>
      <c r="R289" s="440"/>
      <c r="S289" s="440"/>
      <c r="T289" s="440"/>
      <c r="U289" s="440"/>
    </row>
    <row r="290" spans="2:21">
      <c r="B290" s="431"/>
      <c r="C290" s="440"/>
      <c r="D290" s="440"/>
      <c r="E290" s="440"/>
      <c r="F290" s="440"/>
      <c r="G290" s="440"/>
      <c r="H290" s="440"/>
      <c r="I290" s="431"/>
      <c r="J290" s="431"/>
      <c r="K290" s="431"/>
      <c r="L290" s="431"/>
      <c r="M290" s="431"/>
      <c r="N290" s="431"/>
      <c r="O290" s="431"/>
      <c r="P290" s="440"/>
      <c r="Q290" s="440"/>
      <c r="R290" s="440"/>
      <c r="S290" s="440"/>
      <c r="T290" s="440"/>
      <c r="U290" s="440"/>
    </row>
    <row r="291" spans="2:21">
      <c r="B291" s="431"/>
      <c r="C291" s="440"/>
      <c r="D291" s="440"/>
      <c r="E291" s="440"/>
      <c r="F291" s="440"/>
      <c r="G291" s="440"/>
      <c r="H291" s="440"/>
      <c r="I291" s="431"/>
      <c r="J291" s="431"/>
      <c r="K291" s="431"/>
      <c r="L291" s="431"/>
      <c r="M291" s="431"/>
      <c r="N291" s="431"/>
      <c r="O291" s="431"/>
      <c r="P291" s="440"/>
      <c r="Q291" s="440"/>
      <c r="R291" s="440"/>
      <c r="S291" s="440"/>
      <c r="T291" s="440"/>
      <c r="U291" s="440"/>
    </row>
    <row r="292" spans="2:21">
      <c r="B292" s="431"/>
      <c r="C292" s="440"/>
      <c r="D292" s="440"/>
      <c r="E292" s="440"/>
      <c r="F292" s="440"/>
      <c r="G292" s="440"/>
      <c r="H292" s="440"/>
      <c r="I292" s="431"/>
      <c r="J292" s="431"/>
      <c r="K292" s="431"/>
      <c r="L292" s="431"/>
      <c r="M292" s="431"/>
      <c r="N292" s="431"/>
      <c r="O292" s="431"/>
      <c r="P292" s="440"/>
      <c r="Q292" s="440"/>
      <c r="R292" s="440"/>
      <c r="S292" s="440"/>
      <c r="T292" s="440"/>
      <c r="U292" s="440"/>
    </row>
    <row r="293" spans="2:21">
      <c r="B293" s="431"/>
      <c r="C293" s="440"/>
      <c r="D293" s="440"/>
      <c r="E293" s="440"/>
      <c r="F293" s="440"/>
      <c r="G293" s="440"/>
      <c r="H293" s="440"/>
      <c r="I293" s="431"/>
      <c r="J293" s="431"/>
      <c r="K293" s="431"/>
      <c r="L293" s="431"/>
      <c r="M293" s="431"/>
      <c r="N293" s="431"/>
      <c r="O293" s="431"/>
      <c r="P293" s="440"/>
      <c r="Q293" s="440"/>
      <c r="R293" s="440"/>
      <c r="S293" s="440"/>
      <c r="T293" s="440"/>
      <c r="U293" s="440"/>
    </row>
    <row r="294" spans="2:21">
      <c r="B294" s="431"/>
      <c r="C294" s="440"/>
      <c r="D294" s="440"/>
      <c r="E294" s="440"/>
      <c r="F294" s="440"/>
      <c r="G294" s="440"/>
      <c r="H294" s="440"/>
      <c r="I294" s="431"/>
      <c r="J294" s="431"/>
      <c r="K294" s="431"/>
      <c r="L294" s="431"/>
      <c r="M294" s="431"/>
      <c r="N294" s="431"/>
      <c r="O294" s="431"/>
      <c r="P294" s="440"/>
      <c r="Q294" s="440"/>
      <c r="R294" s="440"/>
      <c r="S294" s="440"/>
      <c r="T294" s="440"/>
      <c r="U294" s="440"/>
    </row>
    <row r="295" spans="2:21">
      <c r="B295" s="431"/>
      <c r="C295" s="440"/>
      <c r="D295" s="440"/>
      <c r="E295" s="440"/>
      <c r="F295" s="440"/>
      <c r="G295" s="440"/>
      <c r="H295" s="440"/>
      <c r="I295" s="431"/>
      <c r="J295" s="431"/>
      <c r="K295" s="431"/>
      <c r="L295" s="431"/>
      <c r="M295" s="431"/>
      <c r="N295" s="431"/>
      <c r="O295" s="431"/>
      <c r="P295" s="440"/>
      <c r="Q295" s="440"/>
      <c r="R295" s="440"/>
      <c r="S295" s="440"/>
      <c r="T295" s="440"/>
      <c r="U295" s="440"/>
    </row>
    <row r="296" spans="2:21">
      <c r="B296" s="431"/>
      <c r="C296" s="440"/>
      <c r="D296" s="440"/>
      <c r="E296" s="440"/>
      <c r="F296" s="440"/>
      <c r="G296" s="440"/>
      <c r="H296" s="440"/>
      <c r="I296" s="431"/>
      <c r="J296" s="431"/>
      <c r="K296" s="431"/>
      <c r="L296" s="431"/>
      <c r="M296" s="431"/>
      <c r="N296" s="431"/>
      <c r="O296" s="431"/>
      <c r="P296" s="440"/>
      <c r="Q296" s="440"/>
      <c r="R296" s="440"/>
      <c r="S296" s="440"/>
      <c r="T296" s="440"/>
      <c r="U296" s="440"/>
    </row>
    <row r="297" spans="2:21">
      <c r="B297" s="431"/>
      <c r="C297" s="440"/>
      <c r="D297" s="440"/>
      <c r="E297" s="440"/>
      <c r="F297" s="440"/>
      <c r="G297" s="440"/>
      <c r="H297" s="440"/>
      <c r="I297" s="431"/>
      <c r="J297" s="431"/>
      <c r="K297" s="431"/>
      <c r="L297" s="431"/>
      <c r="M297" s="431"/>
      <c r="N297" s="431"/>
      <c r="O297" s="431"/>
      <c r="P297" s="440"/>
      <c r="Q297" s="440"/>
      <c r="R297" s="440"/>
      <c r="S297" s="440"/>
      <c r="T297" s="440"/>
      <c r="U297" s="440"/>
    </row>
    <row r="298" spans="2:21">
      <c r="B298" s="431"/>
      <c r="C298" s="440"/>
      <c r="D298" s="440"/>
      <c r="E298" s="440"/>
      <c r="F298" s="440"/>
      <c r="G298" s="440"/>
      <c r="H298" s="440"/>
      <c r="I298" s="431"/>
      <c r="J298" s="431"/>
      <c r="K298" s="431"/>
      <c r="L298" s="431"/>
      <c r="M298" s="431"/>
      <c r="N298" s="431"/>
      <c r="O298" s="431"/>
      <c r="P298" s="440"/>
      <c r="Q298" s="440"/>
      <c r="R298" s="440"/>
      <c r="S298" s="440"/>
      <c r="T298" s="440"/>
      <c r="U298" s="440"/>
    </row>
    <row r="299" spans="2:21">
      <c r="B299" s="431"/>
      <c r="C299" s="440"/>
      <c r="D299" s="440"/>
      <c r="E299" s="440"/>
      <c r="F299" s="440"/>
      <c r="G299" s="440"/>
      <c r="H299" s="440"/>
      <c r="I299" s="431"/>
      <c r="J299" s="431"/>
      <c r="K299" s="431"/>
      <c r="L299" s="431"/>
      <c r="M299" s="431"/>
      <c r="N299" s="431"/>
      <c r="O299" s="431"/>
      <c r="P299" s="440"/>
      <c r="Q299" s="440"/>
      <c r="R299" s="440"/>
      <c r="S299" s="440"/>
      <c r="T299" s="440"/>
      <c r="U299" s="440"/>
    </row>
    <row r="300" spans="2:21">
      <c r="B300" s="431"/>
      <c r="C300" s="440"/>
      <c r="D300" s="440"/>
      <c r="E300" s="440"/>
      <c r="F300" s="440"/>
      <c r="G300" s="440"/>
      <c r="H300" s="440"/>
      <c r="I300" s="431"/>
      <c r="J300" s="431"/>
      <c r="K300" s="431"/>
      <c r="L300" s="431"/>
      <c r="M300" s="431"/>
      <c r="N300" s="431"/>
      <c r="O300" s="431"/>
      <c r="P300" s="440"/>
      <c r="Q300" s="440"/>
      <c r="R300" s="440"/>
      <c r="S300" s="440"/>
      <c r="T300" s="440"/>
      <c r="U300" s="440"/>
    </row>
    <row r="301" spans="2:21">
      <c r="B301" s="431"/>
      <c r="C301" s="440"/>
      <c r="D301" s="440"/>
      <c r="E301" s="440"/>
      <c r="F301" s="440"/>
      <c r="G301" s="440"/>
      <c r="H301" s="440"/>
      <c r="I301" s="431"/>
      <c r="J301" s="431"/>
      <c r="K301" s="431"/>
      <c r="L301" s="431"/>
      <c r="M301" s="431"/>
      <c r="N301" s="431"/>
      <c r="O301" s="431"/>
      <c r="P301" s="440"/>
      <c r="Q301" s="440"/>
      <c r="R301" s="440"/>
      <c r="S301" s="440"/>
      <c r="T301" s="440"/>
      <c r="U301" s="440"/>
    </row>
    <row r="302" spans="2:21">
      <c r="B302" s="431"/>
      <c r="C302" s="440"/>
      <c r="D302" s="440"/>
      <c r="E302" s="440"/>
      <c r="F302" s="440"/>
      <c r="G302" s="440"/>
      <c r="H302" s="440"/>
      <c r="I302" s="431"/>
      <c r="J302" s="431"/>
      <c r="K302" s="431"/>
      <c r="L302" s="431"/>
      <c r="M302" s="431"/>
      <c r="N302" s="431"/>
      <c r="O302" s="431"/>
      <c r="P302" s="440"/>
      <c r="Q302" s="440"/>
      <c r="R302" s="440"/>
      <c r="S302" s="440"/>
      <c r="T302" s="440"/>
      <c r="U302" s="440"/>
    </row>
    <row r="303" spans="2:21">
      <c r="B303" s="431"/>
      <c r="C303" s="440"/>
      <c r="D303" s="440"/>
      <c r="E303" s="440"/>
      <c r="F303" s="440"/>
      <c r="G303" s="440"/>
      <c r="H303" s="440"/>
      <c r="I303" s="431"/>
      <c r="J303" s="431"/>
      <c r="K303" s="431"/>
      <c r="L303" s="431"/>
      <c r="M303" s="431"/>
      <c r="N303" s="431"/>
      <c r="O303" s="431"/>
      <c r="P303" s="440"/>
      <c r="Q303" s="440"/>
      <c r="R303" s="440"/>
      <c r="S303" s="440"/>
      <c r="T303" s="440"/>
      <c r="U303" s="440"/>
    </row>
    <row r="304" spans="2:21">
      <c r="B304" s="431"/>
      <c r="C304" s="440"/>
      <c r="D304" s="440"/>
      <c r="E304" s="440"/>
      <c r="F304" s="440"/>
      <c r="G304" s="440"/>
      <c r="H304" s="440"/>
      <c r="I304" s="431"/>
      <c r="J304" s="431"/>
      <c r="K304" s="431"/>
      <c r="L304" s="431"/>
      <c r="M304" s="431"/>
      <c r="N304" s="431"/>
      <c r="O304" s="431"/>
      <c r="P304" s="440"/>
      <c r="Q304" s="440"/>
      <c r="R304" s="440"/>
      <c r="S304" s="440"/>
      <c r="T304" s="440"/>
      <c r="U304" s="440"/>
    </row>
    <row r="305" spans="2:21">
      <c r="B305" s="431"/>
      <c r="C305" s="440"/>
      <c r="D305" s="440"/>
      <c r="E305" s="440"/>
      <c r="F305" s="440"/>
      <c r="G305" s="440"/>
      <c r="H305" s="440"/>
      <c r="I305" s="431"/>
      <c r="J305" s="431"/>
      <c r="K305" s="431"/>
      <c r="L305" s="431"/>
      <c r="M305" s="431"/>
      <c r="N305" s="431"/>
      <c r="O305" s="431"/>
      <c r="P305" s="440"/>
      <c r="Q305" s="440"/>
      <c r="R305" s="440"/>
      <c r="S305" s="440"/>
      <c r="T305" s="440"/>
      <c r="U305" s="440"/>
    </row>
    <row r="306" spans="2:21">
      <c r="B306" s="431"/>
      <c r="C306" s="440"/>
      <c r="D306" s="440"/>
      <c r="E306" s="440"/>
      <c r="F306" s="440"/>
      <c r="G306" s="440"/>
      <c r="H306" s="440"/>
      <c r="I306" s="431"/>
      <c r="J306" s="431"/>
      <c r="K306" s="431"/>
      <c r="L306" s="431"/>
      <c r="M306" s="431"/>
      <c r="N306" s="431"/>
      <c r="O306" s="431"/>
      <c r="P306" s="440"/>
      <c r="Q306" s="440"/>
      <c r="R306" s="440"/>
      <c r="S306" s="440"/>
      <c r="T306" s="440"/>
      <c r="U306" s="440"/>
    </row>
    <row r="307" spans="2:21">
      <c r="B307" s="431"/>
      <c r="C307" s="440"/>
      <c r="D307" s="440"/>
      <c r="E307" s="440"/>
      <c r="F307" s="440"/>
      <c r="G307" s="440"/>
      <c r="H307" s="440"/>
      <c r="I307" s="431"/>
      <c r="J307" s="431"/>
      <c r="K307" s="431"/>
      <c r="L307" s="431"/>
      <c r="M307" s="431"/>
      <c r="N307" s="431"/>
      <c r="O307" s="431"/>
      <c r="P307" s="440"/>
      <c r="Q307" s="440"/>
      <c r="R307" s="440"/>
      <c r="S307" s="440"/>
      <c r="T307" s="440"/>
      <c r="U307" s="440"/>
    </row>
    <row r="308" spans="2:21">
      <c r="B308" s="431"/>
      <c r="C308" s="440"/>
      <c r="D308" s="440"/>
      <c r="E308" s="440"/>
      <c r="F308" s="440"/>
      <c r="G308" s="440"/>
      <c r="H308" s="440"/>
      <c r="I308" s="431"/>
      <c r="J308" s="431"/>
      <c r="K308" s="431"/>
      <c r="L308" s="431"/>
      <c r="M308" s="431"/>
      <c r="N308" s="431"/>
      <c r="O308" s="431"/>
      <c r="P308" s="440"/>
      <c r="Q308" s="440"/>
      <c r="R308" s="440"/>
      <c r="S308" s="440"/>
      <c r="T308" s="440"/>
      <c r="U308" s="440"/>
    </row>
    <row r="309" spans="2:21">
      <c r="B309" s="431"/>
      <c r="C309" s="440"/>
      <c r="D309" s="440"/>
      <c r="E309" s="440"/>
      <c r="F309" s="440"/>
      <c r="G309" s="440"/>
      <c r="H309" s="440"/>
      <c r="I309" s="431"/>
      <c r="J309" s="431"/>
      <c r="K309" s="431"/>
      <c r="L309" s="431"/>
      <c r="M309" s="431"/>
      <c r="N309" s="431"/>
      <c r="O309" s="431"/>
      <c r="P309" s="440"/>
      <c r="Q309" s="440"/>
      <c r="R309" s="440"/>
      <c r="S309" s="440"/>
      <c r="T309" s="440"/>
      <c r="U309" s="440"/>
    </row>
    <row r="310" spans="2:21">
      <c r="B310" s="431"/>
      <c r="C310" s="440"/>
      <c r="D310" s="440"/>
      <c r="E310" s="440"/>
      <c r="F310" s="440"/>
      <c r="G310" s="440"/>
      <c r="H310" s="440"/>
      <c r="I310" s="431"/>
      <c r="J310" s="431"/>
      <c r="K310" s="431"/>
      <c r="L310" s="431"/>
      <c r="M310" s="431"/>
      <c r="N310" s="431"/>
      <c r="O310" s="431"/>
      <c r="P310" s="440"/>
      <c r="Q310" s="440"/>
      <c r="R310" s="440"/>
      <c r="S310" s="440"/>
      <c r="T310" s="440"/>
      <c r="U310" s="440"/>
    </row>
    <row r="311" spans="2:21">
      <c r="B311" s="431"/>
      <c r="C311" s="440"/>
      <c r="D311" s="440"/>
      <c r="E311" s="440"/>
      <c r="F311" s="440"/>
      <c r="G311" s="440"/>
      <c r="H311" s="440"/>
      <c r="I311" s="431"/>
      <c r="J311" s="431"/>
      <c r="K311" s="431"/>
      <c r="L311" s="431"/>
      <c r="M311" s="431"/>
      <c r="N311" s="431"/>
      <c r="O311" s="431"/>
      <c r="P311" s="440"/>
      <c r="Q311" s="440"/>
      <c r="R311" s="440"/>
      <c r="S311" s="440"/>
      <c r="T311" s="440"/>
      <c r="U311" s="440"/>
    </row>
    <row r="312" spans="2:21">
      <c r="B312" s="431"/>
      <c r="C312" s="440"/>
      <c r="D312" s="440"/>
      <c r="E312" s="440"/>
      <c r="F312" s="440"/>
      <c r="G312" s="440"/>
      <c r="H312" s="440"/>
      <c r="I312" s="431"/>
      <c r="J312" s="431"/>
      <c r="K312" s="431"/>
      <c r="L312" s="431"/>
      <c r="M312" s="431"/>
      <c r="N312" s="431"/>
      <c r="O312" s="431"/>
      <c r="P312" s="440"/>
      <c r="Q312" s="440"/>
      <c r="R312" s="440"/>
      <c r="S312" s="440"/>
      <c r="T312" s="440"/>
      <c r="U312" s="440"/>
    </row>
    <row r="313" spans="2:21">
      <c r="B313" s="431"/>
      <c r="C313" s="440"/>
      <c r="D313" s="440"/>
      <c r="E313" s="440"/>
      <c r="F313" s="440"/>
      <c r="G313" s="440"/>
      <c r="H313" s="440"/>
      <c r="I313" s="431"/>
      <c r="J313" s="431"/>
      <c r="K313" s="431"/>
      <c r="L313" s="431"/>
      <c r="M313" s="431"/>
      <c r="N313" s="431"/>
      <c r="O313" s="431"/>
      <c r="P313" s="440"/>
      <c r="Q313" s="440"/>
      <c r="R313" s="440"/>
      <c r="S313" s="440"/>
      <c r="T313" s="440"/>
      <c r="U313" s="440"/>
    </row>
    <row r="314" spans="2:21">
      <c r="B314" s="431"/>
      <c r="C314" s="440"/>
      <c r="D314" s="440"/>
      <c r="E314" s="440"/>
      <c r="F314" s="440"/>
      <c r="G314" s="440"/>
      <c r="H314" s="440"/>
      <c r="I314" s="431"/>
      <c r="J314" s="431"/>
      <c r="K314" s="431"/>
      <c r="L314" s="431"/>
      <c r="M314" s="431"/>
      <c r="N314" s="431"/>
      <c r="O314" s="431"/>
      <c r="P314" s="440"/>
      <c r="Q314" s="440"/>
      <c r="R314" s="440"/>
      <c r="S314" s="440"/>
      <c r="T314" s="440"/>
      <c r="U314" s="440"/>
    </row>
    <row r="315" spans="2:21">
      <c r="B315" s="431"/>
      <c r="C315" s="440"/>
      <c r="D315" s="440"/>
      <c r="E315" s="440"/>
      <c r="F315" s="440"/>
      <c r="G315" s="440"/>
      <c r="H315" s="440"/>
      <c r="I315" s="431"/>
      <c r="J315" s="431"/>
      <c r="K315" s="431"/>
      <c r="L315" s="431"/>
      <c r="M315" s="431"/>
      <c r="N315" s="431"/>
      <c r="O315" s="431"/>
      <c r="P315" s="440"/>
      <c r="Q315" s="440"/>
      <c r="R315" s="440"/>
      <c r="S315" s="440"/>
      <c r="T315" s="440"/>
      <c r="U315" s="440"/>
    </row>
    <row r="316" spans="2:21">
      <c r="B316" s="431"/>
      <c r="C316" s="440"/>
      <c r="D316" s="440"/>
      <c r="E316" s="440"/>
      <c r="F316" s="440"/>
      <c r="G316" s="440"/>
      <c r="H316" s="440"/>
      <c r="I316" s="431"/>
      <c r="J316" s="431"/>
      <c r="K316" s="431"/>
      <c r="L316" s="431"/>
      <c r="M316" s="431"/>
      <c r="N316" s="431"/>
      <c r="O316" s="431"/>
      <c r="P316" s="440"/>
      <c r="Q316" s="440"/>
      <c r="R316" s="440"/>
      <c r="S316" s="440"/>
      <c r="T316" s="440"/>
      <c r="U316" s="440"/>
    </row>
    <row r="317" spans="2:21">
      <c r="B317" s="431"/>
      <c r="C317" s="440"/>
      <c r="D317" s="440"/>
      <c r="E317" s="440"/>
      <c r="F317" s="440"/>
      <c r="G317" s="440"/>
      <c r="H317" s="440"/>
      <c r="I317" s="431"/>
      <c r="J317" s="431"/>
      <c r="K317" s="431"/>
      <c r="L317" s="431"/>
      <c r="M317" s="431"/>
      <c r="N317" s="431"/>
      <c r="O317" s="431"/>
      <c r="P317" s="440"/>
      <c r="Q317" s="440"/>
      <c r="R317" s="440"/>
      <c r="S317" s="440"/>
      <c r="T317" s="440"/>
      <c r="U317" s="440"/>
    </row>
    <row r="318" spans="2:21">
      <c r="B318" s="431"/>
      <c r="C318" s="440"/>
      <c r="D318" s="440"/>
      <c r="E318" s="440"/>
      <c r="F318" s="440"/>
      <c r="G318" s="440"/>
      <c r="H318" s="440"/>
      <c r="I318" s="431"/>
      <c r="J318" s="431"/>
      <c r="K318" s="431"/>
      <c r="L318" s="431"/>
      <c r="M318" s="431"/>
      <c r="N318" s="431"/>
      <c r="O318" s="431"/>
      <c r="P318" s="440"/>
      <c r="Q318" s="440"/>
      <c r="R318" s="440"/>
      <c r="S318" s="440"/>
      <c r="T318" s="440"/>
      <c r="U318" s="440"/>
    </row>
    <row r="319" spans="2:21">
      <c r="B319" s="431"/>
      <c r="C319" s="440"/>
      <c r="D319" s="440"/>
      <c r="E319" s="440"/>
      <c r="F319" s="440"/>
      <c r="G319" s="440"/>
      <c r="H319" s="440"/>
      <c r="I319" s="431"/>
      <c r="J319" s="431"/>
      <c r="K319" s="431"/>
      <c r="L319" s="431"/>
      <c r="M319" s="431"/>
      <c r="N319" s="431"/>
      <c r="O319" s="431"/>
      <c r="P319" s="440"/>
      <c r="Q319" s="440"/>
      <c r="R319" s="440"/>
      <c r="S319" s="440"/>
      <c r="T319" s="440"/>
      <c r="U319" s="440"/>
    </row>
    <row r="320" spans="2:21">
      <c r="B320" s="431"/>
      <c r="C320" s="440"/>
      <c r="D320" s="440"/>
      <c r="E320" s="440"/>
      <c r="F320" s="440"/>
      <c r="G320" s="440"/>
      <c r="H320" s="440"/>
      <c r="I320" s="431"/>
      <c r="J320" s="431"/>
      <c r="K320" s="431"/>
      <c r="L320" s="431"/>
      <c r="M320" s="431"/>
      <c r="N320" s="431"/>
      <c r="O320" s="431"/>
      <c r="P320" s="440"/>
      <c r="Q320" s="440"/>
      <c r="R320" s="440"/>
      <c r="S320" s="440"/>
      <c r="T320" s="440"/>
      <c r="U320" s="440"/>
    </row>
    <row r="321" spans="2:21">
      <c r="B321" s="431"/>
      <c r="C321" s="440"/>
      <c r="D321" s="440"/>
      <c r="E321" s="440"/>
      <c r="F321" s="440"/>
      <c r="G321" s="440"/>
      <c r="H321" s="440"/>
      <c r="I321" s="431"/>
      <c r="J321" s="431"/>
      <c r="K321" s="431"/>
      <c r="L321" s="431"/>
      <c r="M321" s="431"/>
      <c r="N321" s="431"/>
      <c r="O321" s="431"/>
      <c r="P321" s="440"/>
      <c r="Q321" s="440"/>
      <c r="R321" s="440"/>
      <c r="S321" s="440"/>
      <c r="T321" s="440"/>
      <c r="U321" s="440"/>
    </row>
    <row r="322" spans="2:21">
      <c r="B322" s="431"/>
      <c r="C322" s="440"/>
      <c r="D322" s="440"/>
      <c r="E322" s="440"/>
      <c r="F322" s="440"/>
      <c r="G322" s="440"/>
      <c r="H322" s="440"/>
      <c r="I322" s="431"/>
      <c r="J322" s="431"/>
      <c r="K322" s="431"/>
      <c r="L322" s="431"/>
      <c r="M322" s="431"/>
      <c r="N322" s="431"/>
      <c r="O322" s="431"/>
      <c r="P322" s="440"/>
      <c r="Q322" s="440"/>
      <c r="R322" s="440"/>
      <c r="S322" s="440"/>
      <c r="T322" s="440"/>
      <c r="U322" s="440"/>
    </row>
    <row r="323" spans="2:21">
      <c r="B323" s="431"/>
      <c r="C323" s="440"/>
      <c r="D323" s="440"/>
      <c r="E323" s="440"/>
      <c r="F323" s="440"/>
      <c r="G323" s="440"/>
      <c r="H323" s="440"/>
      <c r="I323" s="431"/>
      <c r="J323" s="431"/>
      <c r="K323" s="431"/>
      <c r="L323" s="431"/>
      <c r="M323" s="431"/>
      <c r="N323" s="431"/>
      <c r="O323" s="431"/>
      <c r="P323" s="440"/>
      <c r="Q323" s="440"/>
      <c r="R323" s="440"/>
      <c r="S323" s="440"/>
      <c r="T323" s="440"/>
      <c r="U323" s="440"/>
    </row>
    <row r="324" spans="2:21">
      <c r="B324" s="431"/>
      <c r="C324" s="440"/>
      <c r="D324" s="440"/>
      <c r="E324" s="440"/>
      <c r="F324" s="440"/>
      <c r="G324" s="440"/>
      <c r="H324" s="440"/>
      <c r="I324" s="431"/>
      <c r="J324" s="431"/>
      <c r="K324" s="431"/>
      <c r="L324" s="431"/>
      <c r="M324" s="431"/>
      <c r="N324" s="431"/>
      <c r="O324" s="431"/>
      <c r="P324" s="440"/>
      <c r="Q324" s="440"/>
      <c r="R324" s="440"/>
      <c r="S324" s="440"/>
      <c r="T324" s="440"/>
      <c r="U324" s="440"/>
    </row>
    <row r="325" spans="2:21">
      <c r="B325" s="431"/>
      <c r="C325" s="440"/>
      <c r="D325" s="440"/>
      <c r="E325" s="440"/>
      <c r="F325" s="440"/>
      <c r="G325" s="440"/>
      <c r="H325" s="440"/>
      <c r="I325" s="431"/>
      <c r="J325" s="431"/>
      <c r="K325" s="431"/>
      <c r="L325" s="431"/>
      <c r="M325" s="431"/>
      <c r="N325" s="431"/>
      <c r="O325" s="431"/>
      <c r="P325" s="440"/>
      <c r="Q325" s="440"/>
      <c r="R325" s="440"/>
      <c r="S325" s="440"/>
      <c r="T325" s="440"/>
      <c r="U325" s="440"/>
    </row>
    <row r="326" spans="2:21">
      <c r="B326" s="431"/>
      <c r="C326" s="440"/>
      <c r="D326" s="440"/>
      <c r="E326" s="440"/>
      <c r="F326" s="440"/>
      <c r="G326" s="440"/>
      <c r="H326" s="440"/>
      <c r="I326" s="431"/>
      <c r="J326" s="431"/>
      <c r="K326" s="431"/>
      <c r="L326" s="431"/>
      <c r="M326" s="431"/>
      <c r="N326" s="431"/>
      <c r="O326" s="431"/>
      <c r="P326" s="440"/>
      <c r="Q326" s="440"/>
      <c r="R326" s="440"/>
      <c r="S326" s="440"/>
      <c r="T326" s="440"/>
      <c r="U326" s="440"/>
    </row>
    <row r="327" spans="2:21">
      <c r="B327" s="431"/>
      <c r="C327" s="440"/>
      <c r="D327" s="440"/>
      <c r="E327" s="440"/>
      <c r="F327" s="440"/>
      <c r="G327" s="440"/>
      <c r="H327" s="440"/>
      <c r="I327" s="431"/>
      <c r="J327" s="431"/>
      <c r="K327" s="431"/>
      <c r="L327" s="431"/>
      <c r="M327" s="431"/>
      <c r="N327" s="431"/>
      <c r="O327" s="431"/>
      <c r="P327" s="440"/>
      <c r="Q327" s="440"/>
      <c r="R327" s="440"/>
      <c r="S327" s="440"/>
      <c r="T327" s="440"/>
      <c r="U327" s="440"/>
    </row>
    <row r="328" spans="2:21">
      <c r="B328" s="431"/>
      <c r="C328" s="440"/>
      <c r="D328" s="440"/>
      <c r="E328" s="440"/>
      <c r="F328" s="440"/>
      <c r="G328" s="440"/>
      <c r="H328" s="440"/>
      <c r="I328" s="431"/>
      <c r="J328" s="431"/>
      <c r="K328" s="431"/>
      <c r="L328" s="431"/>
      <c r="M328" s="431"/>
      <c r="N328" s="431"/>
      <c r="O328" s="431"/>
      <c r="P328" s="440"/>
      <c r="Q328" s="440"/>
      <c r="R328" s="440"/>
      <c r="S328" s="440"/>
      <c r="T328" s="440"/>
      <c r="U328" s="440"/>
    </row>
    <row r="329" spans="2:21">
      <c r="B329" s="431"/>
      <c r="C329" s="440"/>
      <c r="D329" s="440"/>
      <c r="E329" s="440"/>
      <c r="F329" s="440"/>
      <c r="G329" s="440"/>
      <c r="H329" s="440"/>
      <c r="I329" s="431"/>
      <c r="J329" s="431"/>
      <c r="K329" s="431"/>
      <c r="L329" s="431"/>
      <c r="M329" s="431"/>
      <c r="N329" s="431"/>
      <c r="O329" s="431"/>
      <c r="P329" s="440"/>
      <c r="Q329" s="440"/>
      <c r="R329" s="440"/>
      <c r="S329" s="440"/>
      <c r="T329" s="440"/>
      <c r="U329" s="440"/>
    </row>
    <row r="330" spans="2:21">
      <c r="B330" s="431"/>
      <c r="C330" s="440"/>
      <c r="D330" s="440"/>
      <c r="E330" s="440"/>
      <c r="F330" s="440"/>
      <c r="G330" s="440"/>
      <c r="H330" s="440"/>
      <c r="I330" s="431"/>
      <c r="J330" s="431"/>
      <c r="K330" s="431"/>
      <c r="L330" s="431"/>
      <c r="M330" s="431"/>
      <c r="N330" s="431"/>
      <c r="O330" s="431"/>
      <c r="P330" s="440"/>
      <c r="Q330" s="440"/>
      <c r="R330" s="440"/>
      <c r="S330" s="440"/>
      <c r="T330" s="440"/>
      <c r="U330" s="440"/>
    </row>
    <row r="331" spans="2:21">
      <c r="B331" s="431"/>
      <c r="C331" s="440"/>
      <c r="D331" s="440"/>
      <c r="E331" s="440"/>
      <c r="F331" s="440"/>
      <c r="G331" s="440"/>
      <c r="H331" s="440"/>
      <c r="I331" s="431"/>
      <c r="J331" s="431"/>
      <c r="K331" s="431"/>
      <c r="L331" s="431"/>
      <c r="M331" s="431"/>
      <c r="N331" s="431"/>
      <c r="O331" s="431"/>
      <c r="P331" s="440"/>
      <c r="Q331" s="440"/>
      <c r="R331" s="440"/>
      <c r="S331" s="440"/>
      <c r="T331" s="440"/>
      <c r="U331" s="440"/>
    </row>
    <row r="332" spans="2:21">
      <c r="B332" s="431"/>
      <c r="C332" s="440"/>
      <c r="D332" s="440"/>
      <c r="E332" s="440"/>
      <c r="F332" s="440"/>
      <c r="G332" s="440"/>
      <c r="H332" s="440"/>
      <c r="I332" s="431"/>
      <c r="J332" s="431"/>
      <c r="K332" s="431"/>
      <c r="L332" s="431"/>
      <c r="M332" s="431"/>
      <c r="N332" s="431"/>
      <c r="O332" s="431"/>
      <c r="P332" s="440"/>
      <c r="Q332" s="440"/>
      <c r="R332" s="440"/>
      <c r="S332" s="440"/>
      <c r="T332" s="440"/>
      <c r="U332" s="440"/>
    </row>
    <row r="333" spans="2:21">
      <c r="B333" s="431"/>
      <c r="C333" s="440"/>
      <c r="D333" s="440"/>
      <c r="E333" s="440"/>
      <c r="F333" s="440"/>
      <c r="G333" s="440"/>
      <c r="H333" s="440"/>
      <c r="I333" s="431"/>
      <c r="J333" s="431"/>
      <c r="K333" s="431"/>
      <c r="L333" s="431"/>
      <c r="M333" s="431"/>
      <c r="N333" s="431"/>
      <c r="O333" s="431"/>
      <c r="P333" s="440"/>
      <c r="Q333" s="440"/>
      <c r="R333" s="440"/>
      <c r="S333" s="440"/>
      <c r="T333" s="440"/>
      <c r="U333" s="440"/>
    </row>
    <row r="334" spans="2:21">
      <c r="B334" s="431"/>
      <c r="C334" s="440"/>
      <c r="D334" s="440"/>
      <c r="E334" s="440"/>
      <c r="F334" s="440"/>
      <c r="G334" s="440"/>
      <c r="H334" s="440"/>
      <c r="I334" s="431"/>
      <c r="J334" s="431"/>
      <c r="K334" s="431"/>
      <c r="L334" s="431"/>
      <c r="M334" s="431"/>
      <c r="N334" s="431"/>
      <c r="O334" s="431"/>
      <c r="P334" s="440"/>
      <c r="Q334" s="440"/>
      <c r="R334" s="440"/>
      <c r="S334" s="440"/>
      <c r="T334" s="440"/>
      <c r="U334" s="440"/>
    </row>
    <row r="335" spans="2:21">
      <c r="B335" s="431"/>
      <c r="C335" s="440"/>
      <c r="D335" s="440"/>
      <c r="E335" s="440"/>
      <c r="F335" s="440"/>
      <c r="G335" s="440"/>
      <c r="H335" s="440"/>
      <c r="I335" s="431"/>
      <c r="J335" s="431"/>
      <c r="K335" s="431"/>
      <c r="L335" s="431"/>
      <c r="M335" s="431"/>
      <c r="N335" s="431"/>
      <c r="O335" s="431"/>
      <c r="P335" s="440"/>
      <c r="Q335" s="440"/>
      <c r="R335" s="440"/>
      <c r="S335" s="440"/>
      <c r="T335" s="440"/>
      <c r="U335" s="440"/>
    </row>
    <row r="336" spans="2:21">
      <c r="B336" s="431"/>
      <c r="C336" s="440"/>
      <c r="D336" s="440"/>
      <c r="E336" s="440"/>
      <c r="F336" s="440"/>
      <c r="G336" s="440"/>
      <c r="H336" s="440"/>
      <c r="I336" s="431"/>
      <c r="J336" s="431"/>
      <c r="K336" s="431"/>
      <c r="L336" s="431"/>
      <c r="M336" s="431"/>
      <c r="N336" s="431"/>
      <c r="O336" s="431"/>
      <c r="P336" s="440"/>
      <c r="Q336" s="440"/>
      <c r="R336" s="440"/>
      <c r="S336" s="440"/>
      <c r="T336" s="440"/>
      <c r="U336" s="440"/>
    </row>
    <row r="337" spans="2:21">
      <c r="B337" s="431"/>
      <c r="C337" s="440"/>
      <c r="D337" s="440"/>
      <c r="E337" s="440"/>
      <c r="F337" s="440"/>
      <c r="G337" s="440"/>
      <c r="H337" s="440"/>
      <c r="I337" s="431"/>
      <c r="J337" s="431"/>
      <c r="K337" s="431"/>
      <c r="L337" s="431"/>
      <c r="M337" s="431"/>
      <c r="N337" s="431"/>
      <c r="O337" s="431"/>
      <c r="P337" s="440"/>
      <c r="Q337" s="440"/>
      <c r="R337" s="440"/>
      <c r="S337" s="440"/>
      <c r="T337" s="440"/>
      <c r="U337" s="440"/>
    </row>
    <row r="338" spans="2:21">
      <c r="B338" s="431"/>
      <c r="C338" s="440"/>
      <c r="D338" s="440"/>
      <c r="E338" s="440"/>
      <c r="F338" s="440"/>
      <c r="G338" s="440"/>
      <c r="H338" s="440"/>
      <c r="I338" s="431"/>
      <c r="J338" s="431"/>
      <c r="K338" s="431"/>
      <c r="L338" s="431"/>
      <c r="M338" s="431"/>
      <c r="N338" s="431"/>
      <c r="O338" s="431"/>
      <c r="P338" s="440"/>
      <c r="Q338" s="440"/>
      <c r="R338" s="440"/>
      <c r="S338" s="440"/>
      <c r="T338" s="440"/>
      <c r="U338" s="440"/>
    </row>
    <row r="339" spans="2:21">
      <c r="B339" s="431"/>
      <c r="C339" s="440"/>
      <c r="D339" s="440"/>
      <c r="E339" s="440"/>
      <c r="F339" s="440"/>
      <c r="G339" s="440"/>
      <c r="H339" s="440"/>
      <c r="I339" s="431"/>
      <c r="J339" s="431"/>
      <c r="K339" s="431"/>
      <c r="L339" s="431"/>
      <c r="M339" s="431"/>
      <c r="N339" s="431"/>
      <c r="O339" s="431"/>
      <c r="P339" s="440"/>
      <c r="Q339" s="440"/>
      <c r="R339" s="440"/>
      <c r="S339" s="440"/>
      <c r="T339" s="440"/>
      <c r="U339" s="440"/>
    </row>
    <row r="340" spans="2:21">
      <c r="B340" s="431"/>
      <c r="C340" s="440"/>
      <c r="D340" s="440"/>
      <c r="E340" s="440"/>
      <c r="F340" s="440"/>
      <c r="G340" s="440"/>
      <c r="H340" s="440"/>
      <c r="I340" s="431"/>
      <c r="J340" s="431"/>
      <c r="K340" s="431"/>
      <c r="L340" s="431"/>
      <c r="M340" s="431"/>
      <c r="N340" s="431"/>
      <c r="O340" s="431"/>
      <c r="P340" s="440"/>
      <c r="Q340" s="440"/>
      <c r="R340" s="440"/>
      <c r="S340" s="440"/>
      <c r="T340" s="440"/>
      <c r="U340" s="440"/>
    </row>
    <row r="341" spans="2:21">
      <c r="B341" s="431"/>
      <c r="C341" s="440"/>
      <c r="D341" s="440"/>
      <c r="E341" s="440"/>
      <c r="F341" s="440"/>
      <c r="G341" s="440"/>
      <c r="H341" s="440"/>
      <c r="I341" s="431"/>
      <c r="J341" s="431"/>
      <c r="K341" s="431"/>
      <c r="L341" s="431"/>
      <c r="M341" s="431"/>
      <c r="N341" s="431"/>
      <c r="O341" s="431"/>
      <c r="P341" s="440"/>
      <c r="Q341" s="440"/>
      <c r="R341" s="440"/>
      <c r="S341" s="440"/>
      <c r="T341" s="440"/>
      <c r="U341" s="440"/>
    </row>
    <row r="342" spans="2:21">
      <c r="B342" s="431"/>
      <c r="C342" s="440"/>
      <c r="D342" s="440"/>
      <c r="E342" s="440"/>
      <c r="F342" s="440"/>
      <c r="G342" s="440"/>
      <c r="H342" s="440"/>
      <c r="I342" s="431"/>
      <c r="J342" s="431"/>
      <c r="K342" s="431"/>
      <c r="L342" s="431"/>
      <c r="M342" s="431"/>
      <c r="N342" s="431"/>
      <c r="O342" s="431"/>
      <c r="P342" s="440"/>
      <c r="Q342" s="440"/>
      <c r="R342" s="440"/>
      <c r="S342" s="440"/>
      <c r="T342" s="440"/>
      <c r="U342" s="440"/>
    </row>
    <row r="343" spans="2:21">
      <c r="B343" s="431"/>
      <c r="C343" s="440"/>
      <c r="D343" s="440"/>
      <c r="E343" s="440"/>
      <c r="F343" s="440"/>
      <c r="G343" s="440"/>
      <c r="H343" s="440"/>
      <c r="I343" s="431"/>
      <c r="J343" s="431"/>
      <c r="K343" s="431"/>
      <c r="L343" s="431"/>
      <c r="M343" s="431"/>
      <c r="N343" s="431"/>
      <c r="O343" s="431"/>
      <c r="P343" s="440"/>
      <c r="Q343" s="440"/>
      <c r="R343" s="440"/>
      <c r="S343" s="440"/>
      <c r="T343" s="440"/>
      <c r="U343" s="440"/>
    </row>
    <row r="344" spans="2:21">
      <c r="B344" s="431"/>
      <c r="C344" s="440"/>
      <c r="D344" s="440"/>
      <c r="E344" s="440"/>
      <c r="F344" s="440"/>
      <c r="G344" s="440"/>
      <c r="H344" s="440"/>
      <c r="I344" s="431"/>
      <c r="J344" s="431"/>
      <c r="K344" s="431"/>
      <c r="L344" s="431"/>
      <c r="M344" s="431"/>
      <c r="N344" s="431"/>
      <c r="O344" s="431"/>
      <c r="P344" s="440"/>
      <c r="Q344" s="440"/>
      <c r="R344" s="440"/>
      <c r="S344" s="440"/>
      <c r="T344" s="440"/>
      <c r="U344" s="440"/>
    </row>
    <row r="345" spans="2:21">
      <c r="B345" s="431"/>
      <c r="C345" s="440"/>
      <c r="D345" s="440"/>
      <c r="E345" s="440"/>
      <c r="F345" s="440"/>
      <c r="G345" s="440"/>
      <c r="H345" s="440"/>
      <c r="I345" s="431"/>
      <c r="J345" s="431"/>
      <c r="K345" s="431"/>
      <c r="L345" s="431"/>
      <c r="M345" s="431"/>
      <c r="N345" s="431"/>
      <c r="O345" s="431"/>
      <c r="P345" s="440"/>
      <c r="Q345" s="440"/>
      <c r="R345" s="440"/>
      <c r="S345" s="440"/>
      <c r="T345" s="440"/>
      <c r="U345" s="440"/>
    </row>
    <row r="346" spans="2:21">
      <c r="B346" s="431"/>
      <c r="C346" s="440"/>
      <c r="D346" s="440"/>
      <c r="E346" s="440"/>
      <c r="F346" s="440"/>
      <c r="G346" s="440"/>
      <c r="H346" s="440"/>
      <c r="I346" s="431"/>
      <c r="J346" s="431"/>
      <c r="K346" s="431"/>
      <c r="L346" s="431"/>
      <c r="M346" s="431"/>
      <c r="N346" s="431"/>
      <c r="O346" s="431"/>
      <c r="P346" s="440"/>
      <c r="Q346" s="440"/>
      <c r="R346" s="440"/>
      <c r="S346" s="440"/>
      <c r="T346" s="440"/>
      <c r="U346" s="440"/>
    </row>
    <row r="347" spans="2:21">
      <c r="B347" s="431"/>
      <c r="C347" s="440"/>
      <c r="D347" s="440"/>
      <c r="E347" s="440"/>
      <c r="F347" s="440"/>
      <c r="G347" s="440"/>
      <c r="H347" s="440"/>
      <c r="I347" s="431"/>
      <c r="J347" s="431"/>
      <c r="K347" s="431"/>
      <c r="L347" s="431"/>
      <c r="M347" s="431"/>
      <c r="N347" s="431"/>
      <c r="O347" s="431"/>
      <c r="P347" s="440"/>
      <c r="Q347" s="440"/>
      <c r="R347" s="440"/>
      <c r="S347" s="440"/>
      <c r="T347" s="440"/>
      <c r="U347" s="440"/>
    </row>
    <row r="348" spans="2:21">
      <c r="B348" s="431"/>
      <c r="C348" s="440"/>
      <c r="D348" s="440"/>
      <c r="E348" s="440"/>
      <c r="F348" s="440"/>
      <c r="G348" s="440"/>
      <c r="H348" s="440"/>
      <c r="I348" s="431"/>
      <c r="J348" s="431"/>
      <c r="K348" s="431"/>
      <c r="L348" s="431"/>
      <c r="M348" s="431"/>
      <c r="N348" s="431"/>
      <c r="O348" s="431"/>
      <c r="P348" s="440"/>
      <c r="Q348" s="440"/>
      <c r="R348" s="440"/>
      <c r="S348" s="440"/>
      <c r="T348" s="440"/>
      <c r="U348" s="440"/>
    </row>
    <row r="349" spans="2:21">
      <c r="B349" s="431"/>
      <c r="C349" s="440"/>
      <c r="D349" s="440"/>
      <c r="E349" s="440"/>
      <c r="F349" s="440"/>
      <c r="G349" s="440"/>
      <c r="H349" s="440"/>
      <c r="I349" s="431"/>
      <c r="J349" s="431"/>
      <c r="K349" s="431"/>
      <c r="L349" s="431"/>
      <c r="M349" s="431"/>
      <c r="N349" s="431"/>
      <c r="O349" s="431"/>
      <c r="P349" s="440"/>
      <c r="Q349" s="440"/>
      <c r="R349" s="440"/>
      <c r="S349" s="440"/>
      <c r="T349" s="440"/>
      <c r="U349" s="440"/>
    </row>
    <row r="350" spans="2:21">
      <c r="B350" s="431"/>
      <c r="C350" s="440"/>
      <c r="D350" s="440"/>
      <c r="E350" s="440"/>
      <c r="F350" s="440"/>
      <c r="G350" s="440"/>
      <c r="H350" s="440"/>
      <c r="I350" s="431"/>
      <c r="J350" s="431"/>
      <c r="K350" s="431"/>
      <c r="L350" s="431"/>
      <c r="M350" s="431"/>
      <c r="N350" s="431"/>
      <c r="O350" s="431"/>
      <c r="P350" s="440"/>
      <c r="Q350" s="440"/>
      <c r="R350" s="440"/>
      <c r="S350" s="440"/>
      <c r="T350" s="440"/>
      <c r="U350" s="440"/>
    </row>
    <row r="351" spans="2:21">
      <c r="B351" s="431"/>
      <c r="C351" s="440"/>
      <c r="D351" s="440"/>
      <c r="E351" s="440"/>
      <c r="F351" s="440"/>
      <c r="G351" s="440"/>
      <c r="H351" s="440"/>
      <c r="I351" s="431"/>
      <c r="J351" s="431"/>
      <c r="K351" s="431"/>
      <c r="L351" s="431"/>
      <c r="M351" s="431"/>
      <c r="N351" s="431"/>
      <c r="O351" s="431"/>
      <c r="P351" s="440"/>
      <c r="Q351" s="440"/>
      <c r="R351" s="440"/>
      <c r="S351" s="440"/>
      <c r="T351" s="440"/>
      <c r="U351" s="440"/>
    </row>
    <row r="352" spans="2:21">
      <c r="B352" s="431"/>
      <c r="C352" s="440"/>
      <c r="D352" s="440"/>
      <c r="E352" s="440"/>
      <c r="F352" s="440"/>
      <c r="G352" s="440"/>
      <c r="H352" s="440"/>
      <c r="I352" s="431"/>
      <c r="J352" s="431"/>
      <c r="K352" s="431"/>
      <c r="L352" s="431"/>
      <c r="M352" s="431"/>
      <c r="N352" s="431"/>
      <c r="O352" s="431"/>
      <c r="P352" s="440"/>
      <c r="Q352" s="440"/>
      <c r="R352" s="440"/>
      <c r="S352" s="440"/>
      <c r="T352" s="440"/>
      <c r="U352" s="440"/>
    </row>
    <row r="353" spans="2:21">
      <c r="B353" s="431"/>
      <c r="C353" s="440"/>
      <c r="D353" s="440"/>
      <c r="E353" s="440"/>
      <c r="F353" s="440"/>
      <c r="G353" s="440"/>
      <c r="H353" s="440"/>
      <c r="I353" s="431"/>
      <c r="J353" s="431"/>
      <c r="K353" s="431"/>
      <c r="L353" s="431"/>
      <c r="M353" s="431"/>
      <c r="N353" s="431"/>
      <c r="O353" s="431"/>
      <c r="P353" s="440"/>
      <c r="Q353" s="440"/>
      <c r="R353" s="440"/>
      <c r="S353" s="440"/>
      <c r="T353" s="440"/>
      <c r="U353" s="440"/>
    </row>
    <row r="354" spans="2:21">
      <c r="B354" s="431"/>
      <c r="C354" s="440"/>
      <c r="D354" s="440"/>
      <c r="E354" s="440"/>
      <c r="F354" s="440"/>
      <c r="G354" s="440"/>
      <c r="H354" s="440"/>
      <c r="I354" s="431"/>
      <c r="J354" s="431"/>
      <c r="K354" s="431"/>
      <c r="L354" s="431"/>
      <c r="M354" s="431"/>
      <c r="N354" s="431"/>
      <c r="O354" s="431"/>
      <c r="P354" s="440"/>
      <c r="Q354" s="440"/>
      <c r="R354" s="440"/>
      <c r="S354" s="440"/>
      <c r="T354" s="440"/>
      <c r="U354" s="440"/>
    </row>
    <row r="355" spans="2:21">
      <c r="B355" s="431"/>
      <c r="C355" s="440"/>
      <c r="D355" s="440"/>
      <c r="E355" s="440"/>
      <c r="F355" s="440"/>
      <c r="G355" s="440"/>
      <c r="H355" s="440"/>
      <c r="I355" s="431"/>
      <c r="J355" s="431"/>
      <c r="K355" s="431"/>
      <c r="L355" s="431"/>
      <c r="M355" s="431"/>
      <c r="N355" s="431"/>
      <c r="O355" s="431"/>
      <c r="P355" s="440"/>
      <c r="Q355" s="440"/>
      <c r="R355" s="440"/>
      <c r="S355" s="440"/>
      <c r="T355" s="440"/>
      <c r="U355" s="440"/>
    </row>
    <row r="356" spans="2:21">
      <c r="B356" s="431"/>
      <c r="C356" s="440"/>
      <c r="D356" s="440"/>
      <c r="E356" s="440"/>
      <c r="F356" s="440"/>
      <c r="G356" s="440"/>
      <c r="H356" s="440"/>
      <c r="I356" s="431"/>
      <c r="J356" s="431"/>
      <c r="K356" s="431"/>
      <c r="L356" s="431"/>
      <c r="M356" s="431"/>
      <c r="N356" s="431"/>
      <c r="O356" s="431"/>
      <c r="P356" s="440"/>
      <c r="Q356" s="440"/>
      <c r="R356" s="440"/>
      <c r="S356" s="440"/>
      <c r="T356" s="440"/>
      <c r="U356" s="440"/>
    </row>
    <row r="357" spans="2:21">
      <c r="B357" s="431"/>
      <c r="C357" s="440"/>
      <c r="D357" s="440"/>
      <c r="E357" s="440"/>
      <c r="F357" s="440"/>
      <c r="G357" s="440"/>
      <c r="H357" s="440"/>
      <c r="I357" s="431"/>
      <c r="J357" s="431"/>
      <c r="K357" s="431"/>
      <c r="L357" s="431"/>
      <c r="M357" s="431"/>
      <c r="N357" s="431"/>
      <c r="O357" s="431"/>
      <c r="P357" s="440"/>
      <c r="Q357" s="440"/>
      <c r="R357" s="440"/>
      <c r="S357" s="440"/>
      <c r="T357" s="440"/>
      <c r="U357" s="440"/>
    </row>
    <row r="358" spans="2:21">
      <c r="B358" s="431"/>
      <c r="C358" s="440"/>
      <c r="D358" s="440"/>
      <c r="E358" s="440"/>
      <c r="F358" s="440"/>
      <c r="G358" s="440"/>
      <c r="H358" s="440"/>
      <c r="I358" s="431"/>
      <c r="J358" s="431"/>
      <c r="K358" s="431"/>
      <c r="L358" s="431"/>
      <c r="M358" s="431"/>
      <c r="N358" s="431"/>
      <c r="O358" s="431"/>
      <c r="P358" s="440"/>
      <c r="Q358" s="440"/>
      <c r="R358" s="440"/>
      <c r="S358" s="440"/>
      <c r="T358" s="440"/>
      <c r="U358" s="440"/>
    </row>
    <row r="359" spans="2:21">
      <c r="B359" s="431"/>
      <c r="C359" s="440"/>
      <c r="D359" s="440"/>
      <c r="E359" s="440"/>
      <c r="F359" s="440"/>
      <c r="G359" s="440"/>
      <c r="H359" s="440"/>
      <c r="I359" s="431"/>
      <c r="J359" s="431"/>
      <c r="K359" s="431"/>
      <c r="L359" s="431"/>
      <c r="M359" s="431"/>
      <c r="N359" s="431"/>
      <c r="O359" s="431"/>
      <c r="P359" s="440"/>
      <c r="Q359" s="440"/>
      <c r="R359" s="440"/>
      <c r="S359" s="440"/>
      <c r="T359" s="440"/>
      <c r="U359" s="440"/>
    </row>
    <row r="360" spans="2:21">
      <c r="B360" s="431"/>
      <c r="C360" s="440"/>
      <c r="D360" s="440"/>
      <c r="E360" s="440"/>
      <c r="F360" s="440"/>
      <c r="G360" s="440"/>
      <c r="H360" s="440"/>
      <c r="I360" s="431"/>
      <c r="J360" s="431"/>
      <c r="K360" s="431"/>
      <c r="L360" s="431"/>
      <c r="M360" s="431"/>
      <c r="N360" s="431"/>
      <c r="O360" s="431"/>
      <c r="P360" s="440"/>
      <c r="Q360" s="440"/>
      <c r="R360" s="440"/>
      <c r="S360" s="440"/>
      <c r="T360" s="440"/>
      <c r="U360" s="440"/>
    </row>
    <row r="361" spans="2:21">
      <c r="B361" s="431"/>
      <c r="C361" s="440"/>
      <c r="D361" s="440"/>
      <c r="E361" s="440"/>
      <c r="F361" s="440"/>
      <c r="G361" s="440"/>
      <c r="H361" s="440"/>
      <c r="I361" s="431"/>
      <c r="J361" s="431"/>
      <c r="K361" s="431"/>
      <c r="L361" s="431"/>
      <c r="M361" s="431"/>
      <c r="N361" s="431"/>
      <c r="O361" s="431"/>
      <c r="P361" s="440"/>
      <c r="Q361" s="440"/>
      <c r="R361" s="440"/>
      <c r="S361" s="440"/>
      <c r="T361" s="440"/>
      <c r="U361" s="440"/>
    </row>
    <row r="362" spans="2:21">
      <c r="B362" s="431"/>
      <c r="C362" s="440"/>
      <c r="D362" s="440"/>
      <c r="E362" s="440"/>
      <c r="F362" s="440"/>
      <c r="G362" s="440"/>
      <c r="H362" s="440"/>
      <c r="I362" s="431"/>
      <c r="J362" s="431"/>
      <c r="K362" s="431"/>
      <c r="L362" s="431"/>
      <c r="M362" s="431"/>
      <c r="N362" s="431"/>
      <c r="O362" s="431"/>
      <c r="P362" s="440"/>
      <c r="Q362" s="440"/>
      <c r="R362" s="440"/>
      <c r="S362" s="440"/>
      <c r="T362" s="440"/>
      <c r="U362" s="440"/>
    </row>
    <row r="363" spans="2:21">
      <c r="B363" s="431"/>
      <c r="C363" s="440"/>
      <c r="D363" s="440"/>
      <c r="E363" s="440"/>
      <c r="F363" s="440"/>
      <c r="G363" s="440"/>
      <c r="H363" s="440"/>
      <c r="I363" s="431"/>
      <c r="J363" s="431"/>
      <c r="K363" s="431"/>
      <c r="L363" s="431"/>
      <c r="M363" s="431"/>
      <c r="N363" s="431"/>
      <c r="O363" s="431"/>
      <c r="P363" s="440"/>
      <c r="Q363" s="440"/>
      <c r="R363" s="440"/>
      <c r="S363" s="440"/>
      <c r="T363" s="440"/>
      <c r="U363" s="440"/>
    </row>
    <row r="364" spans="2:21">
      <c r="B364" s="431"/>
      <c r="C364" s="440"/>
      <c r="D364" s="440"/>
      <c r="E364" s="440"/>
      <c r="F364" s="440"/>
      <c r="G364" s="440"/>
      <c r="H364" s="440"/>
      <c r="I364" s="431"/>
      <c r="J364" s="431"/>
      <c r="K364" s="431"/>
      <c r="L364" s="431"/>
      <c r="M364" s="431"/>
      <c r="N364" s="431"/>
      <c r="O364" s="431"/>
      <c r="P364" s="440"/>
      <c r="Q364" s="440"/>
      <c r="R364" s="440"/>
      <c r="S364" s="440"/>
      <c r="T364" s="440"/>
      <c r="U364" s="440"/>
    </row>
    <row r="365" spans="2:21">
      <c r="B365" s="431"/>
      <c r="C365" s="440"/>
      <c r="D365" s="440"/>
      <c r="E365" s="440"/>
      <c r="F365" s="440"/>
      <c r="G365" s="440"/>
      <c r="H365" s="440"/>
      <c r="I365" s="431"/>
      <c r="J365" s="431"/>
      <c r="K365" s="431"/>
      <c r="L365" s="431"/>
      <c r="M365" s="431"/>
      <c r="N365" s="431"/>
      <c r="O365" s="431"/>
      <c r="P365" s="440"/>
      <c r="Q365" s="440"/>
      <c r="R365" s="440"/>
      <c r="S365" s="440"/>
      <c r="T365" s="440"/>
      <c r="U365" s="440"/>
    </row>
    <row r="366" spans="2:21">
      <c r="B366" s="431"/>
      <c r="C366" s="440"/>
      <c r="D366" s="440"/>
      <c r="E366" s="440"/>
      <c r="F366" s="440"/>
      <c r="G366" s="440"/>
      <c r="H366" s="440"/>
      <c r="I366" s="431"/>
      <c r="J366" s="431"/>
      <c r="K366" s="431"/>
      <c r="L366" s="431"/>
      <c r="M366" s="431"/>
      <c r="N366" s="431"/>
      <c r="O366" s="431"/>
      <c r="P366" s="440"/>
      <c r="Q366" s="440"/>
      <c r="R366" s="440"/>
      <c r="S366" s="440"/>
      <c r="T366" s="440"/>
      <c r="U366" s="440"/>
    </row>
    <row r="367" spans="2:21">
      <c r="B367" s="431"/>
      <c r="C367" s="440"/>
      <c r="D367" s="440"/>
      <c r="E367" s="440"/>
      <c r="F367" s="440"/>
      <c r="G367" s="440"/>
      <c r="H367" s="440"/>
      <c r="I367" s="431"/>
      <c r="J367" s="431"/>
      <c r="K367" s="431"/>
      <c r="L367" s="431"/>
      <c r="M367" s="431"/>
      <c r="N367" s="431"/>
      <c r="O367" s="431"/>
      <c r="P367" s="440"/>
      <c r="Q367" s="440"/>
      <c r="R367" s="440"/>
      <c r="S367" s="440"/>
      <c r="T367" s="440"/>
      <c r="U367" s="440"/>
    </row>
    <row r="368" spans="2:21">
      <c r="B368" s="431"/>
      <c r="C368" s="440"/>
      <c r="D368" s="440"/>
      <c r="E368" s="440"/>
      <c r="F368" s="440"/>
      <c r="G368" s="440"/>
      <c r="H368" s="440"/>
      <c r="I368" s="431"/>
      <c r="J368" s="431"/>
      <c r="K368" s="431"/>
      <c r="L368" s="431"/>
      <c r="M368" s="431"/>
      <c r="N368" s="431"/>
      <c r="O368" s="431"/>
      <c r="P368" s="440"/>
      <c r="Q368" s="440"/>
      <c r="R368" s="440"/>
      <c r="S368" s="440"/>
      <c r="T368" s="440"/>
      <c r="U368" s="440"/>
    </row>
    <row r="369" spans="2:21">
      <c r="B369" s="431"/>
      <c r="C369" s="440"/>
      <c r="D369" s="440"/>
      <c r="E369" s="440"/>
      <c r="F369" s="440"/>
      <c r="G369" s="440"/>
      <c r="H369" s="440"/>
      <c r="I369" s="431"/>
      <c r="J369" s="431"/>
      <c r="K369" s="431"/>
      <c r="L369" s="431"/>
      <c r="M369" s="431"/>
      <c r="N369" s="431"/>
      <c r="O369" s="431"/>
      <c r="P369" s="440"/>
      <c r="Q369" s="440"/>
      <c r="R369" s="440"/>
      <c r="S369" s="440"/>
      <c r="T369" s="440"/>
      <c r="U369" s="440"/>
    </row>
    <row r="370" spans="2:21">
      <c r="B370" s="431"/>
      <c r="C370" s="440"/>
      <c r="D370" s="440"/>
      <c r="E370" s="440"/>
      <c r="F370" s="440"/>
      <c r="G370" s="440"/>
      <c r="H370" s="440"/>
      <c r="I370" s="431"/>
      <c r="J370" s="431"/>
      <c r="K370" s="431"/>
      <c r="L370" s="431"/>
      <c r="M370" s="431"/>
      <c r="N370" s="431"/>
      <c r="O370" s="431"/>
      <c r="P370" s="440"/>
      <c r="Q370" s="440"/>
      <c r="R370" s="440"/>
      <c r="S370" s="440"/>
      <c r="T370" s="440"/>
      <c r="U370" s="440"/>
    </row>
    <row r="371" spans="2:21">
      <c r="B371" s="431"/>
      <c r="C371" s="440"/>
      <c r="D371" s="440"/>
      <c r="E371" s="440"/>
      <c r="F371" s="440"/>
      <c r="G371" s="440"/>
      <c r="H371" s="440"/>
      <c r="I371" s="431"/>
      <c r="J371" s="431"/>
      <c r="K371" s="431"/>
      <c r="L371" s="431"/>
      <c r="M371" s="431"/>
      <c r="N371" s="431"/>
      <c r="O371" s="431"/>
      <c r="P371" s="440"/>
      <c r="Q371" s="440"/>
      <c r="R371" s="440"/>
      <c r="S371" s="440"/>
      <c r="T371" s="440"/>
      <c r="U371" s="440"/>
    </row>
    <row r="372" spans="2:21">
      <c r="B372" s="431"/>
      <c r="C372" s="440"/>
      <c r="D372" s="440"/>
      <c r="E372" s="440"/>
      <c r="F372" s="440"/>
      <c r="G372" s="440"/>
      <c r="H372" s="440"/>
      <c r="I372" s="431"/>
      <c r="J372" s="431"/>
      <c r="K372" s="431"/>
      <c r="L372" s="431"/>
      <c r="M372" s="431"/>
      <c r="N372" s="431"/>
      <c r="O372" s="431"/>
      <c r="P372" s="440"/>
      <c r="Q372" s="440"/>
      <c r="R372" s="440"/>
      <c r="S372" s="440"/>
      <c r="T372" s="440"/>
      <c r="U372" s="440"/>
    </row>
    <row r="373" spans="2:21">
      <c r="B373" s="431"/>
      <c r="C373" s="440"/>
      <c r="D373" s="440"/>
      <c r="E373" s="440"/>
      <c r="F373" s="440"/>
      <c r="G373" s="440"/>
      <c r="H373" s="440"/>
      <c r="I373" s="431"/>
      <c r="J373" s="431"/>
      <c r="K373" s="431"/>
      <c r="L373" s="431"/>
      <c r="M373" s="431"/>
      <c r="N373" s="431"/>
      <c r="O373" s="431"/>
      <c r="P373" s="440"/>
      <c r="Q373" s="440"/>
      <c r="R373" s="440"/>
      <c r="S373" s="440"/>
      <c r="T373" s="440"/>
      <c r="U373" s="440"/>
    </row>
    <row r="374" spans="2:21">
      <c r="B374" s="431"/>
      <c r="C374" s="440"/>
      <c r="D374" s="440"/>
      <c r="E374" s="440"/>
      <c r="F374" s="440"/>
      <c r="G374" s="440"/>
      <c r="H374" s="440"/>
      <c r="I374" s="431"/>
      <c r="J374" s="431"/>
      <c r="K374" s="431"/>
      <c r="L374" s="431"/>
      <c r="M374" s="431"/>
      <c r="N374" s="431"/>
      <c r="O374" s="431"/>
      <c r="P374" s="440"/>
      <c r="Q374" s="440"/>
      <c r="R374" s="440"/>
      <c r="S374" s="440"/>
      <c r="T374" s="440"/>
      <c r="U374" s="440"/>
    </row>
    <row r="375" spans="2:21">
      <c r="B375" s="431"/>
      <c r="C375" s="440"/>
      <c r="D375" s="440"/>
      <c r="E375" s="440"/>
      <c r="F375" s="440"/>
      <c r="G375" s="440"/>
      <c r="H375" s="440"/>
      <c r="I375" s="431"/>
      <c r="J375" s="431"/>
      <c r="K375" s="431"/>
      <c r="L375" s="431"/>
      <c r="M375" s="431"/>
      <c r="N375" s="431"/>
      <c r="O375" s="431"/>
      <c r="P375" s="440"/>
      <c r="Q375" s="440"/>
      <c r="R375" s="440"/>
      <c r="S375" s="440"/>
      <c r="T375" s="440"/>
      <c r="U375" s="440"/>
    </row>
    <row r="376" spans="2:21">
      <c r="B376" s="431"/>
      <c r="C376" s="440"/>
      <c r="D376" s="440"/>
      <c r="E376" s="440"/>
      <c r="F376" s="440"/>
      <c r="G376" s="440"/>
      <c r="H376" s="440"/>
      <c r="I376" s="431"/>
      <c r="J376" s="431"/>
      <c r="K376" s="431"/>
      <c r="L376" s="431"/>
      <c r="M376" s="431"/>
      <c r="N376" s="431"/>
      <c r="O376" s="431"/>
      <c r="P376" s="440"/>
      <c r="Q376" s="440"/>
      <c r="R376" s="440"/>
      <c r="S376" s="440"/>
      <c r="T376" s="440"/>
      <c r="U376" s="440"/>
    </row>
    <row r="377" spans="2:21">
      <c r="B377" s="431"/>
      <c r="C377" s="440"/>
      <c r="D377" s="440"/>
      <c r="E377" s="440"/>
      <c r="F377" s="440"/>
      <c r="G377" s="440"/>
      <c r="H377" s="440"/>
      <c r="I377" s="431"/>
      <c r="J377" s="431"/>
      <c r="K377" s="431"/>
      <c r="L377" s="431"/>
      <c r="M377" s="431"/>
      <c r="N377" s="431"/>
      <c r="O377" s="431"/>
      <c r="P377" s="440"/>
      <c r="Q377" s="440"/>
      <c r="R377" s="440"/>
      <c r="S377" s="440"/>
      <c r="T377" s="440"/>
      <c r="U377" s="440"/>
    </row>
    <row r="378" spans="2:21">
      <c r="B378" s="431"/>
      <c r="C378" s="440"/>
      <c r="D378" s="440"/>
      <c r="E378" s="440"/>
      <c r="F378" s="440"/>
      <c r="G378" s="440"/>
      <c r="H378" s="440"/>
      <c r="I378" s="431"/>
      <c r="J378" s="431"/>
      <c r="K378" s="431"/>
      <c r="L378" s="431"/>
      <c r="M378" s="431"/>
      <c r="N378" s="431"/>
      <c r="O378" s="431"/>
      <c r="P378" s="440"/>
      <c r="Q378" s="440"/>
      <c r="R378" s="440"/>
      <c r="S378" s="440"/>
      <c r="T378" s="440"/>
      <c r="U378" s="440"/>
    </row>
    <row r="379" spans="2:21">
      <c r="B379" s="431"/>
      <c r="C379" s="440"/>
      <c r="D379" s="440"/>
      <c r="E379" s="440"/>
      <c r="F379" s="440"/>
      <c r="G379" s="440"/>
      <c r="H379" s="440"/>
      <c r="I379" s="431"/>
      <c r="J379" s="431"/>
      <c r="K379" s="431"/>
      <c r="L379" s="431"/>
      <c r="M379" s="431"/>
      <c r="N379" s="431"/>
      <c r="O379" s="431"/>
      <c r="P379" s="440"/>
      <c r="Q379" s="440"/>
      <c r="R379" s="440"/>
      <c r="S379" s="440"/>
      <c r="T379" s="440"/>
      <c r="U379" s="440"/>
    </row>
    <row r="380" spans="2:21">
      <c r="B380" s="431"/>
      <c r="C380" s="440"/>
      <c r="D380" s="440"/>
      <c r="E380" s="440"/>
      <c r="F380" s="440"/>
      <c r="G380" s="440"/>
      <c r="H380" s="440"/>
      <c r="I380" s="431"/>
      <c r="J380" s="431"/>
      <c r="K380" s="431"/>
      <c r="L380" s="431"/>
      <c r="M380" s="431"/>
      <c r="N380" s="431"/>
      <c r="O380" s="431"/>
      <c r="P380" s="440"/>
      <c r="Q380" s="440"/>
      <c r="R380" s="440"/>
      <c r="S380" s="440"/>
      <c r="T380" s="440"/>
      <c r="U380" s="440"/>
    </row>
    <row r="381" spans="2:21">
      <c r="B381" s="431"/>
      <c r="C381" s="440"/>
      <c r="D381" s="440"/>
      <c r="E381" s="440"/>
      <c r="F381" s="440"/>
      <c r="G381" s="440"/>
      <c r="H381" s="440"/>
      <c r="I381" s="431"/>
      <c r="J381" s="431"/>
      <c r="K381" s="431"/>
      <c r="L381" s="431"/>
      <c r="M381" s="431"/>
      <c r="N381" s="431"/>
      <c r="O381" s="431"/>
      <c r="P381" s="440"/>
      <c r="Q381" s="440"/>
      <c r="R381" s="440"/>
      <c r="S381" s="440"/>
      <c r="T381" s="440"/>
      <c r="U381" s="440"/>
    </row>
    <row r="382" spans="2:21">
      <c r="B382" s="431"/>
      <c r="C382" s="440"/>
      <c r="D382" s="440"/>
      <c r="E382" s="440"/>
      <c r="F382" s="440"/>
      <c r="G382" s="440"/>
      <c r="H382" s="440"/>
      <c r="I382" s="431"/>
      <c r="J382" s="431"/>
      <c r="K382" s="431"/>
      <c r="L382" s="431"/>
      <c r="M382" s="431"/>
      <c r="N382" s="431"/>
      <c r="O382" s="431"/>
      <c r="P382" s="440"/>
      <c r="Q382" s="440"/>
      <c r="R382" s="440"/>
      <c r="S382" s="440"/>
      <c r="T382" s="440"/>
      <c r="U382" s="440"/>
    </row>
    <row r="383" spans="2:21">
      <c r="B383" s="431"/>
      <c r="C383" s="440"/>
      <c r="D383" s="440"/>
      <c r="E383" s="440"/>
      <c r="F383" s="440"/>
      <c r="G383" s="440"/>
      <c r="H383" s="440"/>
      <c r="I383" s="431"/>
      <c r="J383" s="431"/>
      <c r="K383" s="431"/>
      <c r="L383" s="431"/>
      <c r="M383" s="431"/>
      <c r="N383" s="431"/>
      <c r="O383" s="431"/>
      <c r="P383" s="440"/>
      <c r="Q383" s="440"/>
      <c r="R383" s="440"/>
      <c r="S383" s="440"/>
      <c r="T383" s="440"/>
      <c r="U383" s="440"/>
    </row>
    <row r="384" spans="2:21">
      <c r="B384" s="431"/>
      <c r="C384" s="440"/>
      <c r="D384" s="440"/>
      <c r="E384" s="440"/>
      <c r="F384" s="440"/>
      <c r="G384" s="440"/>
      <c r="H384" s="440"/>
      <c r="I384" s="431"/>
      <c r="J384" s="431"/>
      <c r="K384" s="431"/>
      <c r="L384" s="431"/>
      <c r="M384" s="431"/>
      <c r="N384" s="431"/>
      <c r="O384" s="431"/>
      <c r="P384" s="440"/>
      <c r="Q384" s="440"/>
      <c r="R384" s="440"/>
      <c r="S384" s="440"/>
      <c r="T384" s="440"/>
      <c r="U384" s="440"/>
    </row>
    <row r="385" spans="2:21">
      <c r="B385" s="431"/>
      <c r="C385" s="440"/>
      <c r="D385" s="440"/>
      <c r="E385" s="440"/>
      <c r="F385" s="440"/>
      <c r="G385" s="440"/>
      <c r="H385" s="440"/>
      <c r="I385" s="431"/>
      <c r="J385" s="431"/>
      <c r="K385" s="431"/>
      <c r="L385" s="431"/>
      <c r="M385" s="431"/>
      <c r="N385" s="431"/>
      <c r="O385" s="431"/>
      <c r="P385" s="440"/>
      <c r="Q385" s="440"/>
      <c r="R385" s="440"/>
      <c r="S385" s="440"/>
      <c r="T385" s="440"/>
      <c r="U385" s="440"/>
    </row>
    <row r="386" spans="2:21">
      <c r="B386" s="431"/>
      <c r="C386" s="440"/>
      <c r="D386" s="440"/>
      <c r="E386" s="440"/>
      <c r="F386" s="440"/>
      <c r="G386" s="440"/>
      <c r="H386" s="440"/>
      <c r="I386" s="431"/>
      <c r="J386" s="431"/>
      <c r="K386" s="431"/>
      <c r="L386" s="431"/>
      <c r="M386" s="431"/>
      <c r="N386" s="431"/>
      <c r="O386" s="431"/>
      <c r="P386" s="440"/>
      <c r="Q386" s="440"/>
      <c r="R386" s="440"/>
      <c r="S386" s="440"/>
      <c r="T386" s="440"/>
      <c r="U386" s="440"/>
    </row>
    <row r="387" spans="2:21">
      <c r="B387" s="431"/>
      <c r="C387" s="440"/>
      <c r="D387" s="440"/>
      <c r="E387" s="440"/>
      <c r="F387" s="440"/>
      <c r="G387" s="440"/>
      <c r="H387" s="440"/>
      <c r="I387" s="431"/>
      <c r="J387" s="431"/>
      <c r="K387" s="431"/>
      <c r="L387" s="431"/>
      <c r="M387" s="431"/>
      <c r="N387" s="431"/>
      <c r="O387" s="431"/>
      <c r="P387" s="440"/>
      <c r="Q387" s="440"/>
      <c r="R387" s="440"/>
      <c r="S387" s="440"/>
      <c r="T387" s="440"/>
      <c r="U387" s="440"/>
    </row>
    <row r="388" spans="2:21">
      <c r="B388" s="431"/>
      <c r="C388" s="440"/>
      <c r="D388" s="440"/>
      <c r="E388" s="440"/>
      <c r="F388" s="440"/>
      <c r="G388" s="440"/>
      <c r="H388" s="440"/>
      <c r="I388" s="431"/>
      <c r="J388" s="431"/>
      <c r="K388" s="431"/>
      <c r="L388" s="431"/>
      <c r="M388" s="431"/>
      <c r="N388" s="431"/>
      <c r="O388" s="431"/>
      <c r="P388" s="440"/>
      <c r="Q388" s="440"/>
      <c r="R388" s="440"/>
      <c r="S388" s="440"/>
      <c r="T388" s="440"/>
      <c r="U388" s="440"/>
    </row>
    <row r="389" spans="2:21">
      <c r="B389" s="431"/>
      <c r="C389" s="440"/>
      <c r="D389" s="440"/>
      <c r="E389" s="440"/>
      <c r="F389" s="440"/>
      <c r="G389" s="440"/>
      <c r="H389" s="440"/>
      <c r="I389" s="431"/>
      <c r="J389" s="431"/>
      <c r="K389" s="431"/>
      <c r="L389" s="431"/>
      <c r="M389" s="431"/>
      <c r="N389" s="431"/>
      <c r="O389" s="431"/>
      <c r="P389" s="440"/>
      <c r="Q389" s="440"/>
      <c r="R389" s="440"/>
      <c r="S389" s="440"/>
      <c r="T389" s="440"/>
      <c r="U389" s="440"/>
    </row>
    <row r="390" spans="2:21">
      <c r="B390" s="431"/>
      <c r="C390" s="440"/>
      <c r="D390" s="440"/>
      <c r="E390" s="440"/>
      <c r="F390" s="440"/>
      <c r="G390" s="440"/>
      <c r="H390" s="440"/>
      <c r="I390" s="431"/>
      <c r="J390" s="431"/>
      <c r="K390" s="431"/>
      <c r="L390" s="431"/>
      <c r="M390" s="431"/>
      <c r="N390" s="431"/>
      <c r="O390" s="431"/>
      <c r="P390" s="440"/>
      <c r="Q390" s="440"/>
      <c r="R390" s="440"/>
      <c r="S390" s="440"/>
      <c r="T390" s="440"/>
      <c r="U390" s="440"/>
    </row>
    <row r="391" spans="2:21">
      <c r="B391" s="431"/>
      <c r="C391" s="440"/>
      <c r="D391" s="440"/>
      <c r="E391" s="440"/>
      <c r="F391" s="440"/>
      <c r="G391" s="440"/>
      <c r="H391" s="440"/>
      <c r="I391" s="431"/>
      <c r="J391" s="431"/>
      <c r="K391" s="431"/>
      <c r="L391" s="431"/>
      <c r="M391" s="431"/>
      <c r="N391" s="431"/>
      <c r="O391" s="431"/>
      <c r="P391" s="440"/>
      <c r="Q391" s="440"/>
      <c r="R391" s="440"/>
      <c r="S391" s="440"/>
      <c r="T391" s="440"/>
      <c r="U391" s="440"/>
    </row>
    <row r="392" spans="2:21">
      <c r="B392" s="431"/>
      <c r="C392" s="440"/>
      <c r="D392" s="440"/>
      <c r="E392" s="440"/>
      <c r="F392" s="440"/>
      <c r="G392" s="440"/>
      <c r="H392" s="440"/>
      <c r="I392" s="431"/>
      <c r="J392" s="431"/>
      <c r="K392" s="431"/>
      <c r="L392" s="431"/>
      <c r="M392" s="431"/>
      <c r="N392" s="431"/>
      <c r="O392" s="431"/>
      <c r="P392" s="440"/>
      <c r="Q392" s="440"/>
      <c r="R392" s="440"/>
      <c r="S392" s="440"/>
      <c r="T392" s="440"/>
      <c r="U392" s="440"/>
    </row>
    <row r="393" spans="2:21">
      <c r="B393" s="431"/>
      <c r="C393" s="440"/>
      <c r="D393" s="440"/>
      <c r="E393" s="440"/>
      <c r="F393" s="440"/>
      <c r="G393" s="440"/>
      <c r="H393" s="440"/>
      <c r="I393" s="431"/>
      <c r="J393" s="431"/>
      <c r="K393" s="431"/>
      <c r="L393" s="431"/>
      <c r="M393" s="431"/>
      <c r="N393" s="431"/>
      <c r="O393" s="431"/>
      <c r="P393" s="440"/>
      <c r="Q393" s="440"/>
      <c r="R393" s="440"/>
      <c r="S393" s="440"/>
      <c r="T393" s="440"/>
      <c r="U393" s="440"/>
    </row>
    <row r="394" spans="2:21">
      <c r="B394" s="431"/>
      <c r="C394" s="440"/>
      <c r="D394" s="440"/>
      <c r="E394" s="440"/>
      <c r="F394" s="440"/>
      <c r="G394" s="440"/>
      <c r="H394" s="440"/>
      <c r="I394" s="431"/>
      <c r="J394" s="431"/>
      <c r="K394" s="431"/>
      <c r="L394" s="431"/>
      <c r="M394" s="431"/>
      <c r="N394" s="431"/>
      <c r="O394" s="431"/>
      <c r="P394" s="440"/>
      <c r="Q394" s="440"/>
      <c r="R394" s="440"/>
      <c r="S394" s="440"/>
      <c r="T394" s="440"/>
      <c r="U394" s="440"/>
    </row>
    <row r="395" spans="2:21">
      <c r="B395" s="431"/>
      <c r="C395" s="440"/>
      <c r="D395" s="440"/>
      <c r="E395" s="440"/>
      <c r="F395" s="440"/>
      <c r="G395" s="440"/>
      <c r="H395" s="440"/>
      <c r="I395" s="431"/>
      <c r="J395" s="431"/>
      <c r="K395" s="431"/>
      <c r="L395" s="431"/>
      <c r="M395" s="431"/>
      <c r="N395" s="431"/>
      <c r="O395" s="431"/>
      <c r="P395" s="440"/>
      <c r="Q395" s="440"/>
      <c r="R395" s="440"/>
      <c r="S395" s="440"/>
      <c r="T395" s="440"/>
      <c r="U395" s="440"/>
    </row>
    <row r="396" spans="2:21">
      <c r="B396" s="431"/>
      <c r="C396" s="440"/>
      <c r="D396" s="440"/>
      <c r="E396" s="440"/>
      <c r="F396" s="440"/>
      <c r="G396" s="440"/>
      <c r="H396" s="440"/>
      <c r="I396" s="431"/>
      <c r="J396" s="431"/>
      <c r="K396" s="431"/>
      <c r="L396" s="431"/>
      <c r="M396" s="431"/>
      <c r="N396" s="431"/>
      <c r="O396" s="431"/>
      <c r="P396" s="440"/>
      <c r="Q396" s="440"/>
      <c r="R396" s="440"/>
      <c r="S396" s="440"/>
      <c r="T396" s="440"/>
      <c r="U396" s="440"/>
    </row>
    <row r="397" spans="2:21">
      <c r="B397" s="431"/>
      <c r="C397" s="440"/>
      <c r="D397" s="440"/>
      <c r="E397" s="440"/>
      <c r="F397" s="440"/>
      <c r="G397" s="440"/>
      <c r="H397" s="440"/>
      <c r="I397" s="431"/>
      <c r="J397" s="431"/>
      <c r="K397" s="431"/>
      <c r="L397" s="431"/>
      <c r="M397" s="431"/>
      <c r="N397" s="431"/>
      <c r="O397" s="431"/>
      <c r="P397" s="440"/>
      <c r="Q397" s="440"/>
      <c r="R397" s="440"/>
      <c r="S397" s="440"/>
      <c r="T397" s="440"/>
      <c r="U397" s="440"/>
    </row>
    <row r="398" spans="2:21">
      <c r="B398" s="431"/>
      <c r="C398" s="440"/>
      <c r="D398" s="440"/>
      <c r="E398" s="440"/>
      <c r="F398" s="440"/>
      <c r="G398" s="440"/>
      <c r="H398" s="440"/>
      <c r="I398" s="431"/>
      <c r="J398" s="431"/>
      <c r="K398" s="431"/>
      <c r="L398" s="431"/>
      <c r="M398" s="431"/>
      <c r="N398" s="431"/>
      <c r="O398" s="431"/>
      <c r="P398" s="440"/>
      <c r="Q398" s="440"/>
      <c r="R398" s="440"/>
      <c r="S398" s="440"/>
      <c r="T398" s="440"/>
      <c r="U398" s="440"/>
    </row>
    <row r="399" spans="2:21">
      <c r="B399" s="431"/>
      <c r="C399" s="440"/>
      <c r="D399" s="440"/>
      <c r="E399" s="440"/>
      <c r="F399" s="440"/>
      <c r="G399" s="440"/>
      <c r="H399" s="440"/>
      <c r="I399" s="431"/>
      <c r="J399" s="431"/>
      <c r="K399" s="431"/>
      <c r="L399" s="431"/>
      <c r="M399" s="431"/>
      <c r="N399" s="431"/>
      <c r="O399" s="431"/>
      <c r="P399" s="440"/>
      <c r="Q399" s="440"/>
      <c r="R399" s="440"/>
      <c r="S399" s="440"/>
      <c r="T399" s="440"/>
      <c r="U399" s="440"/>
    </row>
    <row r="400" spans="2:21">
      <c r="B400" s="431"/>
      <c r="C400" s="440"/>
      <c r="D400" s="440"/>
      <c r="E400" s="440"/>
      <c r="F400" s="440"/>
      <c r="G400" s="440"/>
      <c r="H400" s="440"/>
      <c r="I400" s="431"/>
      <c r="J400" s="431"/>
      <c r="K400" s="431"/>
      <c r="L400" s="431"/>
      <c r="M400" s="431"/>
      <c r="N400" s="431"/>
      <c r="O400" s="431"/>
      <c r="P400" s="440"/>
      <c r="Q400" s="440"/>
      <c r="R400" s="440"/>
      <c r="S400" s="440"/>
      <c r="T400" s="440"/>
      <c r="U400" s="440"/>
    </row>
    <row r="401" spans="2:21">
      <c r="B401" s="431"/>
      <c r="C401" s="440"/>
      <c r="D401" s="440"/>
      <c r="E401" s="440"/>
      <c r="F401" s="440"/>
      <c r="G401" s="440"/>
      <c r="H401" s="440"/>
      <c r="I401" s="431"/>
      <c r="J401" s="431"/>
      <c r="K401" s="431"/>
      <c r="L401" s="431"/>
      <c r="M401" s="431"/>
      <c r="N401" s="431"/>
      <c r="O401" s="431"/>
      <c r="P401" s="440"/>
      <c r="Q401" s="440"/>
      <c r="R401" s="440"/>
      <c r="S401" s="440"/>
      <c r="T401" s="440"/>
      <c r="U401" s="440"/>
    </row>
    <row r="402" spans="2:21">
      <c r="B402" s="431"/>
      <c r="C402" s="440"/>
      <c r="D402" s="440"/>
      <c r="E402" s="440"/>
      <c r="F402" s="440"/>
      <c r="G402" s="440"/>
      <c r="H402" s="440"/>
      <c r="I402" s="431"/>
      <c r="J402" s="431"/>
      <c r="K402" s="431"/>
      <c r="L402" s="431"/>
      <c r="M402" s="431"/>
      <c r="N402" s="431"/>
      <c r="O402" s="431"/>
      <c r="P402" s="440"/>
      <c r="Q402" s="440"/>
      <c r="R402" s="440"/>
      <c r="S402" s="440"/>
      <c r="T402" s="440"/>
      <c r="U402" s="440"/>
    </row>
    <row r="403" spans="2:21">
      <c r="B403" s="431"/>
      <c r="C403" s="440"/>
      <c r="D403" s="440"/>
      <c r="E403" s="440"/>
      <c r="F403" s="440"/>
      <c r="G403" s="440"/>
      <c r="H403" s="440"/>
      <c r="I403" s="431"/>
      <c r="J403" s="431"/>
      <c r="K403" s="431"/>
      <c r="L403" s="431"/>
      <c r="M403" s="431"/>
      <c r="N403" s="431"/>
      <c r="O403" s="431"/>
      <c r="P403" s="440"/>
      <c r="Q403" s="440"/>
      <c r="R403" s="440"/>
      <c r="S403" s="440"/>
      <c r="T403" s="440"/>
      <c r="U403" s="440"/>
    </row>
    <row r="404" spans="2:21">
      <c r="B404" s="431"/>
      <c r="C404" s="440"/>
      <c r="D404" s="440"/>
      <c r="E404" s="440"/>
      <c r="F404" s="440"/>
      <c r="G404" s="440"/>
      <c r="H404" s="440"/>
      <c r="I404" s="431"/>
      <c r="J404" s="431"/>
      <c r="K404" s="431"/>
      <c r="L404" s="431"/>
      <c r="M404" s="431"/>
      <c r="N404" s="431"/>
      <c r="O404" s="431"/>
      <c r="P404" s="440"/>
      <c r="Q404" s="440"/>
      <c r="R404" s="440"/>
      <c r="S404" s="440"/>
      <c r="T404" s="440"/>
      <c r="U404" s="440"/>
    </row>
    <row r="405" spans="2:21">
      <c r="B405" s="431"/>
      <c r="C405" s="440"/>
      <c r="D405" s="440"/>
      <c r="E405" s="440"/>
      <c r="F405" s="440"/>
      <c r="G405" s="440"/>
      <c r="H405" s="440"/>
      <c r="I405" s="431"/>
      <c r="J405" s="431"/>
      <c r="K405" s="431"/>
      <c r="L405" s="431"/>
      <c r="M405" s="431"/>
      <c r="N405" s="431"/>
      <c r="O405" s="431"/>
      <c r="P405" s="440"/>
      <c r="Q405" s="440"/>
      <c r="R405" s="440"/>
      <c r="S405" s="440"/>
      <c r="T405" s="440"/>
      <c r="U405" s="440"/>
    </row>
    <row r="406" spans="2:21">
      <c r="B406" s="431"/>
      <c r="C406" s="440"/>
      <c r="D406" s="440"/>
      <c r="E406" s="440"/>
      <c r="F406" s="440"/>
      <c r="G406" s="440"/>
      <c r="H406" s="440"/>
      <c r="I406" s="431"/>
      <c r="J406" s="431"/>
      <c r="K406" s="431"/>
      <c r="L406" s="431"/>
      <c r="M406" s="431"/>
      <c r="N406" s="431"/>
      <c r="O406" s="431"/>
      <c r="P406" s="440"/>
      <c r="Q406" s="440"/>
      <c r="R406" s="440"/>
      <c r="S406" s="440"/>
      <c r="T406" s="440"/>
      <c r="U406" s="440"/>
    </row>
    <row r="407" spans="2:21">
      <c r="B407" s="431"/>
      <c r="C407" s="440"/>
      <c r="D407" s="440"/>
      <c r="E407" s="440"/>
      <c r="F407" s="440"/>
      <c r="G407" s="440"/>
      <c r="H407" s="440"/>
      <c r="I407" s="431"/>
      <c r="J407" s="431"/>
      <c r="K407" s="431"/>
      <c r="L407" s="431"/>
      <c r="M407" s="431"/>
      <c r="N407" s="431"/>
      <c r="O407" s="431"/>
      <c r="P407" s="440"/>
      <c r="Q407" s="440"/>
      <c r="R407" s="440"/>
      <c r="S407" s="440"/>
      <c r="T407" s="440"/>
      <c r="U407" s="440"/>
    </row>
    <row r="408" spans="2:21">
      <c r="B408" s="431"/>
      <c r="C408" s="440"/>
      <c r="D408" s="440"/>
      <c r="E408" s="440"/>
      <c r="F408" s="440"/>
      <c r="G408" s="440"/>
      <c r="H408" s="440"/>
      <c r="I408" s="431"/>
      <c r="J408" s="431"/>
      <c r="K408" s="431"/>
      <c r="L408" s="431"/>
      <c r="M408" s="431"/>
      <c r="N408" s="431"/>
      <c r="O408" s="431"/>
      <c r="P408" s="440"/>
      <c r="Q408" s="440"/>
      <c r="R408" s="440"/>
      <c r="S408" s="440"/>
      <c r="T408" s="440"/>
      <c r="U408" s="440"/>
    </row>
    <row r="409" spans="2:21">
      <c r="B409" s="431"/>
      <c r="C409" s="440"/>
      <c r="D409" s="440"/>
      <c r="E409" s="440"/>
      <c r="F409" s="440"/>
      <c r="G409" s="440"/>
      <c r="H409" s="440"/>
      <c r="I409" s="431"/>
      <c r="J409" s="431"/>
      <c r="K409" s="431"/>
      <c r="L409" s="431"/>
      <c r="M409" s="431"/>
      <c r="N409" s="431"/>
      <c r="O409" s="431"/>
      <c r="P409" s="440"/>
      <c r="Q409" s="440"/>
      <c r="R409" s="440"/>
      <c r="S409" s="440"/>
      <c r="T409" s="440"/>
      <c r="U409" s="440"/>
    </row>
    <row r="410" spans="2:21">
      <c r="B410" s="431"/>
      <c r="C410" s="440"/>
      <c r="D410" s="440"/>
      <c r="E410" s="440"/>
      <c r="F410" s="440"/>
      <c r="G410" s="440"/>
      <c r="H410" s="440"/>
      <c r="I410" s="431"/>
      <c r="J410" s="431"/>
      <c r="K410" s="431"/>
      <c r="L410" s="431"/>
      <c r="M410" s="431"/>
      <c r="N410" s="431"/>
      <c r="O410" s="431"/>
      <c r="P410" s="440"/>
      <c r="Q410" s="440"/>
      <c r="R410" s="440"/>
      <c r="S410" s="440"/>
      <c r="T410" s="440"/>
      <c r="U410" s="440"/>
    </row>
    <row r="411" spans="2:21">
      <c r="B411" s="431"/>
      <c r="C411" s="440"/>
      <c r="D411" s="440"/>
      <c r="E411" s="440"/>
      <c r="F411" s="440"/>
      <c r="G411" s="440"/>
      <c r="H411" s="440"/>
      <c r="I411" s="431"/>
      <c r="J411" s="431"/>
      <c r="K411" s="431"/>
      <c r="L411" s="431"/>
      <c r="M411" s="431"/>
      <c r="N411" s="431"/>
      <c r="O411" s="431"/>
      <c r="P411" s="440"/>
      <c r="Q411" s="440"/>
      <c r="R411" s="440"/>
      <c r="S411" s="440"/>
      <c r="T411" s="440"/>
      <c r="U411" s="440"/>
    </row>
    <row r="412" spans="2:21">
      <c r="B412" s="431"/>
      <c r="C412" s="440"/>
      <c r="D412" s="440"/>
      <c r="E412" s="440"/>
      <c r="F412" s="440"/>
      <c r="G412" s="440"/>
      <c r="H412" s="440"/>
      <c r="I412" s="431"/>
      <c r="J412" s="431"/>
      <c r="K412" s="431"/>
      <c r="L412" s="431"/>
      <c r="M412" s="431"/>
      <c r="N412" s="431"/>
      <c r="O412" s="431"/>
      <c r="P412" s="440"/>
      <c r="Q412" s="440"/>
      <c r="R412" s="440"/>
      <c r="S412" s="440"/>
      <c r="T412" s="440"/>
      <c r="U412" s="440"/>
    </row>
    <row r="413" spans="2:21">
      <c r="B413" s="431"/>
      <c r="C413" s="440"/>
      <c r="D413" s="440"/>
      <c r="E413" s="440"/>
      <c r="F413" s="440"/>
      <c r="G413" s="440"/>
      <c r="H413" s="440"/>
      <c r="I413" s="431"/>
      <c r="J413" s="431"/>
      <c r="K413" s="431"/>
      <c r="L413" s="431"/>
      <c r="M413" s="431"/>
      <c r="N413" s="431"/>
      <c r="O413" s="431"/>
      <c r="P413" s="440"/>
      <c r="Q413" s="440"/>
      <c r="R413" s="440"/>
      <c r="S413" s="440"/>
      <c r="T413" s="440"/>
      <c r="U413" s="440"/>
    </row>
    <row r="414" spans="2:21">
      <c r="B414" s="431"/>
      <c r="C414" s="440"/>
      <c r="D414" s="440"/>
      <c r="E414" s="440"/>
      <c r="F414" s="440"/>
      <c r="G414" s="440"/>
      <c r="H414" s="440"/>
      <c r="I414" s="431"/>
      <c r="J414" s="431"/>
      <c r="K414" s="431"/>
      <c r="L414" s="431"/>
      <c r="M414" s="431"/>
      <c r="N414" s="431"/>
      <c r="O414" s="431"/>
      <c r="P414" s="440"/>
      <c r="Q414" s="440"/>
      <c r="R414" s="440"/>
      <c r="S414" s="440"/>
      <c r="T414" s="440"/>
      <c r="U414" s="440"/>
    </row>
    <row r="415" spans="2:21">
      <c r="B415" s="431"/>
      <c r="C415" s="440"/>
      <c r="D415" s="440"/>
      <c r="E415" s="440"/>
      <c r="F415" s="440"/>
      <c r="G415" s="440"/>
      <c r="H415" s="440"/>
      <c r="I415" s="431"/>
      <c r="J415" s="431"/>
      <c r="K415" s="431"/>
      <c r="L415" s="431"/>
      <c r="M415" s="431"/>
      <c r="N415" s="431"/>
      <c r="O415" s="431"/>
      <c r="P415" s="440"/>
      <c r="Q415" s="440"/>
      <c r="R415" s="440"/>
      <c r="S415" s="440"/>
      <c r="T415" s="440"/>
      <c r="U415" s="440"/>
    </row>
    <row r="416" spans="2:21">
      <c r="B416" s="431"/>
      <c r="C416" s="440"/>
      <c r="D416" s="440"/>
      <c r="E416" s="440"/>
      <c r="F416" s="440"/>
      <c r="G416" s="440"/>
      <c r="H416" s="440"/>
      <c r="I416" s="431"/>
      <c r="J416" s="431"/>
      <c r="K416" s="431"/>
      <c r="L416" s="431"/>
      <c r="M416" s="431"/>
      <c r="N416" s="431"/>
      <c r="O416" s="431"/>
      <c r="P416" s="440"/>
      <c r="Q416" s="440"/>
      <c r="R416" s="440"/>
      <c r="S416" s="440"/>
      <c r="T416" s="440"/>
      <c r="U416" s="440"/>
    </row>
    <row r="417" spans="2:21">
      <c r="B417" s="431"/>
      <c r="C417" s="440"/>
      <c r="D417" s="440"/>
      <c r="E417" s="440"/>
      <c r="F417" s="440"/>
      <c r="G417" s="440"/>
      <c r="H417" s="440"/>
      <c r="I417" s="431"/>
      <c r="J417" s="431"/>
      <c r="K417" s="431"/>
      <c r="L417" s="431"/>
      <c r="M417" s="431"/>
      <c r="N417" s="431"/>
      <c r="O417" s="431"/>
      <c r="P417" s="440"/>
      <c r="Q417" s="440"/>
      <c r="R417" s="440"/>
      <c r="S417" s="440"/>
      <c r="T417" s="440"/>
      <c r="U417" s="440"/>
    </row>
    <row r="418" spans="2:21">
      <c r="B418" s="431"/>
      <c r="C418" s="440"/>
      <c r="D418" s="440"/>
      <c r="E418" s="440"/>
      <c r="F418" s="440"/>
      <c r="G418" s="440"/>
      <c r="H418" s="440"/>
      <c r="I418" s="431"/>
      <c r="J418" s="431"/>
      <c r="K418" s="431"/>
      <c r="L418" s="431"/>
      <c r="M418" s="431"/>
      <c r="N418" s="431"/>
      <c r="O418" s="431"/>
      <c r="P418" s="440"/>
      <c r="Q418" s="440"/>
      <c r="R418" s="440"/>
      <c r="S418" s="440"/>
      <c r="T418" s="440"/>
      <c r="U418" s="440"/>
    </row>
    <row r="419" spans="2:21">
      <c r="B419" s="431"/>
      <c r="C419" s="440"/>
      <c r="D419" s="440"/>
      <c r="E419" s="440"/>
      <c r="F419" s="440"/>
      <c r="G419" s="440"/>
      <c r="H419" s="440"/>
      <c r="I419" s="431"/>
      <c r="J419" s="431"/>
      <c r="K419" s="431"/>
      <c r="L419" s="431"/>
      <c r="M419" s="431"/>
      <c r="N419" s="431"/>
      <c r="O419" s="431"/>
      <c r="P419" s="440"/>
      <c r="Q419" s="440"/>
      <c r="R419" s="440"/>
      <c r="S419" s="440"/>
      <c r="T419" s="440"/>
      <c r="U419" s="440"/>
    </row>
    <row r="420" spans="2:21">
      <c r="B420" s="431"/>
      <c r="C420" s="440"/>
      <c r="D420" s="440"/>
      <c r="E420" s="440"/>
      <c r="F420" s="440"/>
      <c r="G420" s="440"/>
      <c r="H420" s="440"/>
      <c r="I420" s="431"/>
      <c r="J420" s="431"/>
      <c r="K420" s="431"/>
      <c r="L420" s="431"/>
      <c r="M420" s="431"/>
      <c r="N420" s="431"/>
      <c r="O420" s="431"/>
      <c r="P420" s="440"/>
      <c r="Q420" s="440"/>
      <c r="R420" s="440"/>
      <c r="S420" s="440"/>
      <c r="T420" s="440"/>
      <c r="U420" s="440"/>
    </row>
    <row r="421" spans="2:21">
      <c r="B421" s="431"/>
      <c r="C421" s="440"/>
      <c r="D421" s="440"/>
      <c r="E421" s="440"/>
      <c r="F421" s="440"/>
      <c r="G421" s="440"/>
      <c r="H421" s="440"/>
      <c r="I421" s="431"/>
      <c r="J421" s="431"/>
      <c r="K421" s="431"/>
      <c r="L421" s="431"/>
      <c r="M421" s="431"/>
      <c r="N421" s="431"/>
      <c r="O421" s="431"/>
      <c r="P421" s="440"/>
      <c r="Q421" s="440"/>
      <c r="R421" s="440"/>
      <c r="S421" s="440"/>
      <c r="T421" s="440"/>
      <c r="U421" s="440"/>
    </row>
    <row r="422" spans="2:21">
      <c r="B422" s="431"/>
      <c r="C422" s="440"/>
      <c r="D422" s="440"/>
      <c r="E422" s="440"/>
      <c r="F422" s="440"/>
      <c r="G422" s="440"/>
      <c r="H422" s="440"/>
      <c r="I422" s="431"/>
      <c r="J422" s="431"/>
      <c r="K422" s="431"/>
      <c r="L422" s="431"/>
      <c r="M422" s="431"/>
      <c r="N422" s="431"/>
      <c r="O422" s="431"/>
      <c r="P422" s="440"/>
      <c r="Q422" s="440"/>
      <c r="R422" s="440"/>
      <c r="S422" s="440"/>
      <c r="T422" s="440"/>
      <c r="U422" s="440"/>
    </row>
    <row r="423" spans="2:21">
      <c r="B423" s="431"/>
      <c r="C423" s="440"/>
      <c r="D423" s="440"/>
      <c r="E423" s="440"/>
      <c r="F423" s="440"/>
      <c r="G423" s="440"/>
      <c r="H423" s="440"/>
      <c r="I423" s="431"/>
      <c r="J423" s="431"/>
      <c r="K423" s="431"/>
      <c r="L423" s="431"/>
      <c r="M423" s="431"/>
      <c r="N423" s="431"/>
      <c r="O423" s="431"/>
      <c r="P423" s="440"/>
      <c r="Q423" s="440"/>
      <c r="R423" s="440"/>
      <c r="S423" s="440"/>
      <c r="T423" s="440"/>
      <c r="U423" s="440"/>
    </row>
    <row r="424" spans="2:21">
      <c r="B424" s="431"/>
      <c r="C424" s="440"/>
      <c r="D424" s="440"/>
      <c r="E424" s="440"/>
      <c r="F424" s="440"/>
      <c r="G424" s="440"/>
      <c r="H424" s="440"/>
      <c r="I424" s="431"/>
      <c r="J424" s="431"/>
      <c r="K424" s="431"/>
      <c r="L424" s="431"/>
      <c r="M424" s="431"/>
      <c r="N424" s="431"/>
      <c r="O424" s="431"/>
      <c r="P424" s="440"/>
      <c r="Q424" s="440"/>
      <c r="R424" s="440"/>
      <c r="S424" s="440"/>
      <c r="T424" s="440"/>
      <c r="U424" s="440"/>
    </row>
    <row r="425" spans="2:21">
      <c r="B425" s="431"/>
      <c r="C425" s="440"/>
      <c r="D425" s="440"/>
      <c r="E425" s="440"/>
      <c r="F425" s="440"/>
      <c r="G425" s="440"/>
      <c r="H425" s="440"/>
      <c r="I425" s="431"/>
      <c r="J425" s="431"/>
      <c r="K425" s="431"/>
      <c r="L425" s="431"/>
      <c r="M425" s="431"/>
      <c r="N425" s="431"/>
      <c r="O425" s="431"/>
      <c r="P425" s="440"/>
      <c r="Q425" s="440"/>
      <c r="R425" s="440"/>
      <c r="S425" s="440"/>
      <c r="T425" s="440"/>
      <c r="U425" s="440"/>
    </row>
    <row r="426" spans="2:21">
      <c r="B426" s="431"/>
      <c r="C426" s="440"/>
      <c r="D426" s="440"/>
      <c r="E426" s="440"/>
      <c r="F426" s="440"/>
      <c r="G426" s="440"/>
      <c r="H426" s="440"/>
      <c r="I426" s="431"/>
      <c r="J426" s="431"/>
      <c r="K426" s="431"/>
      <c r="L426" s="431"/>
      <c r="M426" s="431"/>
      <c r="N426" s="431"/>
      <c r="O426" s="431"/>
      <c r="P426" s="440"/>
      <c r="Q426" s="440"/>
      <c r="R426" s="440"/>
      <c r="S426" s="440"/>
      <c r="T426" s="440"/>
      <c r="U426" s="440"/>
    </row>
    <row r="427" spans="2:21">
      <c r="B427" s="431"/>
      <c r="C427" s="440"/>
      <c r="D427" s="440"/>
      <c r="E427" s="440"/>
      <c r="F427" s="440"/>
      <c r="G427" s="440"/>
      <c r="H427" s="440"/>
      <c r="I427" s="431"/>
      <c r="J427" s="431"/>
      <c r="K427" s="431"/>
      <c r="L427" s="431"/>
      <c r="M427" s="431"/>
      <c r="N427" s="431"/>
      <c r="O427" s="431"/>
      <c r="P427" s="440"/>
      <c r="Q427" s="440"/>
      <c r="R427" s="440"/>
      <c r="S427" s="440"/>
      <c r="T427" s="440"/>
      <c r="U427" s="440"/>
    </row>
    <row r="428" spans="2:21">
      <c r="B428" s="431"/>
      <c r="C428" s="440"/>
      <c r="D428" s="440"/>
      <c r="E428" s="440"/>
      <c r="F428" s="440"/>
      <c r="G428" s="440"/>
      <c r="H428" s="440"/>
      <c r="I428" s="431"/>
      <c r="J428" s="431"/>
      <c r="K428" s="431"/>
      <c r="L428" s="431"/>
      <c r="M428" s="431"/>
      <c r="N428" s="431"/>
      <c r="O428" s="431"/>
      <c r="P428" s="440"/>
      <c r="Q428" s="440"/>
      <c r="R428" s="440"/>
      <c r="S428" s="440"/>
      <c r="T428" s="440"/>
      <c r="U428" s="440"/>
    </row>
    <row r="429" spans="2:21">
      <c r="B429" s="431"/>
      <c r="C429" s="440"/>
      <c r="D429" s="440"/>
      <c r="E429" s="440"/>
      <c r="F429" s="440"/>
      <c r="G429" s="440"/>
      <c r="H429" s="440"/>
      <c r="I429" s="431"/>
      <c r="J429" s="431"/>
      <c r="K429" s="431"/>
      <c r="L429" s="431"/>
      <c r="M429" s="431"/>
      <c r="N429" s="431"/>
      <c r="O429" s="431"/>
      <c r="P429" s="440"/>
      <c r="Q429" s="440"/>
      <c r="R429" s="440"/>
      <c r="S429" s="440"/>
      <c r="T429" s="440"/>
      <c r="U429" s="440"/>
    </row>
    <row r="430" spans="2:21">
      <c r="B430" s="431"/>
      <c r="C430" s="440"/>
      <c r="D430" s="440"/>
      <c r="E430" s="440"/>
      <c r="F430" s="440"/>
      <c r="G430" s="440"/>
      <c r="H430" s="440"/>
      <c r="I430" s="431"/>
      <c r="J430" s="431"/>
      <c r="K430" s="431"/>
      <c r="L430" s="431"/>
      <c r="M430" s="431"/>
      <c r="N430" s="431"/>
      <c r="O430" s="431"/>
      <c r="P430" s="440"/>
      <c r="Q430" s="440"/>
      <c r="R430" s="440"/>
      <c r="S430" s="440"/>
      <c r="T430" s="440"/>
      <c r="U430" s="440"/>
    </row>
    <row r="431" spans="2:21">
      <c r="B431" s="431"/>
      <c r="C431" s="440"/>
      <c r="D431" s="440"/>
      <c r="E431" s="440"/>
      <c r="F431" s="440"/>
      <c r="G431" s="440"/>
      <c r="H431" s="440"/>
      <c r="I431" s="431"/>
      <c r="J431" s="431"/>
      <c r="K431" s="431"/>
      <c r="L431" s="431"/>
      <c r="M431" s="431"/>
      <c r="N431" s="431"/>
      <c r="O431" s="431"/>
      <c r="P431" s="440"/>
      <c r="Q431" s="440"/>
      <c r="R431" s="440"/>
      <c r="S431" s="440"/>
      <c r="T431" s="440"/>
      <c r="U431" s="440"/>
    </row>
    <row r="432" spans="2:21">
      <c r="B432" s="431"/>
      <c r="C432" s="440"/>
      <c r="D432" s="440"/>
      <c r="E432" s="440"/>
      <c r="F432" s="440"/>
      <c r="G432" s="440"/>
      <c r="H432" s="440"/>
      <c r="I432" s="431"/>
      <c r="J432" s="431"/>
      <c r="K432" s="431"/>
      <c r="L432" s="431"/>
      <c r="M432" s="431"/>
      <c r="N432" s="431"/>
      <c r="O432" s="431"/>
      <c r="P432" s="440"/>
      <c r="Q432" s="440"/>
      <c r="R432" s="440"/>
      <c r="S432" s="440"/>
      <c r="T432" s="440"/>
      <c r="U432" s="440"/>
    </row>
    <row r="433" spans="2:21">
      <c r="B433" s="431"/>
      <c r="C433" s="440"/>
      <c r="D433" s="440"/>
      <c r="E433" s="440"/>
      <c r="F433" s="440"/>
      <c r="G433" s="440"/>
      <c r="H433" s="440"/>
      <c r="I433" s="431"/>
      <c r="J433" s="431"/>
      <c r="K433" s="431"/>
      <c r="L433" s="431"/>
      <c r="M433" s="431"/>
      <c r="N433" s="431"/>
      <c r="O433" s="431"/>
      <c r="P433" s="440"/>
      <c r="Q433" s="440"/>
      <c r="R433" s="440"/>
      <c r="S433" s="440"/>
      <c r="T433" s="440"/>
      <c r="U433" s="440"/>
    </row>
    <row r="434" spans="2:21">
      <c r="B434" s="431"/>
      <c r="C434" s="440"/>
      <c r="D434" s="440"/>
      <c r="E434" s="440"/>
      <c r="F434" s="440"/>
      <c r="G434" s="440"/>
      <c r="H434" s="440"/>
      <c r="I434" s="431"/>
      <c r="J434" s="431"/>
      <c r="K434" s="431"/>
      <c r="L434" s="431"/>
      <c r="M434" s="431"/>
      <c r="N434" s="431"/>
      <c r="O434" s="431"/>
      <c r="P434" s="440"/>
      <c r="Q434" s="440"/>
      <c r="R434" s="440"/>
      <c r="S434" s="440"/>
      <c r="T434" s="440"/>
      <c r="U434" s="440"/>
    </row>
    <row r="435" spans="2:21">
      <c r="B435" s="431"/>
      <c r="C435" s="440"/>
      <c r="D435" s="440"/>
      <c r="E435" s="440"/>
      <c r="F435" s="440"/>
      <c r="G435" s="440"/>
      <c r="H435" s="440"/>
      <c r="I435" s="431"/>
      <c r="J435" s="431"/>
      <c r="K435" s="431"/>
      <c r="L435" s="431"/>
      <c r="M435" s="431"/>
      <c r="N435" s="431"/>
      <c r="O435" s="431"/>
      <c r="P435" s="440"/>
      <c r="Q435" s="440"/>
      <c r="R435" s="440"/>
      <c r="S435" s="440"/>
      <c r="T435" s="440"/>
      <c r="U435" s="440"/>
    </row>
    <row r="436" spans="2:21">
      <c r="B436" s="431"/>
      <c r="C436" s="440"/>
      <c r="D436" s="440"/>
      <c r="E436" s="440"/>
      <c r="F436" s="440"/>
      <c r="G436" s="440"/>
      <c r="H436" s="440"/>
      <c r="I436" s="431"/>
      <c r="J436" s="431"/>
      <c r="K436" s="431"/>
      <c r="L436" s="431"/>
      <c r="M436" s="431"/>
      <c r="N436" s="431"/>
      <c r="O436" s="431"/>
      <c r="P436" s="440"/>
      <c r="Q436" s="440"/>
      <c r="R436" s="440"/>
      <c r="S436" s="440"/>
      <c r="T436" s="440"/>
      <c r="U436" s="440"/>
    </row>
    <row r="437" spans="2:21">
      <c r="B437" s="431"/>
      <c r="C437" s="440"/>
      <c r="D437" s="440"/>
      <c r="E437" s="440"/>
      <c r="F437" s="440"/>
      <c r="G437" s="440"/>
      <c r="H437" s="440"/>
      <c r="I437" s="431"/>
      <c r="J437" s="431"/>
      <c r="K437" s="431"/>
      <c r="L437" s="431"/>
      <c r="M437" s="431"/>
      <c r="N437" s="431"/>
      <c r="O437" s="431"/>
      <c r="P437" s="440"/>
      <c r="Q437" s="440"/>
      <c r="R437" s="440"/>
      <c r="S437" s="440"/>
      <c r="T437" s="440"/>
      <c r="U437" s="440"/>
    </row>
    <row r="438" spans="2:21">
      <c r="B438" s="431"/>
      <c r="C438" s="440"/>
      <c r="D438" s="440"/>
      <c r="E438" s="440"/>
      <c r="F438" s="440"/>
      <c r="G438" s="440"/>
      <c r="H438" s="440"/>
      <c r="I438" s="431"/>
      <c r="J438" s="431"/>
      <c r="K438" s="431"/>
      <c r="L438" s="431"/>
      <c r="M438" s="431"/>
      <c r="N438" s="431"/>
      <c r="O438" s="431"/>
      <c r="P438" s="440"/>
      <c r="Q438" s="440"/>
      <c r="R438" s="440"/>
      <c r="S438" s="440"/>
      <c r="T438" s="440"/>
      <c r="U438" s="440"/>
    </row>
    <row r="439" spans="2:21">
      <c r="B439" s="431"/>
      <c r="C439" s="440"/>
      <c r="D439" s="440"/>
      <c r="E439" s="440"/>
      <c r="F439" s="440"/>
      <c r="G439" s="440"/>
      <c r="H439" s="440"/>
      <c r="I439" s="431"/>
      <c r="J439" s="431"/>
      <c r="K439" s="431"/>
      <c r="L439" s="431"/>
      <c r="M439" s="431"/>
      <c r="N439" s="431"/>
      <c r="O439" s="431"/>
      <c r="P439" s="440"/>
      <c r="Q439" s="440"/>
      <c r="R439" s="440"/>
      <c r="S439" s="440"/>
      <c r="T439" s="440"/>
      <c r="U439" s="440"/>
    </row>
    <row r="440" spans="2:21">
      <c r="B440" s="431"/>
      <c r="C440" s="440"/>
      <c r="D440" s="440"/>
      <c r="E440" s="440"/>
      <c r="F440" s="440"/>
      <c r="G440" s="440"/>
      <c r="H440" s="440"/>
      <c r="I440" s="431"/>
      <c r="J440" s="431"/>
      <c r="K440" s="431"/>
      <c r="L440" s="431"/>
      <c r="M440" s="431"/>
      <c r="N440" s="431"/>
      <c r="O440" s="431"/>
      <c r="P440" s="440"/>
      <c r="Q440" s="440"/>
      <c r="R440" s="440"/>
      <c r="S440" s="440"/>
      <c r="T440" s="440"/>
      <c r="U440" s="440"/>
    </row>
    <row r="441" spans="2:21">
      <c r="B441" s="431"/>
      <c r="C441" s="440"/>
      <c r="D441" s="440"/>
      <c r="E441" s="440"/>
      <c r="F441" s="440"/>
      <c r="G441" s="440"/>
      <c r="H441" s="440"/>
      <c r="I441" s="431"/>
      <c r="J441" s="431"/>
      <c r="K441" s="431"/>
      <c r="L441" s="431"/>
      <c r="M441" s="431"/>
      <c r="N441" s="431"/>
      <c r="O441" s="431"/>
      <c r="P441" s="440"/>
      <c r="Q441" s="440"/>
      <c r="R441" s="440"/>
      <c r="S441" s="440"/>
      <c r="T441" s="440"/>
      <c r="U441" s="440"/>
    </row>
    <row r="442" spans="2:21">
      <c r="B442" s="431"/>
      <c r="C442" s="440"/>
      <c r="D442" s="440"/>
      <c r="E442" s="440"/>
      <c r="F442" s="440"/>
      <c r="G442" s="440"/>
      <c r="H442" s="440"/>
      <c r="I442" s="431"/>
      <c r="J442" s="431"/>
      <c r="K442" s="431"/>
      <c r="L442" s="431"/>
      <c r="M442" s="431"/>
      <c r="N442" s="431"/>
      <c r="O442" s="431"/>
      <c r="P442" s="440"/>
      <c r="Q442" s="440"/>
      <c r="R442" s="440"/>
      <c r="S442" s="440"/>
      <c r="T442" s="440"/>
      <c r="U442" s="440"/>
    </row>
    <row r="443" spans="2:21">
      <c r="B443" s="431"/>
      <c r="C443" s="440"/>
      <c r="D443" s="440"/>
      <c r="E443" s="440"/>
      <c r="F443" s="440"/>
      <c r="G443" s="440"/>
      <c r="H443" s="440"/>
      <c r="I443" s="431"/>
      <c r="J443" s="431"/>
      <c r="K443" s="431"/>
      <c r="L443" s="431"/>
      <c r="M443" s="431"/>
      <c r="N443" s="431"/>
      <c r="O443" s="431"/>
      <c r="P443" s="440"/>
      <c r="Q443" s="440"/>
      <c r="R443" s="440"/>
      <c r="S443" s="440"/>
      <c r="T443" s="440"/>
      <c r="U443" s="440"/>
    </row>
    <row r="444" spans="2:21">
      <c r="B444" s="431"/>
      <c r="C444" s="440"/>
      <c r="D444" s="440"/>
      <c r="E444" s="440"/>
      <c r="F444" s="440"/>
      <c r="G444" s="440"/>
      <c r="H444" s="440"/>
      <c r="I444" s="431"/>
      <c r="J444" s="431"/>
      <c r="K444" s="431"/>
      <c r="L444" s="431"/>
      <c r="M444" s="431"/>
      <c r="N444" s="431"/>
      <c r="O444" s="431"/>
      <c r="P444" s="440"/>
      <c r="Q444" s="440"/>
      <c r="R444" s="440"/>
      <c r="S444" s="440"/>
      <c r="T444" s="440"/>
      <c r="U444" s="440"/>
    </row>
    <row r="445" spans="2:21">
      <c r="B445" s="431"/>
      <c r="C445" s="440"/>
      <c r="D445" s="440"/>
      <c r="E445" s="440"/>
      <c r="F445" s="440"/>
      <c r="G445" s="440"/>
      <c r="H445" s="440"/>
      <c r="I445" s="431"/>
      <c r="J445" s="431"/>
      <c r="K445" s="431"/>
      <c r="L445" s="431"/>
      <c r="M445" s="431"/>
      <c r="N445" s="431"/>
      <c r="O445" s="431"/>
      <c r="P445" s="440"/>
      <c r="Q445" s="440"/>
      <c r="R445" s="440"/>
      <c r="S445" s="440"/>
      <c r="T445" s="440"/>
      <c r="U445" s="440"/>
    </row>
    <row r="446" spans="2:21">
      <c r="B446" s="431"/>
      <c r="C446" s="440"/>
      <c r="D446" s="440"/>
      <c r="E446" s="440"/>
      <c r="F446" s="440"/>
      <c r="G446" s="440"/>
      <c r="H446" s="440"/>
      <c r="I446" s="431"/>
      <c r="J446" s="431"/>
      <c r="K446" s="431"/>
      <c r="L446" s="431"/>
      <c r="M446" s="431"/>
      <c r="N446" s="431"/>
      <c r="O446" s="431"/>
      <c r="P446" s="440"/>
      <c r="Q446" s="440"/>
      <c r="R446" s="440"/>
      <c r="S446" s="440"/>
      <c r="T446" s="440"/>
      <c r="U446" s="440"/>
    </row>
    <row r="447" spans="2:21">
      <c r="B447" s="431"/>
      <c r="C447" s="440"/>
      <c r="D447" s="440"/>
      <c r="E447" s="440"/>
      <c r="F447" s="440"/>
      <c r="G447" s="440"/>
      <c r="H447" s="440"/>
      <c r="I447" s="431"/>
      <c r="J447" s="431"/>
      <c r="K447" s="431"/>
      <c r="L447" s="431"/>
      <c r="M447" s="431"/>
      <c r="N447" s="431"/>
      <c r="O447" s="431"/>
      <c r="P447" s="440"/>
      <c r="Q447" s="440"/>
      <c r="R447" s="440"/>
      <c r="S447" s="440"/>
      <c r="T447" s="440"/>
      <c r="U447" s="440"/>
    </row>
    <row r="448" spans="2:21">
      <c r="B448" s="431"/>
      <c r="C448" s="440"/>
      <c r="D448" s="440"/>
      <c r="E448" s="440"/>
      <c r="F448" s="440"/>
      <c r="G448" s="440"/>
      <c r="H448" s="440"/>
      <c r="I448" s="431"/>
      <c r="J448" s="431"/>
      <c r="K448" s="431"/>
      <c r="L448" s="431"/>
      <c r="M448" s="431"/>
      <c r="N448" s="431"/>
      <c r="O448" s="431"/>
      <c r="P448" s="440"/>
      <c r="Q448" s="440"/>
      <c r="R448" s="440"/>
      <c r="S448" s="440"/>
      <c r="T448" s="440"/>
      <c r="U448" s="440"/>
    </row>
    <row r="449" spans="2:21">
      <c r="B449" s="431"/>
      <c r="C449" s="440"/>
      <c r="D449" s="440"/>
      <c r="E449" s="440"/>
      <c r="F449" s="440"/>
      <c r="G449" s="440"/>
      <c r="H449" s="440"/>
      <c r="I449" s="431"/>
      <c r="J449" s="431"/>
      <c r="K449" s="431"/>
      <c r="L449" s="431"/>
      <c r="M449" s="431"/>
      <c r="N449" s="431"/>
      <c r="O449" s="431"/>
      <c r="P449" s="440"/>
      <c r="Q449" s="440"/>
      <c r="R449" s="440"/>
      <c r="S449" s="440"/>
      <c r="T449" s="440"/>
      <c r="U449" s="440"/>
    </row>
    <row r="450" spans="2:21">
      <c r="B450" s="431"/>
      <c r="C450" s="440"/>
      <c r="D450" s="440"/>
      <c r="E450" s="440"/>
      <c r="F450" s="440"/>
      <c r="G450" s="440"/>
      <c r="H450" s="440"/>
      <c r="I450" s="431"/>
      <c r="J450" s="431"/>
      <c r="K450" s="431"/>
      <c r="L450" s="431"/>
      <c r="M450" s="431"/>
      <c r="N450" s="431"/>
      <c r="O450" s="431"/>
      <c r="P450" s="440"/>
      <c r="Q450" s="440"/>
      <c r="R450" s="440"/>
      <c r="S450" s="440"/>
      <c r="T450" s="440"/>
      <c r="U450" s="440"/>
    </row>
    <row r="451" spans="2:21">
      <c r="B451" s="431"/>
      <c r="C451" s="440"/>
      <c r="D451" s="440"/>
      <c r="E451" s="440"/>
      <c r="F451" s="440"/>
      <c r="G451" s="440"/>
      <c r="H451" s="440"/>
      <c r="I451" s="431"/>
      <c r="J451" s="431"/>
      <c r="K451" s="431"/>
      <c r="L451" s="431"/>
      <c r="M451" s="431"/>
      <c r="N451" s="431"/>
      <c r="O451" s="431"/>
      <c r="P451" s="440"/>
      <c r="Q451" s="440"/>
      <c r="R451" s="440"/>
      <c r="S451" s="440"/>
      <c r="T451" s="440"/>
      <c r="U451" s="440"/>
    </row>
    <row r="452" spans="2:21">
      <c r="B452" s="431"/>
      <c r="C452" s="440"/>
      <c r="D452" s="440"/>
      <c r="E452" s="440"/>
      <c r="F452" s="440"/>
      <c r="G452" s="440"/>
      <c r="H452" s="440"/>
      <c r="I452" s="431"/>
      <c r="J452" s="431"/>
      <c r="K452" s="431"/>
      <c r="L452" s="431"/>
      <c r="M452" s="431"/>
      <c r="N452" s="431"/>
      <c r="O452" s="431"/>
      <c r="P452" s="440"/>
      <c r="Q452" s="440"/>
      <c r="R452" s="440"/>
      <c r="S452" s="440"/>
      <c r="T452" s="440"/>
      <c r="U452" s="440"/>
    </row>
    <row r="453" spans="2:21">
      <c r="B453" s="431"/>
      <c r="C453" s="440"/>
      <c r="D453" s="440"/>
      <c r="E453" s="440"/>
      <c r="F453" s="440"/>
      <c r="G453" s="440"/>
      <c r="H453" s="440"/>
      <c r="I453" s="431"/>
      <c r="J453" s="431"/>
      <c r="K453" s="431"/>
      <c r="L453" s="431"/>
      <c r="M453" s="431"/>
      <c r="N453" s="431"/>
      <c r="O453" s="431"/>
      <c r="P453" s="440"/>
      <c r="Q453" s="440"/>
      <c r="R453" s="440"/>
      <c r="S453" s="440"/>
      <c r="T453" s="440"/>
      <c r="U453" s="440"/>
    </row>
    <row r="454" spans="2:21">
      <c r="B454" s="431"/>
      <c r="C454" s="440"/>
      <c r="D454" s="440"/>
      <c r="E454" s="440"/>
      <c r="F454" s="440"/>
      <c r="G454" s="440"/>
      <c r="H454" s="440"/>
      <c r="I454" s="431"/>
      <c r="J454" s="431"/>
      <c r="K454" s="431"/>
      <c r="L454" s="431"/>
      <c r="M454" s="431"/>
      <c r="N454" s="431"/>
      <c r="O454" s="431"/>
      <c r="P454" s="440"/>
      <c r="Q454" s="440"/>
      <c r="R454" s="440"/>
      <c r="S454" s="440"/>
      <c r="T454" s="440"/>
      <c r="U454" s="440"/>
    </row>
    <row r="455" spans="2:21">
      <c r="B455" s="431"/>
      <c r="C455" s="440"/>
      <c r="D455" s="440"/>
      <c r="E455" s="440"/>
      <c r="F455" s="440"/>
      <c r="G455" s="440"/>
      <c r="H455" s="440"/>
      <c r="I455" s="431"/>
      <c r="J455" s="431"/>
      <c r="K455" s="431"/>
      <c r="L455" s="431"/>
      <c r="M455" s="431"/>
      <c r="N455" s="431"/>
      <c r="O455" s="431"/>
      <c r="P455" s="440"/>
      <c r="Q455" s="440"/>
      <c r="R455" s="440"/>
      <c r="S455" s="440"/>
      <c r="T455" s="440"/>
      <c r="U455" s="440"/>
    </row>
    <row r="456" spans="2:21">
      <c r="B456" s="431"/>
      <c r="C456" s="440"/>
      <c r="D456" s="440"/>
      <c r="E456" s="440"/>
      <c r="F456" s="440"/>
      <c r="G456" s="440"/>
      <c r="H456" s="440"/>
      <c r="I456" s="431"/>
      <c r="J456" s="431"/>
      <c r="K456" s="431"/>
      <c r="L456" s="431"/>
      <c r="M456" s="431"/>
      <c r="N456" s="431"/>
      <c r="O456" s="431"/>
      <c r="P456" s="440"/>
      <c r="Q456" s="440"/>
      <c r="R456" s="440"/>
      <c r="S456" s="440"/>
      <c r="T456" s="440"/>
      <c r="U456" s="440"/>
    </row>
    <row r="457" spans="2:21">
      <c r="B457" s="431"/>
      <c r="C457" s="440"/>
      <c r="D457" s="440"/>
      <c r="E457" s="440"/>
      <c r="F457" s="440"/>
      <c r="G457" s="440"/>
      <c r="H457" s="440"/>
      <c r="I457" s="431"/>
      <c r="J457" s="431"/>
      <c r="K457" s="431"/>
      <c r="L457" s="431"/>
      <c r="M457" s="431"/>
      <c r="N457" s="431"/>
      <c r="O457" s="431"/>
      <c r="P457" s="440"/>
      <c r="Q457" s="440"/>
      <c r="R457" s="440"/>
      <c r="S457" s="440"/>
      <c r="T457" s="440"/>
      <c r="U457" s="440"/>
    </row>
    <row r="458" spans="2:21">
      <c r="B458" s="431"/>
      <c r="C458" s="440"/>
      <c r="D458" s="440"/>
      <c r="E458" s="440"/>
      <c r="F458" s="440"/>
      <c r="G458" s="440"/>
      <c r="H458" s="440"/>
      <c r="I458" s="431"/>
      <c r="J458" s="431"/>
      <c r="K458" s="431"/>
      <c r="L458" s="431"/>
      <c r="M458" s="431"/>
      <c r="N458" s="431"/>
      <c r="O458" s="431"/>
      <c r="P458" s="440"/>
      <c r="Q458" s="440"/>
      <c r="R458" s="440"/>
      <c r="S458" s="440"/>
      <c r="T458" s="440"/>
      <c r="U458" s="440"/>
    </row>
    <row r="459" spans="2:21">
      <c r="B459" s="431"/>
      <c r="C459" s="440"/>
      <c r="D459" s="440"/>
      <c r="E459" s="440"/>
      <c r="F459" s="440"/>
      <c r="G459" s="440"/>
      <c r="H459" s="440"/>
      <c r="I459" s="431"/>
      <c r="J459" s="431"/>
      <c r="K459" s="431"/>
      <c r="L459" s="431"/>
      <c r="M459" s="431"/>
      <c r="N459" s="431"/>
      <c r="O459" s="431"/>
      <c r="P459" s="440"/>
      <c r="Q459" s="440"/>
      <c r="R459" s="440"/>
      <c r="S459" s="440"/>
      <c r="T459" s="440"/>
      <c r="U459" s="440"/>
    </row>
    <row r="460" spans="2:21">
      <c r="B460" s="431"/>
      <c r="C460" s="440"/>
      <c r="D460" s="440"/>
      <c r="E460" s="440"/>
      <c r="F460" s="440"/>
      <c r="G460" s="440"/>
      <c r="H460" s="440"/>
      <c r="I460" s="431"/>
      <c r="J460" s="431"/>
      <c r="K460" s="431"/>
      <c r="L460" s="431"/>
      <c r="M460" s="431"/>
      <c r="N460" s="431"/>
      <c r="O460" s="431"/>
      <c r="P460" s="440"/>
      <c r="Q460" s="440"/>
      <c r="R460" s="440"/>
      <c r="S460" s="440"/>
      <c r="T460" s="440"/>
      <c r="U460" s="440"/>
    </row>
    <row r="461" spans="2:21">
      <c r="B461" s="431"/>
      <c r="C461" s="440"/>
      <c r="D461" s="440"/>
      <c r="E461" s="440"/>
      <c r="F461" s="440"/>
      <c r="G461" s="440"/>
      <c r="H461" s="440"/>
      <c r="I461" s="431"/>
      <c r="J461" s="431"/>
      <c r="K461" s="431"/>
      <c r="L461" s="431"/>
      <c r="M461" s="431"/>
      <c r="N461" s="431"/>
      <c r="O461" s="431"/>
      <c r="P461" s="440"/>
      <c r="Q461" s="440"/>
      <c r="R461" s="440"/>
      <c r="S461" s="440"/>
      <c r="T461" s="440"/>
      <c r="U461" s="440"/>
    </row>
    <row r="462" spans="2:21">
      <c r="B462" s="431"/>
      <c r="C462" s="440"/>
      <c r="D462" s="440"/>
      <c r="E462" s="440"/>
      <c r="F462" s="440"/>
      <c r="G462" s="440"/>
      <c r="H462" s="440"/>
      <c r="I462" s="431"/>
      <c r="J462" s="431"/>
      <c r="K462" s="431"/>
      <c r="L462" s="431"/>
      <c r="M462" s="431"/>
      <c r="N462" s="431"/>
      <c r="O462" s="431"/>
      <c r="P462" s="440"/>
      <c r="Q462" s="440"/>
      <c r="R462" s="440"/>
      <c r="S462" s="440"/>
      <c r="T462" s="440"/>
      <c r="U462" s="440"/>
    </row>
    <row r="463" spans="2:21">
      <c r="B463" s="431"/>
      <c r="C463" s="440"/>
      <c r="D463" s="440"/>
      <c r="E463" s="440"/>
      <c r="F463" s="440"/>
      <c r="G463" s="440"/>
      <c r="H463" s="440"/>
      <c r="I463" s="431"/>
      <c r="J463" s="431"/>
      <c r="K463" s="431"/>
      <c r="L463" s="431"/>
      <c r="M463" s="431"/>
      <c r="N463" s="431"/>
      <c r="O463" s="431"/>
      <c r="P463" s="440"/>
      <c r="Q463" s="440"/>
      <c r="R463" s="440"/>
      <c r="S463" s="440"/>
      <c r="T463" s="440"/>
      <c r="U463" s="440"/>
    </row>
    <row r="464" spans="2:21">
      <c r="B464" s="431"/>
      <c r="C464" s="440"/>
      <c r="D464" s="440"/>
      <c r="E464" s="440"/>
      <c r="F464" s="440"/>
      <c r="G464" s="440"/>
      <c r="H464" s="440"/>
      <c r="I464" s="431"/>
      <c r="J464" s="431"/>
      <c r="K464" s="431"/>
      <c r="L464" s="431"/>
      <c r="M464" s="431"/>
      <c r="N464" s="431"/>
      <c r="O464" s="431"/>
      <c r="P464" s="440"/>
      <c r="Q464" s="440"/>
      <c r="R464" s="440"/>
      <c r="S464" s="440"/>
      <c r="T464" s="440"/>
      <c r="U464" s="440"/>
    </row>
    <row r="465" spans="2:21">
      <c r="B465" s="431"/>
      <c r="C465" s="440"/>
      <c r="D465" s="440"/>
      <c r="E465" s="440"/>
      <c r="F465" s="440"/>
      <c r="G465" s="440"/>
      <c r="H465" s="440"/>
      <c r="I465" s="431"/>
      <c r="J465" s="431"/>
      <c r="K465" s="431"/>
      <c r="L465" s="431"/>
      <c r="M465" s="431"/>
      <c r="N465" s="431"/>
      <c r="O465" s="431"/>
      <c r="P465" s="440"/>
      <c r="Q465" s="440"/>
      <c r="R465" s="440"/>
      <c r="S465" s="440"/>
      <c r="T465" s="440"/>
      <c r="U465" s="440"/>
    </row>
    <row r="466" spans="2:21">
      <c r="B466" s="431"/>
      <c r="C466" s="440"/>
      <c r="D466" s="440"/>
      <c r="E466" s="440"/>
      <c r="F466" s="440"/>
      <c r="G466" s="440"/>
      <c r="H466" s="440"/>
      <c r="I466" s="431"/>
      <c r="J466" s="431"/>
      <c r="K466" s="431"/>
      <c r="L466" s="431"/>
      <c r="M466" s="431"/>
      <c r="N466" s="431"/>
      <c r="O466" s="431"/>
      <c r="P466" s="440"/>
      <c r="Q466" s="440"/>
      <c r="R466" s="440"/>
      <c r="S466" s="440"/>
      <c r="T466" s="440"/>
      <c r="U466" s="440"/>
    </row>
    <row r="467" spans="2:21">
      <c r="B467" s="431"/>
      <c r="C467" s="440"/>
      <c r="D467" s="440"/>
      <c r="E467" s="440"/>
      <c r="F467" s="440"/>
      <c r="G467" s="440"/>
      <c r="H467" s="440"/>
      <c r="I467" s="431"/>
      <c r="J467" s="431"/>
      <c r="K467" s="431"/>
      <c r="L467" s="431"/>
      <c r="M467" s="431"/>
      <c r="N467" s="431"/>
      <c r="O467" s="431"/>
      <c r="P467" s="440"/>
      <c r="Q467" s="440"/>
      <c r="R467" s="440"/>
      <c r="S467" s="440"/>
      <c r="T467" s="440"/>
      <c r="U467" s="440"/>
    </row>
    <row r="468" spans="2:21">
      <c r="B468" s="431"/>
      <c r="C468" s="440"/>
      <c r="D468" s="440"/>
      <c r="E468" s="440"/>
      <c r="F468" s="440"/>
      <c r="G468" s="440"/>
      <c r="H468" s="440"/>
      <c r="I468" s="431"/>
      <c r="J468" s="431"/>
      <c r="K468" s="431"/>
      <c r="L468" s="431"/>
      <c r="M468" s="431"/>
      <c r="N468" s="431"/>
      <c r="O468" s="431"/>
      <c r="P468" s="440"/>
      <c r="Q468" s="440"/>
      <c r="R468" s="440"/>
      <c r="S468" s="440"/>
      <c r="T468" s="440"/>
      <c r="U468" s="440"/>
    </row>
    <row r="469" spans="2:21">
      <c r="B469" s="431"/>
      <c r="C469" s="440"/>
      <c r="D469" s="440"/>
      <c r="E469" s="440"/>
      <c r="F469" s="440"/>
      <c r="G469" s="440"/>
      <c r="H469" s="440"/>
      <c r="I469" s="431"/>
      <c r="J469" s="431"/>
      <c r="K469" s="431"/>
      <c r="L469" s="431"/>
      <c r="M469" s="431"/>
      <c r="N469" s="431"/>
      <c r="O469" s="431"/>
      <c r="P469" s="440"/>
      <c r="Q469" s="440"/>
      <c r="R469" s="440"/>
      <c r="S469" s="440"/>
      <c r="T469" s="440"/>
      <c r="U469" s="440"/>
    </row>
    <row r="470" spans="2:21">
      <c r="B470" s="431"/>
      <c r="C470" s="440"/>
      <c r="D470" s="440"/>
      <c r="E470" s="440"/>
      <c r="F470" s="440"/>
      <c r="G470" s="440"/>
      <c r="H470" s="440"/>
      <c r="I470" s="431"/>
      <c r="J470" s="431"/>
      <c r="K470" s="431"/>
      <c r="L470" s="431"/>
      <c r="M470" s="431"/>
      <c r="N470" s="431"/>
      <c r="O470" s="431"/>
      <c r="P470" s="440"/>
      <c r="Q470" s="440"/>
      <c r="R470" s="440"/>
      <c r="S470" s="440"/>
      <c r="T470" s="440"/>
      <c r="U470" s="440"/>
    </row>
    <row r="471" spans="2:21">
      <c r="B471" s="431"/>
      <c r="C471" s="440"/>
      <c r="D471" s="440"/>
      <c r="E471" s="440"/>
      <c r="F471" s="440"/>
      <c r="G471" s="440"/>
      <c r="H471" s="440"/>
      <c r="I471" s="431"/>
      <c r="J471" s="431"/>
      <c r="K471" s="431"/>
      <c r="L471" s="431"/>
      <c r="M471" s="431"/>
      <c r="N471" s="431"/>
      <c r="O471" s="431"/>
      <c r="P471" s="440"/>
      <c r="Q471" s="440"/>
      <c r="R471" s="440"/>
      <c r="S471" s="440"/>
      <c r="T471" s="440"/>
      <c r="U471" s="440"/>
    </row>
    <row r="472" spans="2:21">
      <c r="B472" s="431"/>
      <c r="C472" s="440"/>
      <c r="D472" s="440"/>
      <c r="E472" s="440"/>
      <c r="F472" s="440"/>
      <c r="G472" s="440"/>
      <c r="H472" s="440"/>
      <c r="I472" s="431"/>
      <c r="J472" s="431"/>
      <c r="K472" s="431"/>
      <c r="L472" s="431"/>
      <c r="M472" s="431"/>
      <c r="N472" s="431"/>
      <c r="O472" s="431"/>
      <c r="P472" s="440"/>
      <c r="Q472" s="440"/>
      <c r="R472" s="440"/>
      <c r="S472" s="440"/>
      <c r="T472" s="440"/>
      <c r="U472" s="440"/>
    </row>
    <row r="473" spans="2:21">
      <c r="B473" s="431"/>
      <c r="C473" s="440"/>
      <c r="D473" s="440"/>
      <c r="E473" s="440"/>
      <c r="F473" s="440"/>
      <c r="G473" s="440"/>
      <c r="H473" s="440"/>
      <c r="I473" s="431"/>
      <c r="J473" s="431"/>
      <c r="K473" s="431"/>
      <c r="L473" s="431"/>
      <c r="M473" s="431"/>
      <c r="N473" s="431"/>
      <c r="O473" s="431"/>
      <c r="P473" s="440"/>
      <c r="Q473" s="440"/>
      <c r="R473" s="440"/>
      <c r="S473" s="440"/>
      <c r="T473" s="440"/>
      <c r="U473" s="440"/>
    </row>
    <row r="474" spans="2:21">
      <c r="B474" s="431"/>
      <c r="C474" s="440"/>
      <c r="D474" s="440"/>
      <c r="E474" s="440"/>
      <c r="F474" s="440"/>
      <c r="G474" s="440"/>
      <c r="H474" s="440"/>
      <c r="I474" s="431"/>
      <c r="J474" s="431"/>
      <c r="K474" s="431"/>
      <c r="L474" s="431"/>
      <c r="M474" s="431"/>
      <c r="N474" s="431"/>
      <c r="O474" s="431"/>
      <c r="P474" s="440"/>
      <c r="Q474" s="440"/>
      <c r="R474" s="440"/>
      <c r="S474" s="440"/>
      <c r="T474" s="440"/>
      <c r="U474" s="440"/>
    </row>
    <row r="475" spans="2:21">
      <c r="B475" s="431"/>
      <c r="C475" s="440"/>
      <c r="D475" s="440"/>
      <c r="E475" s="440"/>
      <c r="F475" s="440"/>
      <c r="G475" s="440"/>
      <c r="H475" s="440"/>
      <c r="I475" s="431"/>
      <c r="J475" s="431"/>
      <c r="K475" s="431"/>
      <c r="L475" s="431"/>
      <c r="M475" s="431"/>
      <c r="N475" s="431"/>
      <c r="O475" s="431"/>
      <c r="P475" s="440"/>
      <c r="Q475" s="440"/>
      <c r="R475" s="440"/>
      <c r="S475" s="440"/>
      <c r="T475" s="440"/>
      <c r="U475" s="440"/>
    </row>
    <row r="476" spans="2:21">
      <c r="B476" s="431"/>
      <c r="C476" s="440"/>
      <c r="D476" s="440"/>
      <c r="E476" s="440"/>
      <c r="F476" s="440"/>
      <c r="G476" s="440"/>
      <c r="H476" s="440"/>
      <c r="I476" s="431"/>
      <c r="J476" s="431"/>
      <c r="K476" s="431"/>
      <c r="L476" s="431"/>
      <c r="M476" s="431"/>
      <c r="N476" s="431"/>
      <c r="O476" s="431"/>
      <c r="P476" s="440"/>
      <c r="Q476" s="440"/>
      <c r="R476" s="440"/>
      <c r="S476" s="440"/>
      <c r="T476" s="440"/>
      <c r="U476" s="440"/>
    </row>
    <row r="477" spans="2:21">
      <c r="B477" s="431"/>
      <c r="C477" s="440"/>
      <c r="D477" s="440"/>
      <c r="E477" s="440"/>
      <c r="F477" s="440"/>
      <c r="G477" s="440"/>
      <c r="H477" s="440"/>
      <c r="I477" s="431"/>
      <c r="J477" s="431"/>
      <c r="K477" s="431"/>
      <c r="L477" s="431"/>
      <c r="M477" s="431"/>
      <c r="N477" s="431"/>
      <c r="O477" s="431"/>
      <c r="P477" s="440"/>
      <c r="Q477" s="440"/>
      <c r="R477" s="440"/>
      <c r="S477" s="440"/>
      <c r="T477" s="440"/>
      <c r="U477" s="440"/>
    </row>
    <row r="478" spans="2:21">
      <c r="B478" s="431"/>
      <c r="C478" s="440"/>
      <c r="D478" s="440"/>
      <c r="E478" s="440"/>
      <c r="F478" s="440"/>
      <c r="G478" s="440"/>
      <c r="H478" s="440"/>
      <c r="I478" s="431"/>
      <c r="J478" s="431"/>
      <c r="K478" s="431"/>
      <c r="L478" s="431"/>
      <c r="M478" s="431"/>
      <c r="N478" s="431"/>
      <c r="O478" s="431"/>
      <c r="P478" s="440"/>
      <c r="Q478" s="440"/>
      <c r="R478" s="440"/>
      <c r="S478" s="440"/>
      <c r="T478" s="440"/>
      <c r="U478" s="440"/>
    </row>
    <row r="479" spans="2:21">
      <c r="B479" s="431"/>
      <c r="C479" s="440"/>
      <c r="D479" s="440"/>
      <c r="E479" s="440"/>
      <c r="F479" s="440"/>
      <c r="G479" s="440"/>
      <c r="H479" s="440"/>
      <c r="I479" s="431"/>
      <c r="J479" s="431"/>
      <c r="K479" s="431"/>
      <c r="L479" s="431"/>
      <c r="M479" s="431"/>
      <c r="N479" s="431"/>
      <c r="O479" s="431"/>
      <c r="P479" s="440"/>
      <c r="Q479" s="440"/>
      <c r="R479" s="440"/>
      <c r="S479" s="440"/>
      <c r="T479" s="440"/>
      <c r="U479" s="440"/>
    </row>
    <row r="480" spans="2:21">
      <c r="B480" s="431"/>
      <c r="C480" s="440"/>
      <c r="D480" s="440"/>
      <c r="E480" s="440"/>
      <c r="F480" s="440"/>
      <c r="G480" s="440"/>
      <c r="H480" s="440"/>
      <c r="I480" s="431"/>
      <c r="J480" s="431"/>
      <c r="K480" s="431"/>
      <c r="L480" s="431"/>
      <c r="M480" s="431"/>
      <c r="N480" s="431"/>
      <c r="O480" s="431"/>
      <c r="P480" s="440"/>
      <c r="Q480" s="440"/>
      <c r="R480" s="440"/>
      <c r="S480" s="440"/>
      <c r="T480" s="440"/>
      <c r="U480" s="440"/>
    </row>
    <row r="481" spans="2:21">
      <c r="B481" s="431"/>
      <c r="C481" s="440"/>
      <c r="D481" s="440"/>
      <c r="E481" s="440"/>
      <c r="F481" s="440"/>
      <c r="G481" s="440"/>
      <c r="H481" s="440"/>
      <c r="I481" s="431"/>
      <c r="J481" s="431"/>
      <c r="K481" s="431"/>
      <c r="L481" s="431"/>
      <c r="M481" s="431"/>
      <c r="N481" s="431"/>
      <c r="O481" s="431"/>
      <c r="P481" s="440"/>
      <c r="Q481" s="440"/>
      <c r="R481" s="440"/>
      <c r="S481" s="440"/>
      <c r="T481" s="440"/>
      <c r="U481" s="440"/>
    </row>
    <row r="482" spans="2:21">
      <c r="B482" s="431"/>
      <c r="C482" s="440"/>
      <c r="D482" s="440"/>
      <c r="E482" s="440"/>
      <c r="F482" s="440"/>
      <c r="G482" s="440"/>
      <c r="H482" s="440"/>
      <c r="I482" s="431"/>
      <c r="J482" s="431"/>
      <c r="K482" s="431"/>
      <c r="L482" s="431"/>
      <c r="M482" s="431"/>
      <c r="N482" s="431"/>
      <c r="O482" s="431"/>
      <c r="P482" s="440"/>
      <c r="Q482" s="440"/>
      <c r="R482" s="440"/>
      <c r="S482" s="440"/>
      <c r="T482" s="440"/>
      <c r="U482" s="440"/>
    </row>
    <row r="483" spans="2:21">
      <c r="B483" s="431"/>
      <c r="C483" s="440"/>
      <c r="D483" s="440"/>
      <c r="E483" s="440"/>
      <c r="F483" s="440"/>
      <c r="G483" s="440"/>
      <c r="H483" s="440"/>
      <c r="I483" s="431"/>
      <c r="J483" s="431"/>
      <c r="K483" s="431"/>
      <c r="L483" s="431"/>
      <c r="M483" s="431"/>
      <c r="N483" s="431"/>
      <c r="O483" s="431"/>
      <c r="P483" s="440"/>
      <c r="Q483" s="440"/>
      <c r="R483" s="440"/>
      <c r="S483" s="440"/>
      <c r="T483" s="440"/>
      <c r="U483" s="440"/>
    </row>
    <row r="484" spans="2:21">
      <c r="B484" s="431"/>
      <c r="C484" s="440"/>
      <c r="D484" s="440"/>
      <c r="E484" s="440"/>
      <c r="F484" s="440"/>
      <c r="G484" s="440"/>
      <c r="H484" s="440"/>
      <c r="I484" s="431"/>
      <c r="J484" s="431"/>
      <c r="K484" s="431"/>
      <c r="L484" s="431"/>
      <c r="M484" s="431"/>
      <c r="N484" s="431"/>
      <c r="O484" s="431"/>
      <c r="P484" s="440"/>
      <c r="Q484" s="440"/>
      <c r="R484" s="440"/>
      <c r="S484" s="440"/>
      <c r="T484" s="440"/>
      <c r="U484" s="440"/>
    </row>
    <row r="485" spans="2:21">
      <c r="B485" s="431"/>
      <c r="C485" s="440"/>
      <c r="D485" s="440"/>
      <c r="E485" s="440"/>
      <c r="F485" s="440"/>
      <c r="G485" s="440"/>
      <c r="H485" s="440"/>
      <c r="I485" s="431"/>
      <c r="J485" s="431"/>
      <c r="K485" s="431"/>
      <c r="L485" s="431"/>
      <c r="M485" s="431"/>
      <c r="N485" s="431"/>
      <c r="O485" s="431"/>
      <c r="P485" s="440"/>
      <c r="Q485" s="440"/>
      <c r="R485" s="440"/>
      <c r="S485" s="440"/>
      <c r="T485" s="440"/>
      <c r="U485" s="440"/>
    </row>
    <row r="486" spans="2:21">
      <c r="B486" s="431"/>
      <c r="C486" s="440"/>
      <c r="D486" s="440"/>
      <c r="E486" s="440"/>
      <c r="F486" s="440"/>
      <c r="G486" s="440"/>
      <c r="H486" s="440"/>
      <c r="I486" s="431"/>
      <c r="J486" s="431"/>
      <c r="K486" s="431"/>
      <c r="L486" s="431"/>
      <c r="M486" s="431"/>
      <c r="N486" s="431"/>
      <c r="O486" s="431"/>
      <c r="P486" s="440"/>
      <c r="Q486" s="440"/>
      <c r="R486" s="440"/>
      <c r="S486" s="440"/>
      <c r="T486" s="440"/>
      <c r="U486" s="440"/>
    </row>
    <row r="487" spans="2:21">
      <c r="B487" s="431"/>
      <c r="C487" s="440"/>
      <c r="D487" s="440"/>
      <c r="E487" s="440"/>
      <c r="F487" s="440"/>
      <c r="G487" s="440"/>
      <c r="H487" s="440"/>
      <c r="I487" s="431"/>
      <c r="J487" s="431"/>
      <c r="K487" s="431"/>
      <c r="L487" s="431"/>
      <c r="M487" s="431"/>
      <c r="N487" s="431"/>
      <c r="O487" s="431"/>
      <c r="P487" s="440"/>
      <c r="Q487" s="440"/>
      <c r="R487" s="440"/>
      <c r="S487" s="440"/>
      <c r="T487" s="440"/>
      <c r="U487" s="440"/>
    </row>
    <row r="488" spans="2:21">
      <c r="B488" s="431"/>
      <c r="C488" s="440"/>
      <c r="D488" s="440"/>
      <c r="E488" s="440"/>
      <c r="F488" s="440"/>
      <c r="G488" s="440"/>
      <c r="H488" s="440"/>
      <c r="I488" s="431"/>
      <c r="J488" s="431"/>
      <c r="K488" s="431"/>
      <c r="L488" s="431"/>
      <c r="M488" s="431"/>
      <c r="N488" s="431"/>
      <c r="O488" s="431"/>
      <c r="P488" s="440"/>
      <c r="Q488" s="440"/>
      <c r="R488" s="440"/>
      <c r="S488" s="440"/>
      <c r="T488" s="440"/>
      <c r="U488" s="440"/>
    </row>
    <row r="489" spans="2:21">
      <c r="B489" s="431"/>
      <c r="C489" s="440"/>
      <c r="D489" s="440"/>
      <c r="E489" s="440"/>
      <c r="F489" s="440"/>
      <c r="G489" s="440"/>
      <c r="H489" s="440"/>
      <c r="I489" s="431"/>
      <c r="J489" s="431"/>
      <c r="K489" s="431"/>
      <c r="L489" s="431"/>
      <c r="M489" s="431"/>
      <c r="N489" s="431"/>
      <c r="O489" s="431"/>
      <c r="P489" s="440"/>
      <c r="Q489" s="440"/>
      <c r="R489" s="440"/>
      <c r="S489" s="440"/>
      <c r="T489" s="440"/>
      <c r="U489" s="440"/>
    </row>
    <row r="490" spans="2:21">
      <c r="B490" s="431"/>
      <c r="C490" s="440"/>
      <c r="D490" s="440"/>
      <c r="E490" s="440"/>
      <c r="F490" s="440"/>
      <c r="G490" s="440"/>
      <c r="H490" s="440"/>
      <c r="I490" s="431"/>
      <c r="J490" s="431"/>
      <c r="K490" s="431"/>
      <c r="L490" s="431"/>
      <c r="M490" s="431"/>
      <c r="N490" s="431"/>
      <c r="O490" s="431"/>
      <c r="P490" s="440"/>
      <c r="Q490" s="440"/>
      <c r="R490" s="440"/>
      <c r="S490" s="440"/>
      <c r="T490" s="440"/>
      <c r="U490" s="440"/>
    </row>
    <row r="491" spans="2:21">
      <c r="B491" s="431"/>
      <c r="C491" s="440"/>
      <c r="D491" s="440"/>
      <c r="E491" s="440"/>
      <c r="F491" s="440"/>
      <c r="G491" s="440"/>
      <c r="H491" s="440"/>
      <c r="I491" s="431"/>
      <c r="J491" s="431"/>
      <c r="K491" s="431"/>
      <c r="L491" s="431"/>
      <c r="M491" s="431"/>
      <c r="N491" s="431"/>
      <c r="O491" s="431"/>
      <c r="P491" s="440"/>
      <c r="Q491" s="440"/>
      <c r="R491" s="440"/>
      <c r="S491" s="440"/>
      <c r="T491" s="440"/>
      <c r="U491" s="440"/>
    </row>
    <row r="492" spans="2:21">
      <c r="B492" s="431"/>
      <c r="C492" s="440"/>
      <c r="D492" s="440"/>
      <c r="E492" s="440"/>
      <c r="F492" s="440"/>
      <c r="G492" s="440"/>
      <c r="H492" s="440"/>
      <c r="I492" s="431"/>
      <c r="J492" s="431"/>
      <c r="K492" s="431"/>
      <c r="L492" s="431"/>
      <c r="M492" s="431"/>
      <c r="N492" s="431"/>
      <c r="O492" s="431"/>
      <c r="P492" s="440"/>
      <c r="Q492" s="440"/>
      <c r="R492" s="440"/>
      <c r="S492" s="440"/>
      <c r="T492" s="440"/>
      <c r="U492" s="440"/>
    </row>
    <row r="493" spans="2:21">
      <c r="B493" s="431"/>
      <c r="C493" s="440"/>
      <c r="D493" s="440"/>
      <c r="E493" s="440"/>
      <c r="F493" s="440"/>
      <c r="G493" s="440"/>
      <c r="H493" s="440"/>
      <c r="I493" s="431"/>
      <c r="J493" s="431"/>
      <c r="K493" s="431"/>
      <c r="L493" s="431"/>
      <c r="M493" s="431"/>
      <c r="N493" s="431"/>
      <c r="O493" s="431"/>
      <c r="P493" s="440"/>
      <c r="Q493" s="440"/>
      <c r="R493" s="440"/>
      <c r="S493" s="440"/>
      <c r="T493" s="440"/>
      <c r="U493" s="440"/>
    </row>
    <row r="494" spans="2:21">
      <c r="B494" s="431"/>
      <c r="C494" s="440"/>
      <c r="D494" s="440"/>
      <c r="E494" s="440"/>
      <c r="F494" s="440"/>
      <c r="G494" s="440"/>
      <c r="H494" s="440"/>
      <c r="I494" s="431"/>
      <c r="J494" s="431"/>
      <c r="K494" s="431"/>
      <c r="L494" s="431"/>
      <c r="M494" s="431"/>
      <c r="N494" s="431"/>
      <c r="O494" s="431"/>
      <c r="P494" s="440"/>
      <c r="Q494" s="440"/>
      <c r="R494" s="440"/>
      <c r="S494" s="440"/>
      <c r="T494" s="440"/>
      <c r="U494" s="440"/>
    </row>
    <row r="495" spans="2:21">
      <c r="B495" s="431"/>
      <c r="C495" s="440"/>
      <c r="D495" s="440"/>
      <c r="E495" s="440"/>
      <c r="F495" s="440"/>
      <c r="G495" s="440"/>
      <c r="H495" s="440"/>
      <c r="I495" s="431"/>
      <c r="J495" s="431"/>
      <c r="K495" s="431"/>
      <c r="L495" s="431"/>
      <c r="M495" s="431"/>
      <c r="N495" s="431"/>
      <c r="O495" s="431"/>
      <c r="P495" s="440"/>
      <c r="Q495" s="440"/>
      <c r="R495" s="440"/>
      <c r="S495" s="440"/>
      <c r="T495" s="440"/>
      <c r="U495" s="440"/>
    </row>
    <row r="496" spans="2:21">
      <c r="B496" s="431"/>
      <c r="C496" s="440"/>
      <c r="D496" s="440"/>
      <c r="E496" s="440"/>
      <c r="F496" s="440"/>
      <c r="G496" s="440"/>
      <c r="H496" s="440"/>
      <c r="I496" s="431"/>
      <c r="J496" s="431"/>
      <c r="K496" s="431"/>
      <c r="L496" s="431"/>
      <c r="M496" s="431"/>
      <c r="N496" s="431"/>
      <c r="O496" s="431"/>
      <c r="P496" s="440"/>
      <c r="Q496" s="440"/>
      <c r="R496" s="440"/>
      <c r="S496" s="440"/>
      <c r="T496" s="440"/>
      <c r="U496" s="440"/>
    </row>
    <row r="497" spans="2:21">
      <c r="B497" s="431"/>
      <c r="C497" s="440"/>
      <c r="D497" s="440"/>
      <c r="E497" s="440"/>
      <c r="F497" s="440"/>
      <c r="G497" s="440"/>
      <c r="H497" s="440"/>
      <c r="I497" s="431"/>
      <c r="J497" s="431"/>
      <c r="K497" s="431"/>
      <c r="L497" s="431"/>
      <c r="M497" s="431"/>
      <c r="N497" s="431"/>
      <c r="O497" s="431"/>
      <c r="P497" s="440"/>
      <c r="Q497" s="440"/>
      <c r="R497" s="440"/>
      <c r="S497" s="440"/>
      <c r="T497" s="440"/>
      <c r="U497" s="440"/>
    </row>
    <row r="498" spans="2:21">
      <c r="B498" s="431"/>
      <c r="C498" s="440"/>
      <c r="D498" s="440"/>
      <c r="E498" s="440"/>
      <c r="F498" s="440"/>
      <c r="G498" s="440"/>
      <c r="H498" s="440"/>
      <c r="I498" s="431"/>
      <c r="J498" s="431"/>
      <c r="K498" s="431"/>
      <c r="L498" s="431"/>
      <c r="M498" s="431"/>
      <c r="N498" s="431"/>
      <c r="O498" s="431"/>
      <c r="P498" s="440"/>
      <c r="Q498" s="440"/>
      <c r="R498" s="440"/>
      <c r="S498" s="440"/>
      <c r="T498" s="440"/>
      <c r="U498" s="440"/>
    </row>
    <row r="499" spans="2:21">
      <c r="B499" s="431"/>
      <c r="C499" s="440"/>
      <c r="D499" s="440"/>
      <c r="E499" s="440"/>
      <c r="F499" s="440"/>
      <c r="G499" s="440"/>
      <c r="H499" s="440"/>
      <c r="I499" s="431"/>
      <c r="J499" s="431"/>
      <c r="K499" s="431"/>
      <c r="L499" s="431"/>
      <c r="M499" s="431"/>
      <c r="N499" s="431"/>
      <c r="O499" s="431"/>
      <c r="P499" s="440"/>
      <c r="Q499" s="440"/>
      <c r="R499" s="440"/>
      <c r="S499" s="440"/>
      <c r="T499" s="440"/>
      <c r="U499" s="440"/>
    </row>
    <row r="500" spans="2:21">
      <c r="B500" s="431"/>
      <c r="C500" s="440"/>
      <c r="D500" s="440"/>
      <c r="E500" s="440"/>
      <c r="F500" s="440"/>
      <c r="G500" s="440"/>
      <c r="H500" s="440"/>
      <c r="I500" s="431"/>
      <c r="J500" s="431"/>
      <c r="K500" s="431"/>
      <c r="L500" s="431"/>
      <c r="M500" s="431"/>
      <c r="N500" s="431"/>
      <c r="O500" s="431"/>
      <c r="P500" s="440"/>
      <c r="Q500" s="440"/>
      <c r="R500" s="440"/>
      <c r="S500" s="440"/>
      <c r="T500" s="440"/>
      <c r="U500" s="440"/>
    </row>
    <row r="501" spans="2:21">
      <c r="B501" s="431"/>
      <c r="C501" s="440"/>
      <c r="D501" s="440"/>
      <c r="E501" s="440"/>
      <c r="F501" s="440"/>
      <c r="G501" s="440"/>
      <c r="H501" s="440"/>
      <c r="I501" s="431"/>
      <c r="J501" s="431"/>
      <c r="K501" s="431"/>
      <c r="L501" s="431"/>
      <c r="M501" s="431"/>
      <c r="N501" s="431"/>
      <c r="O501" s="431"/>
      <c r="P501" s="440"/>
      <c r="Q501" s="440"/>
      <c r="R501" s="440"/>
      <c r="S501" s="440"/>
      <c r="T501" s="440"/>
      <c r="U501" s="440"/>
    </row>
    <row r="502" spans="2:21">
      <c r="B502" s="431"/>
      <c r="C502" s="440"/>
      <c r="D502" s="440"/>
      <c r="E502" s="440"/>
      <c r="F502" s="440"/>
      <c r="G502" s="440"/>
      <c r="H502" s="440"/>
      <c r="I502" s="431"/>
      <c r="J502" s="431"/>
      <c r="K502" s="431"/>
      <c r="L502" s="431"/>
      <c r="M502" s="431"/>
      <c r="N502" s="431"/>
      <c r="O502" s="431"/>
      <c r="P502" s="440"/>
      <c r="Q502" s="440"/>
      <c r="R502" s="440"/>
      <c r="S502" s="440"/>
      <c r="T502" s="440"/>
      <c r="U502" s="440"/>
    </row>
    <row r="503" spans="2:21">
      <c r="B503" s="431"/>
      <c r="C503" s="440"/>
      <c r="D503" s="440"/>
      <c r="E503" s="440"/>
      <c r="F503" s="440"/>
      <c r="G503" s="440"/>
      <c r="H503" s="440"/>
      <c r="I503" s="431"/>
      <c r="J503" s="431"/>
      <c r="K503" s="431"/>
      <c r="L503" s="431"/>
      <c r="M503" s="431"/>
      <c r="N503" s="431"/>
      <c r="O503" s="431"/>
      <c r="P503" s="440"/>
      <c r="Q503" s="440"/>
      <c r="R503" s="440"/>
      <c r="S503" s="440"/>
      <c r="T503" s="440"/>
      <c r="U503" s="440"/>
    </row>
    <row r="504" spans="2:21">
      <c r="B504" s="431"/>
      <c r="C504" s="440"/>
      <c r="D504" s="440"/>
      <c r="E504" s="440"/>
      <c r="F504" s="440"/>
      <c r="G504" s="440"/>
      <c r="H504" s="440"/>
      <c r="I504" s="431"/>
      <c r="J504" s="431"/>
      <c r="K504" s="431"/>
      <c r="L504" s="431"/>
      <c r="M504" s="431"/>
      <c r="N504" s="431"/>
      <c r="O504" s="431"/>
      <c r="P504" s="440"/>
      <c r="Q504" s="440"/>
      <c r="R504" s="440"/>
      <c r="S504" s="440"/>
      <c r="T504" s="440"/>
      <c r="U504" s="440"/>
    </row>
    <row r="505" spans="2:21">
      <c r="B505" s="431"/>
      <c r="C505" s="440"/>
      <c r="D505" s="440"/>
      <c r="E505" s="440"/>
      <c r="F505" s="440"/>
      <c r="G505" s="440"/>
      <c r="H505" s="440"/>
      <c r="I505" s="431"/>
      <c r="J505" s="431"/>
      <c r="K505" s="431"/>
      <c r="L505" s="431"/>
      <c r="M505" s="431"/>
      <c r="N505" s="431"/>
      <c r="O505" s="431"/>
      <c r="P505" s="440"/>
      <c r="Q505" s="440"/>
      <c r="R505" s="440"/>
      <c r="S505" s="440"/>
      <c r="T505" s="440"/>
      <c r="U505" s="440"/>
    </row>
    <row r="506" spans="2:21">
      <c r="B506" s="431"/>
      <c r="C506" s="440"/>
      <c r="D506" s="440"/>
      <c r="E506" s="440"/>
      <c r="F506" s="440"/>
      <c r="G506" s="440"/>
      <c r="H506" s="440"/>
      <c r="I506" s="431"/>
      <c r="J506" s="431"/>
      <c r="K506" s="431"/>
      <c r="L506" s="431"/>
      <c r="M506" s="431"/>
      <c r="N506" s="431"/>
      <c r="O506" s="431"/>
      <c r="P506" s="440"/>
      <c r="Q506" s="440"/>
      <c r="R506" s="440"/>
      <c r="S506" s="440"/>
      <c r="T506" s="440"/>
      <c r="U506" s="440"/>
    </row>
    <row r="507" spans="2:21">
      <c r="B507" s="431"/>
      <c r="C507" s="440"/>
      <c r="D507" s="440"/>
      <c r="E507" s="440"/>
      <c r="F507" s="440"/>
      <c r="G507" s="440"/>
      <c r="H507" s="440"/>
      <c r="I507" s="431"/>
      <c r="J507" s="431"/>
      <c r="K507" s="431"/>
      <c r="L507" s="431"/>
      <c r="M507" s="431"/>
      <c r="N507" s="431"/>
      <c r="O507" s="431"/>
      <c r="P507" s="440"/>
      <c r="Q507" s="440"/>
      <c r="R507" s="440"/>
      <c r="S507" s="440"/>
      <c r="T507" s="440"/>
      <c r="U507" s="440"/>
    </row>
    <row r="508" spans="2:21">
      <c r="B508" s="431"/>
      <c r="C508" s="440"/>
      <c r="D508" s="440"/>
      <c r="E508" s="440"/>
      <c r="F508" s="440"/>
      <c r="G508" s="440"/>
      <c r="H508" s="440"/>
      <c r="I508" s="431"/>
      <c r="J508" s="431"/>
      <c r="K508" s="431"/>
      <c r="L508" s="431"/>
      <c r="M508" s="431"/>
      <c r="N508" s="431"/>
      <c r="O508" s="431"/>
      <c r="P508" s="440"/>
      <c r="Q508" s="440"/>
      <c r="R508" s="440"/>
      <c r="S508" s="440"/>
      <c r="T508" s="440"/>
      <c r="U508" s="440"/>
    </row>
    <row r="509" spans="2:21">
      <c r="B509" s="431"/>
      <c r="C509" s="440"/>
      <c r="D509" s="440"/>
      <c r="E509" s="440"/>
      <c r="F509" s="440"/>
      <c r="G509" s="440"/>
      <c r="H509" s="440"/>
      <c r="I509" s="431"/>
      <c r="J509" s="431"/>
      <c r="K509" s="431"/>
      <c r="L509" s="431"/>
      <c r="M509" s="431"/>
      <c r="N509" s="431"/>
      <c r="O509" s="431"/>
      <c r="P509" s="440"/>
      <c r="Q509" s="440"/>
      <c r="R509" s="440"/>
      <c r="S509" s="440"/>
      <c r="T509" s="440"/>
      <c r="U509" s="440"/>
    </row>
    <row r="510" spans="2:21">
      <c r="B510" s="431"/>
      <c r="C510" s="440"/>
      <c r="D510" s="440"/>
      <c r="E510" s="440"/>
      <c r="F510" s="440"/>
      <c r="G510" s="440"/>
      <c r="H510" s="440"/>
      <c r="I510" s="431"/>
      <c r="J510" s="431"/>
      <c r="K510" s="431"/>
      <c r="L510" s="431"/>
      <c r="M510" s="431"/>
      <c r="N510" s="431"/>
      <c r="O510" s="431"/>
      <c r="P510" s="440"/>
      <c r="Q510" s="440"/>
      <c r="R510" s="440"/>
      <c r="S510" s="440"/>
      <c r="T510" s="440"/>
      <c r="U510" s="440"/>
    </row>
    <row r="511" spans="2:21">
      <c r="B511" s="431"/>
      <c r="C511" s="440"/>
      <c r="D511" s="440"/>
      <c r="E511" s="440"/>
      <c r="F511" s="440"/>
      <c r="G511" s="440"/>
      <c r="H511" s="440"/>
      <c r="I511" s="431"/>
      <c r="J511" s="431"/>
      <c r="K511" s="431"/>
      <c r="L511" s="431"/>
      <c r="M511" s="431"/>
      <c r="N511" s="431"/>
      <c r="O511" s="431"/>
      <c r="P511" s="440"/>
      <c r="Q511" s="440"/>
      <c r="R511" s="440"/>
      <c r="S511" s="440"/>
      <c r="T511" s="440"/>
      <c r="U511" s="440"/>
    </row>
    <row r="512" spans="2:21">
      <c r="B512" s="431"/>
      <c r="C512" s="440"/>
      <c r="D512" s="440"/>
      <c r="E512" s="440"/>
      <c r="F512" s="440"/>
      <c r="G512" s="440"/>
      <c r="H512" s="440"/>
      <c r="I512" s="431"/>
      <c r="J512" s="431"/>
      <c r="K512" s="431"/>
      <c r="L512" s="431"/>
      <c r="M512" s="431"/>
      <c r="N512" s="431"/>
      <c r="O512" s="431"/>
      <c r="P512" s="440"/>
      <c r="Q512" s="440"/>
      <c r="R512" s="440"/>
      <c r="S512" s="440"/>
      <c r="T512" s="440"/>
      <c r="U512" s="440"/>
    </row>
    <row r="513" spans="2:21">
      <c r="B513" s="431"/>
      <c r="C513" s="440"/>
      <c r="D513" s="440"/>
      <c r="E513" s="440"/>
      <c r="F513" s="440"/>
      <c r="G513" s="440"/>
      <c r="H513" s="440"/>
      <c r="I513" s="431"/>
      <c r="J513" s="431"/>
      <c r="K513" s="431"/>
      <c r="L513" s="431"/>
      <c r="M513" s="431"/>
      <c r="N513" s="431"/>
      <c r="O513" s="431"/>
      <c r="P513" s="440"/>
      <c r="Q513" s="440"/>
      <c r="R513" s="440"/>
      <c r="S513" s="440"/>
      <c r="T513" s="440"/>
      <c r="U513" s="440"/>
    </row>
    <row r="514" spans="2:21">
      <c r="B514" s="431"/>
      <c r="C514" s="440"/>
      <c r="D514" s="440"/>
      <c r="E514" s="440"/>
      <c r="F514" s="440"/>
      <c r="G514" s="440"/>
      <c r="H514" s="440"/>
      <c r="I514" s="431"/>
      <c r="J514" s="431"/>
      <c r="K514" s="431"/>
      <c r="L514" s="431"/>
      <c r="M514" s="431"/>
      <c r="N514" s="431"/>
      <c r="O514" s="431"/>
      <c r="P514" s="440"/>
      <c r="Q514" s="440"/>
      <c r="R514" s="440"/>
      <c r="S514" s="440"/>
      <c r="T514" s="440"/>
      <c r="U514" s="440"/>
    </row>
    <row r="515" spans="2:21">
      <c r="B515" s="431"/>
      <c r="C515" s="440"/>
      <c r="D515" s="440"/>
      <c r="E515" s="440"/>
      <c r="F515" s="440"/>
      <c r="G515" s="440"/>
      <c r="H515" s="440"/>
      <c r="I515" s="431"/>
      <c r="J515" s="431"/>
      <c r="K515" s="431"/>
      <c r="L515" s="431"/>
      <c r="M515" s="431"/>
      <c r="N515" s="431"/>
      <c r="O515" s="431"/>
      <c r="P515" s="440"/>
      <c r="Q515" s="440"/>
      <c r="R515" s="440"/>
      <c r="S515" s="440"/>
      <c r="T515" s="440"/>
      <c r="U515" s="440"/>
    </row>
    <row r="516" spans="2:21">
      <c r="B516" s="431"/>
      <c r="C516" s="440"/>
      <c r="D516" s="440"/>
      <c r="E516" s="440"/>
      <c r="F516" s="440"/>
      <c r="G516" s="440"/>
      <c r="H516" s="440"/>
      <c r="I516" s="431"/>
      <c r="J516" s="431"/>
      <c r="K516" s="431"/>
      <c r="L516" s="431"/>
      <c r="M516" s="431"/>
      <c r="N516" s="431"/>
      <c r="O516" s="431"/>
      <c r="P516" s="440"/>
      <c r="Q516" s="440"/>
      <c r="R516" s="440"/>
      <c r="S516" s="440"/>
      <c r="T516" s="440"/>
      <c r="U516" s="440"/>
    </row>
    <row r="517" spans="2:21">
      <c r="B517" s="431"/>
      <c r="C517" s="440"/>
      <c r="D517" s="440"/>
      <c r="E517" s="440"/>
      <c r="F517" s="440"/>
      <c r="G517" s="440"/>
      <c r="H517" s="440"/>
      <c r="I517" s="431"/>
      <c r="J517" s="431"/>
      <c r="K517" s="431"/>
      <c r="L517" s="431"/>
      <c r="M517" s="431"/>
      <c r="N517" s="431"/>
      <c r="O517" s="431"/>
      <c r="P517" s="440"/>
      <c r="Q517" s="440"/>
      <c r="R517" s="440"/>
      <c r="S517" s="440"/>
      <c r="T517" s="440"/>
      <c r="U517" s="440"/>
    </row>
    <row r="518" spans="2:21">
      <c r="B518" s="431"/>
      <c r="C518" s="440"/>
      <c r="D518" s="440"/>
      <c r="E518" s="440"/>
      <c r="F518" s="440"/>
      <c r="G518" s="440"/>
      <c r="H518" s="440"/>
      <c r="I518" s="431"/>
      <c r="J518" s="431"/>
      <c r="K518" s="431"/>
      <c r="L518" s="431"/>
      <c r="M518" s="431"/>
      <c r="N518" s="431"/>
      <c r="O518" s="431"/>
      <c r="P518" s="440"/>
      <c r="Q518" s="440"/>
      <c r="R518" s="440"/>
      <c r="S518" s="440"/>
      <c r="T518" s="440"/>
      <c r="U518" s="440"/>
    </row>
    <row r="519" spans="2:21">
      <c r="B519" s="431"/>
      <c r="C519" s="440"/>
      <c r="D519" s="440"/>
      <c r="E519" s="440"/>
      <c r="F519" s="440"/>
      <c r="G519" s="440"/>
      <c r="H519" s="440"/>
      <c r="I519" s="431"/>
      <c r="J519" s="431"/>
      <c r="K519" s="431"/>
      <c r="L519" s="431"/>
      <c r="M519" s="431"/>
      <c r="N519" s="431"/>
      <c r="O519" s="431"/>
      <c r="P519" s="440"/>
      <c r="Q519" s="440"/>
      <c r="R519" s="440"/>
      <c r="S519" s="440"/>
      <c r="T519" s="440"/>
      <c r="U519" s="440"/>
    </row>
    <row r="520" spans="2:21">
      <c r="B520" s="431"/>
      <c r="C520" s="440"/>
      <c r="D520" s="440"/>
      <c r="E520" s="440"/>
      <c r="F520" s="440"/>
      <c r="G520" s="440"/>
      <c r="H520" s="440"/>
      <c r="I520" s="431"/>
      <c r="J520" s="431"/>
      <c r="K520" s="431"/>
      <c r="L520" s="431"/>
      <c r="M520" s="431"/>
      <c r="N520" s="431"/>
      <c r="O520" s="431"/>
      <c r="P520" s="440"/>
      <c r="Q520" s="440"/>
      <c r="R520" s="440"/>
      <c r="S520" s="440"/>
      <c r="T520" s="440"/>
      <c r="U520" s="440"/>
    </row>
    <row r="521" spans="2:21">
      <c r="B521" s="431"/>
      <c r="C521" s="440"/>
      <c r="D521" s="440"/>
      <c r="E521" s="440"/>
      <c r="F521" s="440"/>
      <c r="G521" s="440"/>
      <c r="H521" s="440"/>
      <c r="I521" s="431"/>
      <c r="J521" s="431"/>
      <c r="K521" s="431"/>
      <c r="L521" s="431"/>
      <c r="M521" s="431"/>
      <c r="N521" s="431"/>
      <c r="O521" s="431"/>
      <c r="P521" s="440"/>
      <c r="Q521" s="440"/>
      <c r="R521" s="440"/>
      <c r="S521" s="440"/>
      <c r="T521" s="440"/>
      <c r="U521" s="440"/>
    </row>
    <row r="522" spans="2:21">
      <c r="B522" s="431"/>
      <c r="C522" s="440"/>
      <c r="D522" s="440"/>
      <c r="E522" s="440"/>
      <c r="F522" s="440"/>
      <c r="G522" s="440"/>
      <c r="H522" s="440"/>
      <c r="I522" s="431"/>
      <c r="J522" s="431"/>
      <c r="K522" s="431"/>
      <c r="L522" s="431"/>
      <c r="M522" s="431"/>
      <c r="N522" s="431"/>
      <c r="O522" s="431"/>
      <c r="P522" s="440"/>
      <c r="Q522" s="440"/>
      <c r="R522" s="440"/>
      <c r="S522" s="440"/>
      <c r="T522" s="440"/>
      <c r="U522" s="440"/>
    </row>
    <row r="523" spans="2:21">
      <c r="B523" s="431"/>
      <c r="C523" s="440"/>
      <c r="D523" s="440"/>
      <c r="E523" s="440"/>
      <c r="F523" s="440"/>
      <c r="G523" s="440"/>
      <c r="H523" s="440"/>
      <c r="I523" s="431"/>
      <c r="J523" s="431"/>
      <c r="K523" s="431"/>
      <c r="L523" s="431"/>
      <c r="M523" s="431"/>
      <c r="N523" s="431"/>
      <c r="O523" s="431"/>
      <c r="P523" s="440"/>
      <c r="Q523" s="440"/>
      <c r="R523" s="440"/>
      <c r="S523" s="440"/>
      <c r="T523" s="440"/>
      <c r="U523" s="440"/>
    </row>
    <row r="524" spans="2:21">
      <c r="B524" s="431"/>
      <c r="C524" s="440"/>
      <c r="D524" s="440"/>
      <c r="E524" s="440"/>
      <c r="F524" s="440"/>
      <c r="G524" s="440"/>
      <c r="H524" s="440"/>
      <c r="I524" s="431"/>
      <c r="J524" s="431"/>
      <c r="K524" s="431"/>
      <c r="L524" s="431"/>
      <c r="M524" s="431"/>
      <c r="N524" s="431"/>
      <c r="O524" s="431"/>
      <c r="P524" s="440"/>
      <c r="Q524" s="440"/>
      <c r="R524" s="440"/>
      <c r="S524" s="440"/>
      <c r="T524" s="440"/>
      <c r="U524" s="440"/>
    </row>
    <row r="525" spans="2:21">
      <c r="B525" s="431"/>
      <c r="C525" s="440"/>
      <c r="D525" s="440"/>
      <c r="E525" s="440"/>
      <c r="F525" s="440"/>
      <c r="G525" s="440"/>
      <c r="H525" s="440"/>
      <c r="I525" s="431"/>
      <c r="J525" s="431"/>
      <c r="K525" s="431"/>
      <c r="L525" s="431"/>
      <c r="M525" s="431"/>
      <c r="N525" s="431"/>
      <c r="O525" s="431"/>
      <c r="P525" s="440"/>
      <c r="Q525" s="440"/>
      <c r="R525" s="440"/>
      <c r="S525" s="440"/>
      <c r="T525" s="440"/>
      <c r="U525" s="440"/>
    </row>
    <row r="526" spans="2:21">
      <c r="B526" s="431"/>
      <c r="C526" s="440"/>
      <c r="D526" s="440"/>
      <c r="E526" s="440"/>
      <c r="F526" s="440"/>
      <c r="G526" s="440"/>
      <c r="H526" s="440"/>
      <c r="I526" s="431"/>
      <c r="J526" s="431"/>
      <c r="K526" s="431"/>
      <c r="L526" s="431"/>
      <c r="M526" s="431"/>
      <c r="N526" s="431"/>
      <c r="O526" s="431"/>
      <c r="P526" s="440"/>
      <c r="Q526" s="440"/>
      <c r="R526" s="440"/>
      <c r="S526" s="440"/>
      <c r="T526" s="440"/>
      <c r="U526" s="440"/>
    </row>
    <row r="527" spans="2:21">
      <c r="B527" s="431"/>
      <c r="C527" s="440"/>
      <c r="D527" s="440"/>
      <c r="E527" s="440"/>
      <c r="F527" s="440"/>
      <c r="G527" s="440"/>
      <c r="H527" s="440"/>
      <c r="I527" s="431"/>
      <c r="J527" s="431"/>
      <c r="K527" s="431"/>
      <c r="L527" s="431"/>
      <c r="M527" s="431"/>
      <c r="N527" s="431"/>
      <c r="O527" s="431"/>
      <c r="P527" s="440"/>
      <c r="Q527" s="440"/>
      <c r="R527" s="440"/>
      <c r="S527" s="440"/>
      <c r="T527" s="440"/>
      <c r="U527" s="440"/>
    </row>
    <row r="528" spans="2:21">
      <c r="B528" s="431"/>
      <c r="C528" s="440"/>
      <c r="D528" s="440"/>
      <c r="E528" s="440"/>
      <c r="F528" s="440"/>
      <c r="G528" s="440"/>
      <c r="H528" s="440"/>
      <c r="I528" s="431"/>
      <c r="J528" s="431"/>
      <c r="K528" s="431"/>
      <c r="L528" s="431"/>
      <c r="M528" s="431"/>
      <c r="N528" s="431"/>
      <c r="O528" s="431"/>
      <c r="P528" s="440"/>
      <c r="Q528" s="440"/>
      <c r="R528" s="440"/>
      <c r="S528" s="440"/>
      <c r="T528" s="440"/>
      <c r="U528" s="440"/>
    </row>
  </sheetData>
  <pageMargins left="0.5" right="0.5" top="0.5" bottom="0.5" header="0.5" footer="0.25"/>
  <pageSetup scale="53" fitToHeight="0" orientation="landscape" r:id="rId1"/>
  <headerFooter alignWithMargins="0">
    <oddFooter>&amp;C&amp;A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92D050"/>
  </sheetPr>
  <dimension ref="A1:G54"/>
  <sheetViews>
    <sheetView showGridLines="0" zoomScaleNormal="100" workbookViewId="0">
      <selection activeCell="D19" sqref="D19"/>
    </sheetView>
  </sheetViews>
  <sheetFormatPr defaultColWidth="14.44140625" defaultRowHeight="13.2"/>
  <cols>
    <col min="1" max="1" width="30.5546875" style="96" customWidth="1"/>
    <col min="2" max="2" width="14.44140625" style="96"/>
    <col min="3" max="3" width="20.6640625" style="96" customWidth="1"/>
    <col min="4" max="4" width="15.33203125" style="96" customWidth="1"/>
    <col min="5" max="5" width="14.88671875" style="96" bestFit="1" customWidth="1"/>
    <col min="6" max="16384" width="14.44140625" style="96"/>
  </cols>
  <sheetData>
    <row r="1" spans="1:5">
      <c r="A1" s="625"/>
      <c r="B1" s="625"/>
      <c r="C1" s="625"/>
      <c r="D1" s="626" t="s">
        <v>113</v>
      </c>
      <c r="E1" s="625"/>
    </row>
    <row r="2" spans="1:5">
      <c r="A2" s="700" t="s">
        <v>626</v>
      </c>
      <c r="B2" s="700"/>
      <c r="C2" s="700"/>
      <c r="D2" s="700"/>
      <c r="E2" s="625"/>
    </row>
    <row r="3" spans="1:5">
      <c r="A3" s="704" t="s">
        <v>606</v>
      </c>
      <c r="B3" s="704"/>
      <c r="C3" s="704"/>
      <c r="D3" s="704"/>
      <c r="E3" s="625"/>
    </row>
    <row r="4" spans="1:5">
      <c r="A4" s="700" t="s">
        <v>45</v>
      </c>
      <c r="B4" s="700"/>
      <c r="C4" s="700"/>
      <c r="D4" s="700"/>
      <c r="E4" s="625"/>
    </row>
    <row r="5" spans="1:5">
      <c r="A5" s="701" t="s">
        <v>1117</v>
      </c>
      <c r="B5" s="701"/>
      <c r="C5" s="701"/>
      <c r="D5" s="701"/>
      <c r="E5" s="625"/>
    </row>
    <row r="6" spans="1:5">
      <c r="A6" s="625"/>
      <c r="B6" s="625"/>
      <c r="C6" s="625"/>
      <c r="D6" s="625"/>
      <c r="E6" s="625"/>
    </row>
    <row r="7" spans="1:5">
      <c r="A7" s="627"/>
      <c r="B7" s="625"/>
      <c r="C7" s="625"/>
      <c r="D7" s="628"/>
      <c r="E7" s="625"/>
    </row>
    <row r="8" spans="1:5">
      <c r="A8" s="629" t="s">
        <v>136</v>
      </c>
      <c r="B8" s="625"/>
      <c r="C8" s="625"/>
      <c r="D8" s="625"/>
      <c r="E8" s="625"/>
    </row>
    <row r="9" spans="1:5">
      <c r="A9" s="629"/>
      <c r="B9" s="625"/>
      <c r="C9" s="625"/>
      <c r="D9" s="625"/>
      <c r="E9" s="625"/>
    </row>
    <row r="10" spans="1:5">
      <c r="A10" s="627" t="s">
        <v>925</v>
      </c>
      <c r="B10" s="625"/>
      <c r="C10" s="625"/>
      <c r="D10" s="630">
        <f>1-(((1-C21)*(1-C20))/(1-C21*C20*C22))</f>
        <v>0.37378999999999996</v>
      </c>
      <c r="E10" s="625"/>
    </row>
    <row r="11" spans="1:5">
      <c r="A11" s="627"/>
      <c r="B11" s="625"/>
      <c r="C11" s="625"/>
      <c r="D11" s="630"/>
      <c r="E11" s="625"/>
    </row>
    <row r="12" spans="1:5">
      <c r="A12" s="627" t="s">
        <v>307</v>
      </c>
      <c r="B12" s="625"/>
      <c r="C12" s="625"/>
      <c r="D12" s="630">
        <f>(D10/(1-D10))*(1-C23/C24)</f>
        <v>0.21553255129164567</v>
      </c>
      <c r="E12" s="625"/>
    </row>
    <row r="13" spans="1:5">
      <c r="A13" s="627" t="s">
        <v>924</v>
      </c>
      <c r="B13" s="625"/>
      <c r="C13" s="625"/>
      <c r="D13" s="625"/>
      <c r="E13" s="625"/>
    </row>
    <row r="14" spans="1:5">
      <c r="A14" s="627" t="s">
        <v>937</v>
      </c>
      <c r="B14" s="625"/>
      <c r="C14" s="625"/>
      <c r="D14" s="625"/>
      <c r="E14" s="625"/>
    </row>
    <row r="15" spans="1:5">
      <c r="A15" s="627"/>
      <c r="B15" s="625"/>
      <c r="C15" s="625"/>
      <c r="D15" s="625"/>
      <c r="E15" s="625"/>
    </row>
    <row r="16" spans="1:5">
      <c r="A16" s="627" t="s">
        <v>308</v>
      </c>
      <c r="B16" s="625"/>
      <c r="C16" s="625"/>
      <c r="D16" s="628">
        <f>1/(1-D10)</f>
        <v>1.5969083853659314</v>
      </c>
      <c r="E16" s="625"/>
    </row>
    <row r="17" spans="1:7">
      <c r="A17" s="627"/>
      <c r="B17" s="625"/>
      <c r="C17" s="625"/>
      <c r="D17" s="628"/>
      <c r="E17" s="625"/>
    </row>
    <row r="18" spans="1:7">
      <c r="A18" s="627" t="s">
        <v>260</v>
      </c>
      <c r="B18" s="625"/>
      <c r="C18" s="625" t="s">
        <v>309</v>
      </c>
      <c r="D18" s="625">
        <v>-24053</v>
      </c>
      <c r="E18" s="625"/>
    </row>
    <row r="19" spans="1:7">
      <c r="A19" s="625"/>
      <c r="B19" s="625"/>
      <c r="C19" s="625"/>
      <c r="D19" s="625"/>
      <c r="E19" s="625"/>
    </row>
    <row r="20" spans="1:7">
      <c r="A20" s="626"/>
      <c r="B20" s="626" t="s">
        <v>261</v>
      </c>
      <c r="C20" s="631">
        <v>0.35</v>
      </c>
      <c r="D20" s="625"/>
      <c r="E20" s="625"/>
    </row>
    <row r="21" spans="1:7">
      <c r="A21" s="626"/>
      <c r="B21" s="626" t="s">
        <v>262</v>
      </c>
      <c r="C21" s="632">
        <f>+D49</f>
        <v>3.6600000000000001E-2</v>
      </c>
      <c r="D21" s="633" t="s">
        <v>428</v>
      </c>
      <c r="E21" s="625"/>
      <c r="G21" s="97"/>
    </row>
    <row r="22" spans="1:7" ht="25.5" customHeight="1">
      <c r="A22" s="626"/>
      <c r="B22" s="634" t="s">
        <v>926</v>
      </c>
      <c r="C22" s="635">
        <v>0</v>
      </c>
      <c r="D22" s="702" t="s">
        <v>945</v>
      </c>
      <c r="E22" s="703"/>
      <c r="G22" s="97"/>
    </row>
    <row r="23" spans="1:7">
      <c r="A23" s="625"/>
      <c r="B23" s="626" t="s">
        <v>310</v>
      </c>
      <c r="C23" s="636">
        <v>4.5198686060695242E-2</v>
      </c>
      <c r="D23" s="625"/>
      <c r="E23" s="625"/>
    </row>
    <row r="24" spans="1:7">
      <c r="A24" s="625"/>
      <c r="B24" s="626" t="s">
        <v>311</v>
      </c>
      <c r="C24" s="636">
        <v>7.074248629999999E-2</v>
      </c>
      <c r="D24" s="625"/>
      <c r="E24" s="625"/>
    </row>
    <row r="25" spans="1:7">
      <c r="A25" s="625"/>
      <c r="B25" s="625"/>
      <c r="C25" s="625"/>
      <c r="D25" s="625"/>
      <c r="E25" s="625"/>
    </row>
    <row r="26" spans="1:7">
      <c r="A26" s="625"/>
      <c r="B26" s="625"/>
      <c r="C26" s="625"/>
      <c r="D26" s="625"/>
      <c r="E26" s="625"/>
    </row>
    <row r="27" spans="1:7">
      <c r="A27" s="637" t="s">
        <v>949</v>
      </c>
      <c r="B27" s="625"/>
      <c r="C27" s="625"/>
      <c r="D27" s="625"/>
      <c r="E27" s="625"/>
    </row>
    <row r="28" spans="1:7">
      <c r="A28" s="625"/>
      <c r="B28" s="625"/>
      <c r="C28" s="625"/>
      <c r="D28" s="625"/>
      <c r="E28" s="625"/>
    </row>
    <row r="29" spans="1:7">
      <c r="A29" s="625" t="s">
        <v>41</v>
      </c>
      <c r="B29" s="625"/>
      <c r="C29" s="631">
        <v>6.5000000000000002E-2</v>
      </c>
      <c r="D29" s="625"/>
      <c r="E29" s="625"/>
    </row>
    <row r="30" spans="1:7">
      <c r="A30" s="625" t="s">
        <v>91</v>
      </c>
      <c r="B30" s="625"/>
      <c r="C30" s="638">
        <v>2.3199999999999998E-2</v>
      </c>
      <c r="D30" s="625"/>
      <c r="E30" s="625"/>
    </row>
    <row r="31" spans="1:7">
      <c r="A31" s="625" t="s">
        <v>263</v>
      </c>
      <c r="B31" s="625"/>
      <c r="C31" s="639"/>
      <c r="D31" s="640">
        <f>ROUND(+C29*C30,4)</f>
        <v>1.5E-3</v>
      </c>
      <c r="E31" s="625"/>
    </row>
    <row r="32" spans="1:7">
      <c r="A32" s="625"/>
      <c r="B32" s="625"/>
      <c r="C32" s="639"/>
      <c r="D32" s="625"/>
      <c r="E32" s="625"/>
    </row>
    <row r="33" spans="1:5">
      <c r="A33" s="625" t="s">
        <v>93</v>
      </c>
      <c r="B33" s="625"/>
      <c r="C33" s="631">
        <v>0.06</v>
      </c>
      <c r="D33" s="625"/>
      <c r="E33" s="625"/>
    </row>
    <row r="34" spans="1:5">
      <c r="A34" s="625" t="s">
        <v>91</v>
      </c>
      <c r="B34" s="625"/>
      <c r="C34" s="638">
        <v>5.9999999999999995E-4</v>
      </c>
      <c r="D34" s="625"/>
      <c r="E34" s="625"/>
    </row>
    <row r="35" spans="1:5">
      <c r="A35" s="625" t="s">
        <v>263</v>
      </c>
      <c r="B35" s="625"/>
      <c r="C35" s="639"/>
      <c r="D35" s="640">
        <f>ROUND(+C33*C34,4)</f>
        <v>0</v>
      </c>
      <c r="E35" s="625"/>
    </row>
    <row r="36" spans="1:5">
      <c r="A36" s="625"/>
      <c r="B36" s="625"/>
      <c r="C36" s="639"/>
      <c r="D36" s="625"/>
      <c r="E36" s="625"/>
    </row>
    <row r="37" spans="1:5">
      <c r="A37" s="625" t="s">
        <v>42</v>
      </c>
      <c r="B37" s="625"/>
      <c r="C37" s="631">
        <v>0.06</v>
      </c>
      <c r="D37" s="632"/>
      <c r="E37" s="625"/>
    </row>
    <row r="38" spans="1:5">
      <c r="A38" s="625" t="s">
        <v>91</v>
      </c>
      <c r="B38" s="625"/>
      <c r="C38" s="638">
        <v>0</v>
      </c>
      <c r="D38" s="632"/>
      <c r="E38" s="625"/>
    </row>
    <row r="39" spans="1:5">
      <c r="A39" s="625" t="s">
        <v>263</v>
      </c>
      <c r="B39" s="625"/>
      <c r="C39" s="631"/>
      <c r="D39" s="640">
        <f>ROUND(+C37*C38,4)</f>
        <v>0</v>
      </c>
      <c r="E39" s="625"/>
    </row>
    <row r="40" spans="1:5">
      <c r="A40" s="625"/>
      <c r="B40" s="625"/>
      <c r="C40" s="639"/>
      <c r="D40" s="625"/>
      <c r="E40" s="625"/>
    </row>
    <row r="41" spans="1:5">
      <c r="A41" s="625" t="s">
        <v>43</v>
      </c>
      <c r="B41" s="625"/>
      <c r="C41" s="631">
        <v>6.5000000000000002E-2</v>
      </c>
      <c r="D41" s="625"/>
      <c r="E41" s="625"/>
    </row>
    <row r="42" spans="1:5">
      <c r="A42" s="625" t="s">
        <v>91</v>
      </c>
      <c r="B42" s="625"/>
      <c r="C42" s="638">
        <v>0.52759999999999996</v>
      </c>
      <c r="D42" s="625"/>
      <c r="E42" s="625"/>
    </row>
    <row r="43" spans="1:5">
      <c r="A43" s="625" t="s">
        <v>263</v>
      </c>
      <c r="B43" s="625"/>
      <c r="C43" s="639"/>
      <c r="D43" s="640">
        <f>ROUND(+C41*C42,4)</f>
        <v>3.4299999999999997E-2</v>
      </c>
      <c r="E43" s="625"/>
    </row>
    <row r="44" spans="1:5">
      <c r="A44" s="625"/>
      <c r="B44" s="625"/>
      <c r="C44" s="639"/>
      <c r="D44" s="625"/>
      <c r="E44" s="625"/>
    </row>
    <row r="45" spans="1:5">
      <c r="A45" s="625" t="s">
        <v>92</v>
      </c>
      <c r="B45" s="625"/>
      <c r="C45" s="631">
        <v>9.5000000000000001E-2</v>
      </c>
      <c r="D45" s="625"/>
      <c r="E45" s="625"/>
    </row>
    <row r="46" spans="1:5">
      <c r="A46" s="625" t="s">
        <v>91</v>
      </c>
      <c r="B46" s="625"/>
      <c r="C46" s="638">
        <v>8.8000000000000005E-3</v>
      </c>
      <c r="D46" s="625"/>
      <c r="E46" s="625"/>
    </row>
    <row r="47" spans="1:5">
      <c r="A47" s="625" t="s">
        <v>263</v>
      </c>
      <c r="B47" s="625"/>
      <c r="C47" s="625"/>
      <c r="D47" s="641">
        <f>ROUND(+C45*C46,4)</f>
        <v>8.0000000000000004E-4</v>
      </c>
      <c r="E47" s="625"/>
    </row>
    <row r="48" spans="1:5">
      <c r="A48" s="625"/>
      <c r="B48" s="625"/>
      <c r="C48" s="625"/>
      <c r="D48" s="625"/>
      <c r="E48" s="625"/>
    </row>
    <row r="49" spans="1:5" ht="13.8" thickBot="1">
      <c r="A49" s="625" t="s">
        <v>264</v>
      </c>
      <c r="B49" s="625"/>
      <c r="C49" s="625"/>
      <c r="D49" s="642">
        <f>SUM(D31,D35,D39,D43,D47)</f>
        <v>3.6600000000000001E-2</v>
      </c>
      <c r="E49" s="625"/>
    </row>
    <row r="50" spans="1:5" ht="13.8" thickTop="1">
      <c r="A50" s="625"/>
      <c r="B50" s="625"/>
      <c r="C50" s="625"/>
      <c r="D50" s="625"/>
      <c r="E50" s="625"/>
    </row>
    <row r="51" spans="1:5">
      <c r="A51" s="633" t="s">
        <v>946</v>
      </c>
      <c r="B51" s="625"/>
      <c r="C51" s="625"/>
      <c r="D51" s="625"/>
      <c r="E51" s="625"/>
    </row>
    <row r="52" spans="1:5">
      <c r="A52" s="625" t="s">
        <v>948</v>
      </c>
      <c r="B52" s="625"/>
      <c r="C52" s="625"/>
      <c r="D52" s="625"/>
      <c r="E52" s="625"/>
    </row>
    <row r="53" spans="1:5">
      <c r="A53" s="625" t="s">
        <v>947</v>
      </c>
      <c r="B53" s="625"/>
      <c r="C53" s="625"/>
      <c r="D53" s="625"/>
      <c r="E53" s="625"/>
    </row>
    <row r="54" spans="1:5">
      <c r="A54" s="625" t="s">
        <v>113</v>
      </c>
      <c r="B54" s="625"/>
      <c r="C54" s="625"/>
      <c r="D54" s="625"/>
      <c r="E54" s="625"/>
    </row>
  </sheetData>
  <mergeCells count="5">
    <mergeCell ref="A2:D2"/>
    <mergeCell ref="A4:D4"/>
    <mergeCell ref="A5:D5"/>
    <mergeCell ref="D22:E22"/>
    <mergeCell ref="A3:D3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26"/>
  <sheetViews>
    <sheetView showGridLines="0" view="pageBreakPreview" topLeftCell="A67" zoomScale="60" zoomScaleNormal="100" workbookViewId="0">
      <selection activeCell="F107" sqref="F107"/>
    </sheetView>
  </sheetViews>
  <sheetFormatPr defaultColWidth="9.109375" defaultRowHeight="13.2"/>
  <cols>
    <col min="1" max="1" width="29" style="30" customWidth="1"/>
    <col min="2" max="2" width="2.88671875" style="30" customWidth="1"/>
    <col min="3" max="3" width="35.6640625" style="30" customWidth="1"/>
    <col min="4" max="4" width="13" style="30" customWidth="1"/>
    <col min="5" max="5" width="19.5546875" style="30" bestFit="1" customWidth="1"/>
    <col min="6" max="6" width="33.6640625" style="30" customWidth="1"/>
    <col min="7" max="7" width="14.88671875" style="30" bestFit="1" customWidth="1"/>
    <col min="8" max="8" width="14.6640625" style="30" bestFit="1" customWidth="1"/>
    <col min="9" max="10" width="12" style="30" bestFit="1" customWidth="1"/>
    <col min="11" max="16384" width="9.109375" style="30"/>
  </cols>
  <sheetData>
    <row r="1" spans="1:7" ht="17.399999999999999">
      <c r="B1" s="88"/>
      <c r="D1" s="311" t="s">
        <v>113</v>
      </c>
      <c r="G1" s="403" t="s">
        <v>938</v>
      </c>
    </row>
    <row r="2" spans="1:7" ht="17.399999999999999">
      <c r="A2" s="709" t="s">
        <v>626</v>
      </c>
      <c r="B2" s="709"/>
      <c r="C2" s="709"/>
      <c r="D2" s="706"/>
      <c r="E2" s="706"/>
      <c r="F2" s="706"/>
      <c r="G2" s="706"/>
    </row>
    <row r="3" spans="1:7" ht="17.399999999999999">
      <c r="A3" s="710" t="s">
        <v>606</v>
      </c>
      <c r="B3" s="710"/>
      <c r="C3" s="710"/>
      <c r="D3" s="706"/>
      <c r="E3" s="706"/>
      <c r="F3" s="706"/>
      <c r="G3" s="706"/>
    </row>
    <row r="4" spans="1:7" ht="17.399999999999999">
      <c r="A4" s="705" t="s">
        <v>46</v>
      </c>
      <c r="B4" s="705"/>
      <c r="C4" s="705"/>
      <c r="D4" s="706"/>
      <c r="E4" s="706"/>
      <c r="F4" s="706"/>
      <c r="G4" s="706"/>
    </row>
    <row r="5" spans="1:7" ht="17.399999999999999">
      <c r="A5" s="707" t="s">
        <v>1117</v>
      </c>
      <c r="B5" s="707"/>
      <c r="C5" s="708"/>
      <c r="D5" s="706"/>
      <c r="E5" s="706"/>
      <c r="F5" s="706"/>
      <c r="G5" s="706"/>
    </row>
    <row r="6" spans="1:7">
      <c r="A6" s="88" t="s">
        <v>113</v>
      </c>
    </row>
    <row r="8" spans="1:7">
      <c r="C8" s="29"/>
    </row>
    <row r="9" spans="1:7">
      <c r="A9" s="88" t="s">
        <v>367</v>
      </c>
      <c r="B9" s="88"/>
      <c r="C9" s="29">
        <f>+E61+E74+E77+E78+E79+E80+E81</f>
        <v>8768970</v>
      </c>
      <c r="D9" s="88" t="s">
        <v>306</v>
      </c>
    </row>
    <row r="10" spans="1:7">
      <c r="C10" s="29"/>
    </row>
    <row r="11" spans="1:7">
      <c r="A11" s="88" t="s">
        <v>368</v>
      </c>
      <c r="B11" s="88"/>
      <c r="C11" s="29">
        <f>E34+E35+E36+E37+E43+E44+E45+E46+E53+E54+E56+E57+E47+E58+E48</f>
        <v>60928806</v>
      </c>
      <c r="D11" s="88" t="s">
        <v>369</v>
      </c>
    </row>
    <row r="12" spans="1:7">
      <c r="A12" s="88" t="s">
        <v>502</v>
      </c>
      <c r="B12" s="88"/>
      <c r="C12" s="29">
        <f>E86+E87+E120+E121</f>
        <v>22744487</v>
      </c>
      <c r="D12" s="88" t="s">
        <v>105</v>
      </c>
    </row>
    <row r="13" spans="1:7">
      <c r="A13" s="88" t="s">
        <v>503</v>
      </c>
      <c r="B13" s="88"/>
      <c r="C13" s="29">
        <v>0</v>
      </c>
      <c r="D13" s="88" t="s">
        <v>111</v>
      </c>
    </row>
    <row r="14" spans="1:7">
      <c r="A14" s="88" t="s">
        <v>109</v>
      </c>
      <c r="B14" s="88"/>
      <c r="C14" s="29">
        <f>E90+E91+E93+E94+E95+E96+E97+E98+E104+E105+E106+E107+E109+E110+E113+E99+E100</f>
        <v>18350119</v>
      </c>
      <c r="D14" s="88" t="s">
        <v>109</v>
      </c>
    </row>
    <row r="15" spans="1:7">
      <c r="A15" s="88" t="s">
        <v>370</v>
      </c>
      <c r="B15" s="88"/>
      <c r="C15" s="89">
        <f>+E27+E29+E28</f>
        <v>12925854</v>
      </c>
      <c r="D15" s="88" t="s">
        <v>371</v>
      </c>
    </row>
    <row r="16" spans="1:7">
      <c r="C16" s="29"/>
    </row>
    <row r="17" spans="1:7" ht="13.8" thickBot="1">
      <c r="C17" s="90">
        <f>SUM(C9,C11:C15)</f>
        <v>123718236</v>
      </c>
    </row>
    <row r="18" spans="1:7" ht="13.8" thickTop="1">
      <c r="C18" s="91"/>
    </row>
    <row r="20" spans="1:7" ht="17.399999999999999">
      <c r="A20" s="329"/>
      <c r="B20" s="330"/>
      <c r="C20" s="331" t="s">
        <v>637</v>
      </c>
      <c r="D20" s="332"/>
      <c r="E20" s="333" t="s">
        <v>919</v>
      </c>
      <c r="F20" s="333" t="s">
        <v>638</v>
      </c>
      <c r="G20" s="333" t="s">
        <v>639</v>
      </c>
    </row>
    <row r="21" spans="1:7" ht="17.399999999999999">
      <c r="A21" s="334"/>
      <c r="B21" s="335"/>
      <c r="C21" s="335"/>
      <c r="D21" s="335"/>
      <c r="E21" s="268"/>
      <c r="F21" s="336"/>
    </row>
    <row r="22" spans="1:7" ht="17.399999999999999">
      <c r="A22" s="334" t="s">
        <v>129</v>
      </c>
      <c r="B22" s="335"/>
      <c r="C22" s="335"/>
      <c r="D22" s="335"/>
      <c r="E22" s="337" t="s">
        <v>640</v>
      </c>
      <c r="F22" s="338"/>
    </row>
    <row r="23" spans="1:7" ht="17.399999999999999">
      <c r="A23" s="339" t="s">
        <v>641</v>
      </c>
      <c r="B23" s="340"/>
      <c r="C23" s="339" t="s">
        <v>707</v>
      </c>
      <c r="D23" s="340"/>
      <c r="E23" s="339" t="s">
        <v>642</v>
      </c>
      <c r="F23" s="341" t="s">
        <v>643</v>
      </c>
      <c r="G23" s="341" t="s">
        <v>372</v>
      </c>
    </row>
    <row r="24" spans="1:7" ht="17.399999999999999">
      <c r="A24" s="342"/>
      <c r="B24" s="330"/>
      <c r="C24" s="343"/>
      <c r="D24" s="343"/>
      <c r="E24" s="337"/>
      <c r="F24" s="344"/>
    </row>
    <row r="25" spans="1:7" ht="17.399999999999999">
      <c r="A25" s="329">
        <v>1</v>
      </c>
      <c r="B25" s="330"/>
      <c r="C25" s="345" t="s">
        <v>96</v>
      </c>
      <c r="D25" s="330"/>
      <c r="E25" s="347"/>
      <c r="F25" s="275"/>
    </row>
    <row r="26" spans="1:7" ht="17.399999999999999">
      <c r="A26" s="329">
        <f>+A25+1</f>
        <v>2</v>
      </c>
      <c r="B26" s="330"/>
      <c r="C26" s="346" t="s">
        <v>644</v>
      </c>
      <c r="D26" s="330"/>
      <c r="E26" s="348"/>
      <c r="F26" s="349"/>
    </row>
    <row r="27" spans="1:7" ht="17.399999999999999">
      <c r="A27" s="329"/>
      <c r="B27" s="330"/>
      <c r="C27" s="346"/>
      <c r="D27" s="330"/>
      <c r="E27" s="572">
        <v>12821321</v>
      </c>
      <c r="F27" s="352" t="s">
        <v>1123</v>
      </c>
      <c r="G27" s="367" t="s">
        <v>662</v>
      </c>
    </row>
    <row r="28" spans="1:7" ht="17.399999999999999">
      <c r="A28" s="329"/>
      <c r="B28" s="330"/>
      <c r="C28" s="346"/>
      <c r="D28" s="330"/>
      <c r="E28" s="572">
        <v>-43587</v>
      </c>
      <c r="F28" s="352" t="s">
        <v>993</v>
      </c>
      <c r="G28" s="367" t="s">
        <v>662</v>
      </c>
    </row>
    <row r="29" spans="1:7" ht="17.399999999999999">
      <c r="A29" s="329"/>
      <c r="B29" s="330"/>
      <c r="C29" s="346"/>
      <c r="D29" s="330"/>
      <c r="E29" s="572">
        <v>148120</v>
      </c>
      <c r="F29" s="352" t="s">
        <v>1124</v>
      </c>
      <c r="G29" s="367" t="s">
        <v>662</v>
      </c>
    </row>
    <row r="30" spans="1:7" ht="17.399999999999999">
      <c r="A30" s="329"/>
      <c r="B30" s="330"/>
      <c r="C30" s="346"/>
      <c r="D30" s="330"/>
      <c r="E30" s="361"/>
      <c r="F30" s="352"/>
      <c r="G30" s="367" t="s">
        <v>113</v>
      </c>
    </row>
    <row r="31" spans="1:7" ht="17.399999999999999">
      <c r="A31" s="329"/>
      <c r="B31" s="330"/>
      <c r="C31" s="346"/>
      <c r="D31" s="330"/>
      <c r="E31" s="361">
        <v>0</v>
      </c>
      <c r="F31" s="352" t="s">
        <v>113</v>
      </c>
      <c r="G31" s="367"/>
    </row>
    <row r="32" spans="1:7" ht="17.399999999999999">
      <c r="A32" s="329">
        <f>+A26+1</f>
        <v>3</v>
      </c>
      <c r="B32" s="330"/>
      <c r="C32" s="345" t="s">
        <v>97</v>
      </c>
      <c r="D32" s="330"/>
      <c r="E32" s="350"/>
      <c r="F32" s="348"/>
      <c r="G32" s="92"/>
    </row>
    <row r="33" spans="1:7" ht="17.399999999999999">
      <c r="A33" s="329">
        <f>+A32+1</f>
        <v>4</v>
      </c>
      <c r="B33" s="330"/>
      <c r="C33" s="347" t="s">
        <v>645</v>
      </c>
      <c r="D33" s="347"/>
      <c r="E33" s="350"/>
      <c r="F33" s="348"/>
      <c r="G33" s="92"/>
    </row>
    <row r="34" spans="1:7" ht="17.399999999999999">
      <c r="A34" s="329"/>
      <c r="B34" s="330"/>
      <c r="C34" s="347"/>
      <c r="D34" s="347"/>
      <c r="E34" s="572">
        <v>20758289</v>
      </c>
      <c r="F34" s="352" t="s">
        <v>646</v>
      </c>
      <c r="G34" s="367" t="s">
        <v>369</v>
      </c>
    </row>
    <row r="35" spans="1:7" ht="17.399999999999999">
      <c r="A35" s="329"/>
      <c r="B35" s="330"/>
      <c r="C35" s="347"/>
      <c r="D35" s="347"/>
      <c r="E35" s="572">
        <v>21226320</v>
      </c>
      <c r="F35" s="352" t="s">
        <v>1125</v>
      </c>
      <c r="G35" s="367" t="s">
        <v>369</v>
      </c>
    </row>
    <row r="36" spans="1:7" ht="17.399999999999999">
      <c r="A36" s="329"/>
      <c r="B36" s="330"/>
      <c r="C36" s="347"/>
      <c r="D36" s="347"/>
      <c r="E36" s="572">
        <v>71887</v>
      </c>
      <c r="F36" s="352" t="s">
        <v>647</v>
      </c>
      <c r="G36" s="367" t="s">
        <v>369</v>
      </c>
    </row>
    <row r="37" spans="1:7" ht="17.399999999999999">
      <c r="A37" s="329"/>
      <c r="B37" s="330"/>
      <c r="C37" s="347"/>
      <c r="D37" s="347"/>
      <c r="E37" s="572">
        <v>76344</v>
      </c>
      <c r="F37" s="352" t="s">
        <v>1126</v>
      </c>
      <c r="G37" s="367" t="s">
        <v>369</v>
      </c>
    </row>
    <row r="38" spans="1:7" ht="17.399999999999999">
      <c r="A38" s="329"/>
      <c r="B38" s="330"/>
      <c r="C38" s="347"/>
      <c r="D38" s="347"/>
      <c r="E38" s="351" t="s">
        <v>113</v>
      </c>
      <c r="F38" s="352" t="s">
        <v>113</v>
      </c>
      <c r="G38" s="367" t="s">
        <v>113</v>
      </c>
    </row>
    <row r="39" spans="1:7" ht="17.399999999999999">
      <c r="A39" s="329"/>
      <c r="B39" s="330"/>
      <c r="C39" s="347"/>
      <c r="D39" s="347"/>
      <c r="E39" s="351" t="s">
        <v>113</v>
      </c>
      <c r="F39" s="352" t="s">
        <v>113</v>
      </c>
      <c r="G39" s="367" t="s">
        <v>113</v>
      </c>
    </row>
    <row r="40" spans="1:7" ht="17.399999999999999">
      <c r="A40" s="329"/>
      <c r="B40" s="330"/>
      <c r="C40" s="347"/>
      <c r="D40" s="347"/>
      <c r="E40" s="351"/>
      <c r="F40" s="352" t="s">
        <v>113</v>
      </c>
      <c r="G40" s="367" t="s">
        <v>113</v>
      </c>
    </row>
    <row r="41" spans="1:7" ht="17.399999999999999">
      <c r="A41" s="329"/>
      <c r="B41" s="330"/>
      <c r="C41" s="347"/>
      <c r="D41" s="347"/>
      <c r="E41" s="351"/>
      <c r="F41" s="352" t="s">
        <v>113</v>
      </c>
      <c r="G41" s="367" t="s">
        <v>113</v>
      </c>
    </row>
    <row r="42" spans="1:7" ht="17.399999999999999">
      <c r="A42" s="329">
        <f>+A33+1</f>
        <v>5</v>
      </c>
      <c r="B42" s="330"/>
      <c r="C42" s="347" t="s">
        <v>648</v>
      </c>
      <c r="D42" s="347"/>
      <c r="E42" s="353"/>
      <c r="F42" s="348"/>
      <c r="G42" s="367" t="s">
        <v>113</v>
      </c>
    </row>
    <row r="43" spans="1:7" ht="17.399999999999999">
      <c r="A43" s="329"/>
      <c r="B43" s="330"/>
      <c r="C43" s="347"/>
      <c r="D43" s="347"/>
      <c r="E43" s="572">
        <v>-42690</v>
      </c>
      <c r="F43" s="352" t="s">
        <v>1127</v>
      </c>
      <c r="G43" s="367" t="s">
        <v>369</v>
      </c>
    </row>
    <row r="44" spans="1:7" ht="17.399999999999999">
      <c r="A44" s="329"/>
      <c r="B44" s="330"/>
      <c r="C44" s="347"/>
      <c r="D44" s="347"/>
      <c r="E44" s="572">
        <v>16473441</v>
      </c>
      <c r="F44" s="352" t="s">
        <v>649</v>
      </c>
      <c r="G44" s="367" t="s">
        <v>369</v>
      </c>
    </row>
    <row r="45" spans="1:7" ht="17.399999999999999">
      <c r="A45" s="329"/>
      <c r="B45" s="330"/>
      <c r="C45" s="347"/>
      <c r="D45" s="347"/>
      <c r="E45" s="572">
        <v>473</v>
      </c>
      <c r="F45" s="352" t="s">
        <v>1128</v>
      </c>
      <c r="G45" s="367" t="s">
        <v>369</v>
      </c>
    </row>
    <row r="46" spans="1:7" ht="17.399999999999999">
      <c r="A46" s="329"/>
      <c r="B46" s="330"/>
      <c r="C46" s="347"/>
      <c r="D46" s="347"/>
      <c r="E46" s="572">
        <v>426</v>
      </c>
      <c r="F46" s="352" t="s">
        <v>1129</v>
      </c>
      <c r="G46" s="367" t="s">
        <v>369</v>
      </c>
    </row>
    <row r="47" spans="1:7" ht="17.399999999999999">
      <c r="A47" s="329"/>
      <c r="B47" s="330"/>
      <c r="C47" s="347"/>
      <c r="D47" s="347"/>
      <c r="E47" s="572">
        <v>7709</v>
      </c>
      <c r="F47" s="352" t="s">
        <v>1130</v>
      </c>
      <c r="G47" s="367" t="s">
        <v>369</v>
      </c>
    </row>
    <row r="48" spans="1:7" ht="17.399999999999999">
      <c r="A48" s="329"/>
      <c r="B48" s="330"/>
      <c r="C48" s="347"/>
      <c r="D48" s="347"/>
      <c r="E48" s="572">
        <v>229517</v>
      </c>
      <c r="F48" s="352" t="s">
        <v>1131</v>
      </c>
      <c r="G48" s="367" t="s">
        <v>369</v>
      </c>
    </row>
    <row r="49" spans="1:7" ht="17.399999999999999">
      <c r="A49" s="329"/>
      <c r="B49" s="330"/>
      <c r="C49" s="347"/>
      <c r="D49" s="347"/>
      <c r="E49" s="351" t="s">
        <v>113</v>
      </c>
      <c r="F49" s="352" t="s">
        <v>113</v>
      </c>
      <c r="G49" s="367" t="s">
        <v>113</v>
      </c>
    </row>
    <row r="50" spans="1:7" ht="17.399999999999999">
      <c r="A50" s="329"/>
      <c r="B50" s="330"/>
      <c r="C50" s="347"/>
      <c r="D50" s="347"/>
      <c r="E50" s="351" t="s">
        <v>113</v>
      </c>
      <c r="F50" s="352" t="s">
        <v>113</v>
      </c>
      <c r="G50" s="367"/>
    </row>
    <row r="51" spans="1:7" ht="17.399999999999999">
      <c r="A51" s="329"/>
      <c r="B51" s="330"/>
      <c r="C51" s="347"/>
      <c r="D51" s="347"/>
      <c r="E51" s="351" t="s">
        <v>113</v>
      </c>
      <c r="F51" s="352" t="s">
        <v>113</v>
      </c>
      <c r="G51" s="367" t="s">
        <v>113</v>
      </c>
    </row>
    <row r="52" spans="1:7" ht="17.399999999999999">
      <c r="A52" s="329">
        <f>+A42+1</f>
        <v>6</v>
      </c>
      <c r="B52" s="330"/>
      <c r="C52" s="347" t="s">
        <v>650</v>
      </c>
      <c r="D52" s="347"/>
      <c r="E52" s="348"/>
      <c r="F52" s="275"/>
      <c r="G52" s="367" t="s">
        <v>113</v>
      </c>
    </row>
    <row r="53" spans="1:7" ht="17.399999999999999">
      <c r="A53" s="329"/>
      <c r="B53" s="330"/>
      <c r="C53" s="347"/>
      <c r="D53" s="347"/>
      <c r="E53" s="572">
        <v>28086</v>
      </c>
      <c r="F53" s="352" t="s">
        <v>1132</v>
      </c>
      <c r="G53" s="367" t="s">
        <v>369</v>
      </c>
    </row>
    <row r="54" spans="1:7" ht="17.399999999999999">
      <c r="A54" s="329"/>
      <c r="B54" s="330"/>
      <c r="C54" s="347"/>
      <c r="D54" s="347"/>
      <c r="E54" s="572">
        <v>1004360</v>
      </c>
      <c r="F54" s="352" t="s">
        <v>1133</v>
      </c>
      <c r="G54" s="367" t="s">
        <v>369</v>
      </c>
    </row>
    <row r="55" spans="1:7" ht="17.399999999999999">
      <c r="A55" s="329">
        <f>+A52+1</f>
        <v>7</v>
      </c>
      <c r="B55" s="330"/>
      <c r="C55" s="347" t="s">
        <v>651</v>
      </c>
      <c r="D55" s="354"/>
      <c r="E55" s="355"/>
      <c r="F55" s="275"/>
      <c r="G55" s="367" t="s">
        <v>113</v>
      </c>
    </row>
    <row r="56" spans="1:7" ht="17.399999999999999">
      <c r="A56" s="329"/>
      <c r="B56" s="330"/>
      <c r="C56" s="347"/>
      <c r="D56" s="354"/>
      <c r="E56" s="572">
        <v>17319</v>
      </c>
      <c r="F56" s="352" t="s">
        <v>1134</v>
      </c>
      <c r="G56" s="367" t="s">
        <v>369</v>
      </c>
    </row>
    <row r="57" spans="1:7" ht="17.399999999999999">
      <c r="A57" s="329"/>
      <c r="B57" s="330"/>
      <c r="C57" s="347"/>
      <c r="D57" s="354"/>
      <c r="E57" s="572">
        <v>1076436</v>
      </c>
      <c r="F57" s="352" t="s">
        <v>1161</v>
      </c>
      <c r="G57" s="367" t="s">
        <v>369</v>
      </c>
    </row>
    <row r="58" spans="1:7" ht="17.399999999999999">
      <c r="A58" s="329"/>
      <c r="B58" s="330"/>
      <c r="C58" s="356"/>
      <c r="D58" s="330"/>
      <c r="E58" s="572">
        <v>889</v>
      </c>
      <c r="F58" s="352" t="s">
        <v>1135</v>
      </c>
      <c r="G58" s="367" t="s">
        <v>369</v>
      </c>
    </row>
    <row r="59" spans="1:7" ht="17.399999999999999">
      <c r="A59" s="329">
        <f>+A55+1</f>
        <v>8</v>
      </c>
      <c r="B59" s="330"/>
      <c r="C59" s="345" t="s">
        <v>98</v>
      </c>
      <c r="D59" s="330"/>
      <c r="E59" s="357"/>
      <c r="F59" s="348"/>
      <c r="G59" s="92"/>
    </row>
    <row r="60" spans="1:7" ht="17.399999999999999">
      <c r="A60" s="329">
        <f>+A59+1</f>
        <v>9</v>
      </c>
      <c r="B60" s="330"/>
      <c r="C60" s="347" t="s">
        <v>652</v>
      </c>
      <c r="D60" s="330"/>
      <c r="E60" s="348"/>
      <c r="F60" s="348"/>
      <c r="G60" s="92"/>
    </row>
    <row r="61" spans="1:7" ht="17.399999999999999">
      <c r="A61" s="329"/>
      <c r="B61" s="330"/>
      <c r="C61" s="347"/>
      <c r="D61" s="330"/>
      <c r="E61" s="572">
        <f>13025474+-4535346</f>
        <v>8490128</v>
      </c>
      <c r="F61" s="352" t="s">
        <v>95</v>
      </c>
      <c r="G61" s="367" t="s">
        <v>306</v>
      </c>
    </row>
    <row r="62" spans="1:7" ht="17.399999999999999">
      <c r="B62" s="330"/>
      <c r="D62" s="330"/>
      <c r="E62" s="348"/>
      <c r="F62" s="348"/>
      <c r="G62" s="92"/>
    </row>
    <row r="63" spans="1:7" ht="17.399999999999999">
      <c r="B63" s="88"/>
      <c r="D63" s="311" t="s">
        <v>113</v>
      </c>
      <c r="G63" s="403" t="s">
        <v>939</v>
      </c>
    </row>
    <row r="64" spans="1:7" ht="17.399999999999999">
      <c r="A64" s="709" t="s">
        <v>626</v>
      </c>
      <c r="B64" s="709"/>
      <c r="C64" s="709"/>
      <c r="D64" s="706"/>
      <c r="E64" s="706"/>
      <c r="F64" s="706"/>
      <c r="G64" s="706"/>
    </row>
    <row r="65" spans="1:7" ht="17.399999999999999">
      <c r="A65" s="710" t="s">
        <v>606</v>
      </c>
      <c r="B65" s="710"/>
      <c r="C65" s="710"/>
      <c r="D65" s="706"/>
      <c r="E65" s="706"/>
      <c r="F65" s="706"/>
      <c r="G65" s="706"/>
    </row>
    <row r="66" spans="1:7" ht="17.399999999999999">
      <c r="A66" s="705" t="s">
        <v>46</v>
      </c>
      <c r="B66" s="705"/>
      <c r="C66" s="705"/>
      <c r="D66" s="706"/>
      <c r="E66" s="706"/>
      <c r="F66" s="706"/>
      <c r="G66" s="706"/>
    </row>
    <row r="67" spans="1:7" ht="17.399999999999999">
      <c r="A67" s="707" t="s">
        <v>954</v>
      </c>
      <c r="B67" s="707"/>
      <c r="C67" s="708"/>
      <c r="D67" s="706"/>
      <c r="E67" s="706"/>
      <c r="F67" s="706"/>
      <c r="G67" s="706"/>
    </row>
    <row r="68" spans="1:7" ht="17.399999999999999">
      <c r="A68" s="404"/>
      <c r="B68" s="404"/>
      <c r="C68" s="405"/>
      <c r="D68" s="402"/>
      <c r="E68" s="402"/>
      <c r="F68" s="402"/>
      <c r="G68" s="402"/>
    </row>
    <row r="69" spans="1:7" ht="17.399999999999999">
      <c r="A69" s="329"/>
      <c r="B69" s="330"/>
      <c r="C69" s="331" t="s">
        <v>637</v>
      </c>
      <c r="D69" s="332"/>
      <c r="E69" s="333" t="s">
        <v>919</v>
      </c>
      <c r="F69" s="333" t="s">
        <v>638</v>
      </c>
      <c r="G69" s="333" t="s">
        <v>639</v>
      </c>
    </row>
    <row r="70" spans="1:7" ht="17.399999999999999">
      <c r="A70" s="334"/>
      <c r="B70" s="335"/>
      <c r="C70" s="335"/>
      <c r="D70" s="335"/>
      <c r="E70" s="268"/>
      <c r="F70" s="336"/>
    </row>
    <row r="71" spans="1:7" ht="17.399999999999999">
      <c r="A71" s="334" t="s">
        <v>129</v>
      </c>
      <c r="B71" s="335"/>
      <c r="C71" s="335"/>
      <c r="D71" s="335"/>
      <c r="E71" s="337" t="s">
        <v>640</v>
      </c>
      <c r="F71" s="338"/>
    </row>
    <row r="72" spans="1:7" ht="17.399999999999999">
      <c r="A72" s="339" t="s">
        <v>641</v>
      </c>
      <c r="B72" s="340"/>
      <c r="C72" s="339" t="s">
        <v>707</v>
      </c>
      <c r="D72" s="340"/>
      <c r="E72" s="339" t="s">
        <v>642</v>
      </c>
      <c r="F72" s="341" t="s">
        <v>643</v>
      </c>
      <c r="G72" s="341" t="s">
        <v>372</v>
      </c>
    </row>
    <row r="73" spans="1:7" ht="17.399999999999999">
      <c r="A73" s="337"/>
      <c r="B73" s="394"/>
      <c r="C73" s="337"/>
      <c r="D73" s="394"/>
      <c r="E73" s="337"/>
      <c r="F73" s="344"/>
      <c r="G73" s="368"/>
    </row>
    <row r="74" spans="1:7" ht="17.399999999999999">
      <c r="A74" s="329">
        <f>+A60+1</f>
        <v>10</v>
      </c>
      <c r="B74" s="330"/>
      <c r="C74" s="347" t="s">
        <v>534</v>
      </c>
      <c r="D74" s="330"/>
      <c r="E74" s="572">
        <f>90790+-29583</f>
        <v>61207</v>
      </c>
      <c r="F74" s="352" t="s">
        <v>653</v>
      </c>
      <c r="G74" s="367" t="s">
        <v>306</v>
      </c>
    </row>
    <row r="75" spans="1:7" ht="17.399999999999999">
      <c r="A75" s="329"/>
      <c r="B75" s="330"/>
      <c r="C75" s="347"/>
      <c r="D75" s="330"/>
      <c r="E75" s="574"/>
      <c r="F75" s="573"/>
      <c r="G75" s="367"/>
    </row>
    <row r="76" spans="1:7" ht="17.399999999999999">
      <c r="A76" s="329">
        <f>+A74+1</f>
        <v>11</v>
      </c>
      <c r="B76" s="330"/>
      <c r="C76" s="347" t="s">
        <v>535</v>
      </c>
      <c r="D76" s="330"/>
      <c r="E76" s="348"/>
      <c r="F76" s="348"/>
      <c r="G76" s="367" t="s">
        <v>113</v>
      </c>
    </row>
    <row r="77" spans="1:7" ht="17.399999999999999">
      <c r="A77" s="329" t="s">
        <v>113</v>
      </c>
      <c r="B77" s="330"/>
      <c r="C77" s="346"/>
      <c r="D77" s="330"/>
      <c r="E77" s="572">
        <v>147499</v>
      </c>
      <c r="F77" s="352" t="s">
        <v>1136</v>
      </c>
      <c r="G77" s="367" t="s">
        <v>306</v>
      </c>
    </row>
    <row r="78" spans="1:7" ht="17.399999999999999">
      <c r="A78" s="329"/>
      <c r="B78" s="330"/>
      <c r="C78" s="346"/>
      <c r="D78" s="330"/>
      <c r="E78" s="572">
        <v>4012</v>
      </c>
      <c r="F78" s="352" t="s">
        <v>1137</v>
      </c>
      <c r="G78" s="367" t="s">
        <v>306</v>
      </c>
    </row>
    <row r="79" spans="1:7" ht="17.399999999999999">
      <c r="A79" s="329"/>
      <c r="B79" s="330"/>
      <c r="C79" s="346"/>
      <c r="D79" s="330"/>
      <c r="E79" s="572">
        <v>65744</v>
      </c>
      <c r="F79" s="352" t="s">
        <v>1138</v>
      </c>
      <c r="G79" s="367" t="s">
        <v>306</v>
      </c>
    </row>
    <row r="80" spans="1:7" ht="17.399999999999999">
      <c r="A80" s="329"/>
      <c r="B80" s="330"/>
      <c r="C80" s="346"/>
      <c r="D80" s="330"/>
      <c r="E80" s="572">
        <v>11</v>
      </c>
      <c r="F80" s="352" t="s">
        <v>1139</v>
      </c>
      <c r="G80" s="367" t="s">
        <v>306</v>
      </c>
    </row>
    <row r="81" spans="1:7" ht="17.399999999999999">
      <c r="A81" s="329">
        <f>A76+1</f>
        <v>12</v>
      </c>
      <c r="B81" s="330"/>
      <c r="C81" s="345" t="s">
        <v>99</v>
      </c>
      <c r="D81" s="330"/>
      <c r="E81" s="572">
        <v>369</v>
      </c>
      <c r="F81" s="352" t="s">
        <v>1140</v>
      </c>
      <c r="G81" s="367" t="s">
        <v>306</v>
      </c>
    </row>
    <row r="82" spans="1:7" ht="17.399999999999999">
      <c r="A82" s="329">
        <f>A81+1</f>
        <v>13</v>
      </c>
      <c r="B82" s="330"/>
      <c r="C82" s="348" t="s">
        <v>654</v>
      </c>
      <c r="D82" s="354"/>
      <c r="E82" s="275"/>
      <c r="F82" s="573"/>
      <c r="G82" s="92"/>
    </row>
    <row r="83" spans="1:7" ht="17.399999999999999">
      <c r="A83" s="329"/>
      <c r="B83" s="330"/>
      <c r="C83" s="346"/>
      <c r="D83" s="330"/>
      <c r="E83" s="351">
        <v>0</v>
      </c>
      <c r="F83" s="348"/>
      <c r="G83" s="92"/>
    </row>
    <row r="84" spans="1:7" ht="17.399999999999999">
      <c r="A84" s="358">
        <f>A82+1</f>
        <v>14</v>
      </c>
      <c r="B84" s="359"/>
      <c r="C84" s="345" t="s">
        <v>100</v>
      </c>
      <c r="D84" s="360"/>
      <c r="E84" s="350"/>
      <c r="F84" s="348"/>
      <c r="G84" s="92"/>
    </row>
    <row r="85" spans="1:7" ht="17.399999999999999">
      <c r="A85" s="358">
        <f>A84+1</f>
        <v>15</v>
      </c>
      <c r="B85" s="359"/>
      <c r="C85" s="346" t="s">
        <v>655</v>
      </c>
      <c r="D85" s="360"/>
      <c r="E85" s="348"/>
      <c r="F85" s="348"/>
      <c r="G85" s="92"/>
    </row>
    <row r="86" spans="1:7" ht="17.399999999999999">
      <c r="A86" s="358"/>
      <c r="B86" s="359"/>
      <c r="C86" s="346"/>
      <c r="D86" s="360"/>
      <c r="E86" s="572">
        <v>-223987</v>
      </c>
      <c r="F86" s="352" t="s">
        <v>994</v>
      </c>
      <c r="G86" s="367" t="s">
        <v>105</v>
      </c>
    </row>
    <row r="87" spans="1:7" ht="17.399999999999999">
      <c r="A87" s="358"/>
      <c r="B87" s="359"/>
      <c r="C87" s="346"/>
      <c r="D87" s="360"/>
      <c r="E87" s="572">
        <v>22947754</v>
      </c>
      <c r="F87" s="352" t="s">
        <v>656</v>
      </c>
      <c r="G87" s="367" t="s">
        <v>105</v>
      </c>
    </row>
    <row r="88" spans="1:7" ht="17.399999999999999">
      <c r="A88" s="358"/>
      <c r="B88" s="359"/>
      <c r="C88" s="346"/>
      <c r="D88" s="360"/>
      <c r="E88" s="351" t="s">
        <v>113</v>
      </c>
      <c r="F88" s="352" t="s">
        <v>113</v>
      </c>
      <c r="G88" s="367" t="s">
        <v>113</v>
      </c>
    </row>
    <row r="89" spans="1:7" ht="17.399999999999999">
      <c r="A89" s="329">
        <f>A85+1</f>
        <v>16</v>
      </c>
      <c r="B89" s="330"/>
      <c r="C89" s="346" t="s">
        <v>536</v>
      </c>
      <c r="D89" s="330"/>
      <c r="E89" s="348"/>
      <c r="F89" s="348"/>
      <c r="G89" s="92"/>
    </row>
    <row r="90" spans="1:7" ht="17.399999999999999">
      <c r="A90" s="329"/>
      <c r="B90" s="330"/>
      <c r="C90" s="346"/>
      <c r="D90" s="330"/>
      <c r="E90" s="575">
        <v>2236765</v>
      </c>
      <c r="F90" s="352" t="s">
        <v>995</v>
      </c>
      <c r="G90" s="367" t="s">
        <v>109</v>
      </c>
    </row>
    <row r="91" spans="1:7" ht="17.399999999999999">
      <c r="A91" s="329"/>
      <c r="B91" s="330"/>
      <c r="C91" s="346"/>
      <c r="D91" s="330"/>
      <c r="E91" s="575">
        <v>3499703</v>
      </c>
      <c r="F91" s="352" t="s">
        <v>657</v>
      </c>
      <c r="G91" s="367" t="s">
        <v>109</v>
      </c>
    </row>
    <row r="92" spans="1:7" ht="17.399999999999999">
      <c r="A92" s="329">
        <f>+A89+1</f>
        <v>17</v>
      </c>
      <c r="B92" s="330"/>
      <c r="C92" s="346" t="s">
        <v>537</v>
      </c>
      <c r="D92"/>
      <c r="E92" s="348"/>
      <c r="F92" s="348"/>
      <c r="G92" s="92"/>
    </row>
    <row r="93" spans="1:7" ht="17.399999999999999">
      <c r="A93" s="329"/>
      <c r="B93" s="330"/>
      <c r="C93" s="346"/>
      <c r="D93"/>
      <c r="E93" s="575">
        <v>46216</v>
      </c>
      <c r="F93" s="352" t="s">
        <v>996</v>
      </c>
      <c r="G93" s="367" t="s">
        <v>109</v>
      </c>
    </row>
    <row r="94" spans="1:7" ht="17.399999999999999">
      <c r="A94" s="329"/>
      <c r="B94" s="330"/>
      <c r="C94" s="346"/>
      <c r="D94"/>
      <c r="E94" s="575">
        <v>-3608</v>
      </c>
      <c r="F94" s="352" t="s">
        <v>1141</v>
      </c>
      <c r="G94" s="367" t="s">
        <v>109</v>
      </c>
    </row>
    <row r="95" spans="1:7" ht="17.399999999999999">
      <c r="A95" s="329"/>
      <c r="B95" s="330"/>
      <c r="C95" s="346"/>
      <c r="D95"/>
      <c r="E95" s="575">
        <v>924003</v>
      </c>
      <c r="F95" s="352" t="s">
        <v>1142</v>
      </c>
      <c r="G95" s="367" t="s">
        <v>109</v>
      </c>
    </row>
    <row r="96" spans="1:7" ht="17.399999999999999">
      <c r="A96" s="329"/>
      <c r="B96" s="330"/>
      <c r="C96" s="346"/>
      <c r="D96"/>
      <c r="E96" s="575">
        <v>11280000</v>
      </c>
      <c r="F96" s="352" t="s">
        <v>997</v>
      </c>
      <c r="G96" s="367" t="s">
        <v>109</v>
      </c>
    </row>
    <row r="97" spans="1:7" ht="17.399999999999999">
      <c r="A97" s="329"/>
      <c r="B97" s="330"/>
      <c r="C97" s="346"/>
      <c r="D97"/>
      <c r="E97" s="575">
        <v>60</v>
      </c>
      <c r="F97" s="352" t="s">
        <v>1143</v>
      </c>
      <c r="G97" s="367" t="s">
        <v>109</v>
      </c>
    </row>
    <row r="98" spans="1:7" ht="17.399999999999999">
      <c r="A98" s="329"/>
      <c r="B98" s="330"/>
      <c r="C98" s="346"/>
      <c r="D98"/>
      <c r="E98" s="572">
        <v>60</v>
      </c>
      <c r="F98" s="352" t="s">
        <v>1144</v>
      </c>
      <c r="G98" s="367" t="s">
        <v>109</v>
      </c>
    </row>
    <row r="99" spans="1:7" ht="17.399999999999999">
      <c r="A99" s="329"/>
      <c r="B99" s="330"/>
      <c r="C99" s="346"/>
      <c r="D99"/>
      <c r="E99" s="361">
        <v>195071</v>
      </c>
      <c r="F99" s="352" t="s">
        <v>1163</v>
      </c>
      <c r="G99" s="367" t="s">
        <v>109</v>
      </c>
    </row>
    <row r="100" spans="1:7" ht="17.399999999999999">
      <c r="A100" s="329"/>
      <c r="B100" s="330"/>
      <c r="C100" s="346"/>
      <c r="D100"/>
      <c r="E100" s="361">
        <v>170000</v>
      </c>
      <c r="F100" s="352" t="s">
        <v>1162</v>
      </c>
      <c r="G100" s="367" t="s">
        <v>109</v>
      </c>
    </row>
    <row r="101" spans="1:7" ht="17.399999999999999">
      <c r="A101" s="329"/>
      <c r="B101" s="330"/>
      <c r="C101" s="346"/>
      <c r="D101"/>
      <c r="E101" s="361" t="s">
        <v>113</v>
      </c>
      <c r="F101" s="352" t="s">
        <v>113</v>
      </c>
      <c r="G101" s="367" t="s">
        <v>113</v>
      </c>
    </row>
    <row r="102" spans="1:7" ht="17.399999999999999">
      <c r="A102" s="329"/>
      <c r="B102" s="330"/>
      <c r="C102" s="346"/>
      <c r="D102"/>
      <c r="E102" s="361" t="s">
        <v>113</v>
      </c>
      <c r="F102" s="352" t="s">
        <v>113</v>
      </c>
      <c r="G102" s="367" t="s">
        <v>113</v>
      </c>
    </row>
    <row r="103" spans="1:7" ht="17.399999999999999">
      <c r="A103" s="329">
        <f>+A92+1</f>
        <v>18</v>
      </c>
      <c r="B103" s="330"/>
      <c r="C103" s="346" t="s">
        <v>538</v>
      </c>
      <c r="D103"/>
      <c r="E103" s="348"/>
      <c r="F103" s="348"/>
      <c r="G103" s="367" t="s">
        <v>113</v>
      </c>
    </row>
    <row r="104" spans="1:7" ht="17.399999999999999">
      <c r="A104" s="329"/>
      <c r="B104" s="330"/>
      <c r="C104" s="346"/>
      <c r="D104"/>
      <c r="E104" s="575">
        <v>25</v>
      </c>
      <c r="F104" s="352" t="s">
        <v>1145</v>
      </c>
      <c r="G104" s="367" t="s">
        <v>109</v>
      </c>
    </row>
    <row r="105" spans="1:7" ht="17.399999999999999">
      <c r="A105" s="329"/>
      <c r="B105" s="330"/>
      <c r="C105" s="346"/>
      <c r="D105"/>
      <c r="E105" s="575">
        <v>1700</v>
      </c>
      <c r="F105" s="352" t="s">
        <v>1146</v>
      </c>
      <c r="G105" s="367" t="s">
        <v>109</v>
      </c>
    </row>
    <row r="106" spans="1:7" ht="17.399999999999999">
      <c r="A106" s="329"/>
      <c r="B106" s="330"/>
      <c r="C106" s="346"/>
      <c r="D106"/>
      <c r="E106" s="575">
        <v>-600</v>
      </c>
      <c r="F106" s="352" t="s">
        <v>1175</v>
      </c>
      <c r="G106" s="367" t="s">
        <v>109</v>
      </c>
    </row>
    <row r="107" spans="1:7" ht="17.399999999999999">
      <c r="A107" s="329"/>
      <c r="B107" s="330"/>
      <c r="C107" s="346"/>
      <c r="D107"/>
      <c r="E107" s="575">
        <v>22</v>
      </c>
      <c r="F107" s="352" t="s">
        <v>1147</v>
      </c>
      <c r="G107" s="367" t="s">
        <v>109</v>
      </c>
    </row>
    <row r="108" spans="1:7" ht="17.399999999999999">
      <c r="A108" s="329">
        <f>+A103+1</f>
        <v>19</v>
      </c>
      <c r="B108" s="330"/>
      <c r="C108" s="346" t="s">
        <v>658</v>
      </c>
      <c r="D108" s="330"/>
      <c r="E108" s="348"/>
      <c r="F108" s="348"/>
      <c r="G108" s="367" t="s">
        <v>113</v>
      </c>
    </row>
    <row r="109" spans="1:7" ht="17.399999999999999">
      <c r="A109" s="329"/>
      <c r="B109" s="330"/>
      <c r="C109" s="346"/>
      <c r="D109" s="330"/>
      <c r="E109" s="575">
        <v>626</v>
      </c>
      <c r="F109" s="352" t="s">
        <v>1148</v>
      </c>
      <c r="G109" s="367" t="s">
        <v>109</v>
      </c>
    </row>
    <row r="110" spans="1:7" ht="17.399999999999999">
      <c r="A110" s="329"/>
      <c r="B110" s="330"/>
      <c r="C110" s="346"/>
      <c r="D110" s="330"/>
      <c r="E110" s="575">
        <v>122</v>
      </c>
      <c r="F110" s="352" t="s">
        <v>1149</v>
      </c>
      <c r="G110" s="367" t="s">
        <v>109</v>
      </c>
    </row>
    <row r="111" spans="1:7" ht="17.399999999999999">
      <c r="A111" s="329"/>
      <c r="B111" s="330"/>
      <c r="C111" s="346"/>
      <c r="D111" s="330"/>
      <c r="E111" s="361">
        <v>0</v>
      </c>
      <c r="F111" s="352" t="s">
        <v>113</v>
      </c>
      <c r="G111" s="367" t="s">
        <v>113</v>
      </c>
    </row>
    <row r="112" spans="1:7" ht="17.399999999999999">
      <c r="A112" s="329">
        <f>+A108+1</f>
        <v>20</v>
      </c>
      <c r="B112" s="330"/>
      <c r="C112" s="346" t="s">
        <v>539</v>
      </c>
      <c r="D112" s="330"/>
      <c r="E112" s="348"/>
      <c r="F112" s="348"/>
      <c r="G112" s="367" t="s">
        <v>113</v>
      </c>
    </row>
    <row r="113" spans="1:7" ht="17.399999999999999">
      <c r="A113" s="329"/>
      <c r="B113" s="330"/>
      <c r="C113" s="346"/>
      <c r="D113" s="330"/>
      <c r="E113" s="575">
        <v>-46</v>
      </c>
      <c r="F113" s="352" t="s">
        <v>1150</v>
      </c>
      <c r="G113" s="367" t="s">
        <v>109</v>
      </c>
    </row>
    <row r="114" spans="1:7" ht="17.399999999999999">
      <c r="A114" s="329"/>
      <c r="B114" s="330"/>
      <c r="C114" s="346"/>
      <c r="D114" s="330"/>
      <c r="E114" s="361" t="s">
        <v>113</v>
      </c>
      <c r="F114" s="352" t="s">
        <v>113</v>
      </c>
      <c r="G114" s="367" t="s">
        <v>113</v>
      </c>
    </row>
    <row r="115" spans="1:7" ht="17.399999999999999">
      <c r="A115" s="329"/>
      <c r="B115" s="330"/>
      <c r="C115" s="346"/>
      <c r="D115" s="330"/>
      <c r="E115" s="361" t="s">
        <v>113</v>
      </c>
      <c r="F115" s="352" t="s">
        <v>113</v>
      </c>
      <c r="G115" s="367" t="s">
        <v>113</v>
      </c>
    </row>
    <row r="116" spans="1:7" ht="17.399999999999999">
      <c r="A116" s="329"/>
      <c r="B116" s="330"/>
      <c r="C116" s="346"/>
      <c r="D116" s="330"/>
      <c r="E116" s="361" t="s">
        <v>113</v>
      </c>
      <c r="F116" s="352" t="s">
        <v>113</v>
      </c>
      <c r="G116" s="367" t="s">
        <v>113</v>
      </c>
    </row>
    <row r="117" spans="1:7" ht="17.399999999999999">
      <c r="A117" s="329"/>
      <c r="B117" s="330"/>
      <c r="C117" s="346"/>
      <c r="D117" s="330"/>
      <c r="E117" s="361" t="s">
        <v>113</v>
      </c>
      <c r="F117" s="352" t="s">
        <v>113</v>
      </c>
      <c r="G117" s="367" t="s">
        <v>113</v>
      </c>
    </row>
    <row r="118" spans="1:7" ht="17.399999999999999">
      <c r="A118" s="329"/>
      <c r="B118" s="330"/>
      <c r="C118" s="346"/>
      <c r="D118" s="330"/>
      <c r="E118" s="361" t="s">
        <v>113</v>
      </c>
      <c r="F118" s="352" t="s">
        <v>113</v>
      </c>
      <c r="G118" s="367"/>
    </row>
    <row r="119" spans="1:7" ht="17.399999999999999">
      <c r="A119" s="329">
        <f>+A112+1</f>
        <v>21</v>
      </c>
      <c r="B119" s="346"/>
      <c r="C119" s="346" t="s">
        <v>540</v>
      </c>
      <c r="D119" s="346"/>
      <c r="E119" s="362"/>
      <c r="F119" s="348"/>
      <c r="G119" s="367" t="s">
        <v>113</v>
      </c>
    </row>
    <row r="120" spans="1:7" ht="17.399999999999999">
      <c r="A120" s="329"/>
      <c r="B120" s="346"/>
      <c r="C120" s="346"/>
      <c r="D120" s="346"/>
      <c r="E120" s="575">
        <v>5630</v>
      </c>
      <c r="F120" s="352" t="s">
        <v>1151</v>
      </c>
      <c r="G120" s="367" t="s">
        <v>105</v>
      </c>
    </row>
    <row r="121" spans="1:7" ht="17.399999999999999">
      <c r="A121" s="329"/>
      <c r="B121" s="346"/>
      <c r="C121" s="346"/>
      <c r="D121" s="346"/>
      <c r="E121" s="575">
        <v>15090</v>
      </c>
      <c r="F121" s="352" t="s">
        <v>94</v>
      </c>
      <c r="G121" s="367" t="s">
        <v>105</v>
      </c>
    </row>
    <row r="122" spans="1:7" ht="17.399999999999999">
      <c r="A122" s="329">
        <f>+A119+1</f>
        <v>22</v>
      </c>
      <c r="B122" s="346"/>
      <c r="C122" s="363" t="s">
        <v>659</v>
      </c>
      <c r="D122" s="348"/>
      <c r="E122" s="275"/>
      <c r="F122" s="348"/>
      <c r="G122" s="92"/>
    </row>
    <row r="123" spans="1:7" ht="17.399999999999999">
      <c r="A123" s="329"/>
      <c r="B123" s="346"/>
      <c r="C123" s="364"/>
      <c r="D123" s="348"/>
      <c r="E123" s="351">
        <v>0</v>
      </c>
      <c r="F123" s="352"/>
      <c r="G123" s="92"/>
    </row>
    <row r="124" spans="1:7" ht="16.2">
      <c r="A124" s="365"/>
      <c r="B124" s="263"/>
      <c r="C124" s="263"/>
      <c r="D124"/>
      <c r="E124" s="362"/>
      <c r="F124" s="348"/>
    </row>
    <row r="125" spans="1:7" ht="18" thickBot="1">
      <c r="A125" s="358">
        <f>+A122+1</f>
        <v>23</v>
      </c>
      <c r="B125" s="263"/>
      <c r="C125" s="346" t="s">
        <v>660</v>
      </c>
      <c r="D125"/>
      <c r="E125" s="366">
        <f>SUM(E26:E123)</f>
        <v>123718236</v>
      </c>
      <c r="F125" s="348"/>
    </row>
    <row r="126" spans="1:7" ht="16.8" thickTop="1">
      <c r="A126" s="365"/>
      <c r="B126" s="263"/>
      <c r="C126" s="346" t="s">
        <v>661</v>
      </c>
      <c r="D126"/>
      <c r="E126" s="353"/>
      <c r="F126" s="353"/>
    </row>
  </sheetData>
  <mergeCells count="8">
    <mergeCell ref="A66:G66"/>
    <mergeCell ref="A67:G67"/>
    <mergeCell ref="A2:G2"/>
    <mergeCell ref="A3:G3"/>
    <mergeCell ref="A4:G4"/>
    <mergeCell ref="A5:G5"/>
    <mergeCell ref="A64:G64"/>
    <mergeCell ref="A65:G65"/>
  </mergeCells>
  <phoneticPr fontId="2" type="noConversion"/>
  <pageMargins left="0.5" right="0.5" top="0.5" bottom="0.5" header="0.5" footer="0.25"/>
  <pageSetup scale="65" fitToHeight="2" orientation="portrait" r:id="rId1"/>
  <headerFooter alignWithMargins="0">
    <oddFooter>&amp;C&amp;A</oddFooter>
  </headerFooter>
  <rowBreaks count="1" manualBreakCount="1">
    <brk id="62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2D050"/>
  </sheetPr>
  <dimension ref="A1:F41"/>
  <sheetViews>
    <sheetView showGridLines="0" view="pageBreakPreview" zoomScale="60" zoomScaleNormal="100" workbookViewId="0">
      <selection activeCell="E37" sqref="E37"/>
    </sheetView>
  </sheetViews>
  <sheetFormatPr defaultColWidth="9.109375" defaultRowHeight="13.2"/>
  <cols>
    <col min="1" max="1" width="31.88671875" style="7" customWidth="1"/>
    <col min="2" max="2" width="23.33203125" style="7" customWidth="1"/>
    <col min="3" max="3" width="16.6640625" style="183" customWidth="1"/>
    <col min="4" max="4" width="18.88671875" style="7" customWidth="1"/>
    <col min="5" max="5" width="21.33203125" style="7" customWidth="1"/>
    <col min="6" max="6" width="7.33203125" style="7" customWidth="1"/>
    <col min="7" max="16384" width="9.109375" style="7"/>
  </cols>
  <sheetData>
    <row r="1" spans="1:6">
      <c r="F1" s="206" t="s">
        <v>113</v>
      </c>
    </row>
    <row r="2" spans="1:6">
      <c r="A2" s="711" t="s">
        <v>626</v>
      </c>
      <c r="B2" s="711"/>
      <c r="C2" s="711"/>
      <c r="D2" s="711"/>
      <c r="E2" s="711"/>
      <c r="F2" s="206" t="s">
        <v>113</v>
      </c>
    </row>
    <row r="3" spans="1:6">
      <c r="A3" s="672" t="s">
        <v>606</v>
      </c>
      <c r="B3" s="662"/>
      <c r="C3" s="662"/>
      <c r="D3" s="662"/>
      <c r="E3" s="662"/>
    </row>
    <row r="4" spans="1:6">
      <c r="A4" s="711" t="s">
        <v>47</v>
      </c>
      <c r="B4" s="711"/>
      <c r="C4" s="711"/>
      <c r="D4" s="711"/>
      <c r="E4" s="711"/>
    </row>
    <row r="5" spans="1:6">
      <c r="A5" s="697" t="s">
        <v>1117</v>
      </c>
      <c r="B5" s="673">
        <v>0</v>
      </c>
      <c r="C5" s="673">
        <v>0</v>
      </c>
      <c r="D5" s="673">
        <v>0</v>
      </c>
      <c r="E5" s="673">
        <v>0</v>
      </c>
    </row>
    <row r="6" spans="1:6">
      <c r="C6" s="184"/>
      <c r="D6" s="10"/>
    </row>
    <row r="7" spans="1:6">
      <c r="C7" s="184"/>
      <c r="D7" s="10"/>
    </row>
    <row r="8" spans="1:6" ht="15.6">
      <c r="C8" s="233" t="s">
        <v>663</v>
      </c>
      <c r="D8" s="234" t="s">
        <v>429</v>
      </c>
      <c r="E8" s="140" t="s">
        <v>103</v>
      </c>
    </row>
    <row r="9" spans="1:6">
      <c r="A9" s="8" t="s">
        <v>211</v>
      </c>
      <c r="C9" s="7"/>
    </row>
    <row r="10" spans="1:6">
      <c r="A10" s="8" t="s">
        <v>212</v>
      </c>
      <c r="C10" s="41">
        <f>30302611+825102+474000+-1845</f>
        <v>31599868</v>
      </c>
      <c r="D10" s="41">
        <f>10013924+1762160+318459+6491422</f>
        <v>18585965</v>
      </c>
      <c r="E10" s="10">
        <f>SUM(C10:D10)</f>
        <v>50185833</v>
      </c>
    </row>
    <row r="11" spans="1:6">
      <c r="A11" s="8" t="s">
        <v>213</v>
      </c>
      <c r="C11" s="85">
        <f>26709177+2370124+151595</f>
        <v>29230896</v>
      </c>
      <c r="D11" s="85">
        <f>5381110+630187+11104</f>
        <v>6022401</v>
      </c>
      <c r="E11" s="185">
        <f>SUM(C11:D11)</f>
        <v>35253297</v>
      </c>
      <c r="F11" s="35"/>
    </row>
    <row r="12" spans="1:6">
      <c r="A12" s="8" t="s">
        <v>115</v>
      </c>
      <c r="C12" s="10">
        <f>C10+C11</f>
        <v>60830764</v>
      </c>
      <c r="D12" s="10">
        <f>D10+D11</f>
        <v>24608366</v>
      </c>
      <c r="E12" s="10">
        <f>E10+E11</f>
        <v>85439130</v>
      </c>
    </row>
    <row r="13" spans="1:6">
      <c r="A13" s="7" t="s">
        <v>113</v>
      </c>
      <c r="B13" s="35" t="s">
        <v>113</v>
      </c>
      <c r="C13" s="10"/>
      <c r="D13" s="10"/>
      <c r="E13" s="10"/>
    </row>
    <row r="14" spans="1:6">
      <c r="A14" s="8" t="s">
        <v>214</v>
      </c>
      <c r="C14" s="10"/>
      <c r="D14" s="10"/>
      <c r="E14" s="10"/>
    </row>
    <row r="15" spans="1:6">
      <c r="A15" s="8" t="s">
        <v>215</v>
      </c>
      <c r="C15" s="41">
        <v>88043</v>
      </c>
      <c r="D15" s="41">
        <v>8148648</v>
      </c>
      <c r="E15" s="10">
        <f>SUM(C15:D15)</f>
        <v>8236691</v>
      </c>
    </row>
    <row r="16" spans="1:6">
      <c r="A16" s="8" t="s">
        <v>213</v>
      </c>
      <c r="C16" s="85">
        <v>401924</v>
      </c>
      <c r="D16" s="85">
        <v>4031143</v>
      </c>
      <c r="E16" s="185">
        <f>SUM(C16:D16)</f>
        <v>4433067</v>
      </c>
    </row>
    <row r="17" spans="1:5">
      <c r="A17" s="8" t="s">
        <v>115</v>
      </c>
      <c r="C17" s="10">
        <f>C16+C15</f>
        <v>489967</v>
      </c>
      <c r="D17" s="10">
        <f>D16+D15</f>
        <v>12179791</v>
      </c>
      <c r="E17" s="10">
        <f>E16+E15</f>
        <v>12669758</v>
      </c>
    </row>
    <row r="18" spans="1:5">
      <c r="C18" s="10"/>
      <c r="D18" s="10"/>
      <c r="E18" s="10"/>
    </row>
    <row r="19" spans="1:5">
      <c r="A19" s="8" t="s">
        <v>216</v>
      </c>
      <c r="C19" s="10"/>
      <c r="D19" s="10"/>
      <c r="E19" s="10"/>
    </row>
    <row r="20" spans="1:5">
      <c r="A20" s="8" t="s">
        <v>215</v>
      </c>
      <c r="C20" s="41">
        <v>8615386</v>
      </c>
      <c r="D20" s="41">
        <v>3232916</v>
      </c>
      <c r="E20" s="10">
        <f>SUM(C20:D20)</f>
        <v>11848302</v>
      </c>
    </row>
    <row r="21" spans="1:5">
      <c r="A21" s="8" t="s">
        <v>213</v>
      </c>
      <c r="C21" s="85">
        <v>23053799</v>
      </c>
      <c r="D21" s="85">
        <v>1117485</v>
      </c>
      <c r="E21" s="185">
        <f>SUM(C21:D21)</f>
        <v>24171284</v>
      </c>
    </row>
    <row r="22" spans="1:5">
      <c r="A22" s="8" t="s">
        <v>115</v>
      </c>
      <c r="C22" s="10">
        <f>C21+C20</f>
        <v>31669185</v>
      </c>
      <c r="D22" s="10">
        <f>D21+D20</f>
        <v>4350401</v>
      </c>
      <c r="E22" s="10">
        <f>E21+E20</f>
        <v>36019586</v>
      </c>
    </row>
    <row r="23" spans="1:5">
      <c r="C23" s="10"/>
      <c r="D23" s="10"/>
      <c r="E23" s="10"/>
    </row>
    <row r="24" spans="1:5">
      <c r="A24" s="8" t="s">
        <v>137</v>
      </c>
      <c r="C24" s="41">
        <v>8026199</v>
      </c>
      <c r="D24" s="41">
        <v>9220122</v>
      </c>
      <c r="E24" s="10">
        <f>SUM(C24:D24)</f>
        <v>17246321</v>
      </c>
    </row>
    <row r="25" spans="1:5">
      <c r="C25" s="10"/>
      <c r="D25" s="10" t="s">
        <v>113</v>
      </c>
      <c r="E25" s="10"/>
    </row>
    <row r="26" spans="1:5">
      <c r="A26" s="8" t="s">
        <v>217</v>
      </c>
      <c r="C26" s="41">
        <v>2357636</v>
      </c>
      <c r="D26" s="41">
        <v>275010</v>
      </c>
      <c r="E26" s="10">
        <f>SUM(C26:D26)</f>
        <v>2632646</v>
      </c>
    </row>
    <row r="27" spans="1:5">
      <c r="C27" s="10"/>
      <c r="D27" s="10"/>
      <c r="E27" s="10"/>
    </row>
    <row r="28" spans="1:5">
      <c r="A28" s="8" t="s">
        <v>138</v>
      </c>
      <c r="C28" s="41">
        <v>0</v>
      </c>
      <c r="D28" s="41">
        <v>0</v>
      </c>
      <c r="E28" s="10">
        <f>SUM(C28:D28)</f>
        <v>0</v>
      </c>
    </row>
    <row r="29" spans="1:5">
      <c r="A29" s="8"/>
      <c r="C29" s="10"/>
      <c r="D29" s="10"/>
      <c r="E29" s="10"/>
    </row>
    <row r="30" spans="1:5">
      <c r="A30" s="186" t="s">
        <v>218</v>
      </c>
      <c r="B30" s="101"/>
      <c r="C30" s="86">
        <f>C12+C17+C22+C24+C26+C28</f>
        <v>103373751</v>
      </c>
      <c r="D30" s="86">
        <f>D12+D17+D22+D24+D26+D28</f>
        <v>50633690</v>
      </c>
      <c r="E30" s="86">
        <f>E12+E17+E22+E24+E26+E28</f>
        <v>154007441</v>
      </c>
    </row>
    <row r="31" spans="1:5">
      <c r="C31" s="10"/>
      <c r="D31" s="10"/>
      <c r="E31" s="10"/>
    </row>
    <row r="32" spans="1:5">
      <c r="A32" s="8" t="s">
        <v>139</v>
      </c>
      <c r="C32" s="10"/>
      <c r="D32" s="10"/>
      <c r="E32" s="10"/>
    </row>
    <row r="33" spans="1:5">
      <c r="A33" s="8" t="s">
        <v>215</v>
      </c>
      <c r="C33" s="41">
        <v>3558217</v>
      </c>
      <c r="D33" s="41">
        <v>28952682</v>
      </c>
      <c r="E33" s="10">
        <f>SUM(C33:D33)</f>
        <v>32510899</v>
      </c>
    </row>
    <row r="34" spans="1:5">
      <c r="A34" s="8" t="s">
        <v>213</v>
      </c>
      <c r="C34" s="85">
        <v>2634017</v>
      </c>
      <c r="D34" s="85">
        <v>360837</v>
      </c>
      <c r="E34" s="185">
        <f>SUM(C34:D34)</f>
        <v>2994854</v>
      </c>
    </row>
    <row r="35" spans="1:5">
      <c r="A35" s="8" t="s">
        <v>115</v>
      </c>
      <c r="C35" s="10">
        <f>C34+C33</f>
        <v>6192234</v>
      </c>
      <c r="D35" s="10">
        <f>D34+D33</f>
        <v>29313519</v>
      </c>
      <c r="E35" s="10">
        <f>E34+E33</f>
        <v>35505753</v>
      </c>
    </row>
    <row r="36" spans="1:5">
      <c r="C36" s="10"/>
      <c r="D36" s="10"/>
      <c r="E36" s="10"/>
    </row>
    <row r="37" spans="1:5">
      <c r="A37" s="8" t="s">
        <v>219</v>
      </c>
      <c r="C37" s="10">
        <f>C30+C35</f>
        <v>109565985</v>
      </c>
      <c r="D37" s="10">
        <f>D30+D35</f>
        <v>79947209</v>
      </c>
      <c r="E37" s="10">
        <f>E30+E35</f>
        <v>189513194</v>
      </c>
    </row>
    <row r="38" spans="1:5">
      <c r="A38" s="8"/>
      <c r="C38" s="10"/>
      <c r="D38" s="187"/>
      <c r="E38" s="35"/>
    </row>
    <row r="39" spans="1:5">
      <c r="A39" s="8"/>
      <c r="C39" s="10"/>
      <c r="D39" s="187"/>
      <c r="E39" s="35"/>
    </row>
    <row r="40" spans="1:5" ht="13.8">
      <c r="A40" s="235" t="s">
        <v>710</v>
      </c>
      <c r="B40" s="245"/>
      <c r="C40" s="246"/>
      <c r="D40" s="10"/>
    </row>
    <row r="41" spans="1:5" ht="13.8">
      <c r="A41" s="235" t="s">
        <v>430</v>
      </c>
      <c r="B41" s="232"/>
      <c r="C41" s="247"/>
    </row>
  </sheetData>
  <mergeCells count="4">
    <mergeCell ref="A2:E2"/>
    <mergeCell ref="A4:E4"/>
    <mergeCell ref="A5:E5"/>
    <mergeCell ref="A3:E3"/>
  </mergeCells>
  <phoneticPr fontId="2" type="noConversion"/>
  <pageMargins left="0.5" right="0.5" top="0.5" bottom="0.5" header="0.5" footer="0.25"/>
  <pageSetup scale="74" orientation="portrait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92D050"/>
  </sheetPr>
  <dimension ref="B1:I62"/>
  <sheetViews>
    <sheetView showGridLines="0" view="pageBreakPreview" zoomScaleNormal="100" zoomScaleSheetLayoutView="100" workbookViewId="0">
      <selection activeCell="D50" sqref="D50"/>
    </sheetView>
  </sheetViews>
  <sheetFormatPr defaultColWidth="9.109375" defaultRowHeight="13.2"/>
  <cols>
    <col min="1" max="2" width="9.109375" style="1"/>
    <col min="3" max="3" width="37.6640625" style="1" customWidth="1"/>
    <col min="4" max="6" width="13.33203125" style="98" bestFit="1" customWidth="1"/>
    <col min="7" max="7" width="7.88671875" style="1" bestFit="1" customWidth="1"/>
    <col min="8" max="8" width="10.109375" style="1" bestFit="1" customWidth="1"/>
    <col min="9" max="9" width="12.33203125" style="1" customWidth="1"/>
    <col min="10" max="16384" width="9.109375" style="1"/>
  </cols>
  <sheetData>
    <row r="1" spans="2:9">
      <c r="G1" s="297" t="s">
        <v>113</v>
      </c>
    </row>
    <row r="2" spans="2:9">
      <c r="G2" s="297" t="s">
        <v>113</v>
      </c>
    </row>
    <row r="3" spans="2:9">
      <c r="C3" s="661" t="s">
        <v>626</v>
      </c>
      <c r="D3" s="661"/>
      <c r="E3" s="661"/>
      <c r="F3" s="661"/>
    </row>
    <row r="4" spans="2:9">
      <c r="C4" s="661" t="s">
        <v>606</v>
      </c>
      <c r="D4" s="661"/>
      <c r="E4" s="661"/>
      <c r="F4" s="661"/>
    </row>
    <row r="5" spans="2:9">
      <c r="C5" s="661" t="s">
        <v>48</v>
      </c>
      <c r="D5" s="661"/>
      <c r="E5" s="661"/>
      <c r="F5" s="661"/>
    </row>
    <row r="6" spans="2:9">
      <c r="C6" s="661" t="s">
        <v>1117</v>
      </c>
      <c r="D6" s="661"/>
      <c r="E6" s="661"/>
      <c r="F6" s="661"/>
      <c r="G6" s="661"/>
      <c r="H6" s="661"/>
      <c r="I6" s="661"/>
    </row>
    <row r="9" spans="2:9" ht="15.6">
      <c r="B9" s="149" t="s">
        <v>117</v>
      </c>
      <c r="D9" s="180" t="s">
        <v>894</v>
      </c>
      <c r="E9" s="180" t="s">
        <v>895</v>
      </c>
      <c r="F9" s="180" t="s">
        <v>103</v>
      </c>
      <c r="G9" s="399" t="s">
        <v>923</v>
      </c>
    </row>
    <row r="10" spans="2:9">
      <c r="B10" s="553">
        <v>500</v>
      </c>
      <c r="C10" s="554" t="s">
        <v>896</v>
      </c>
      <c r="D10" s="454">
        <v>12674239</v>
      </c>
      <c r="E10" s="454"/>
      <c r="F10" s="555">
        <f>SUM(D10:E10)</f>
        <v>12674239</v>
      </c>
      <c r="G10" s="107" t="s">
        <v>278</v>
      </c>
      <c r="I10" s="6"/>
    </row>
    <row r="11" spans="2:9">
      <c r="B11" s="553">
        <v>501</v>
      </c>
      <c r="C11" s="554" t="s">
        <v>112</v>
      </c>
      <c r="D11" s="454"/>
      <c r="E11" s="454">
        <v>2760140</v>
      </c>
      <c r="F11" s="555">
        <f t="shared" ref="F11:F49" si="0">SUM(D11:E11)</f>
        <v>2760140</v>
      </c>
      <c r="I11" s="13"/>
    </row>
    <row r="12" spans="2:9">
      <c r="B12" s="553">
        <v>502</v>
      </c>
      <c r="C12" s="554" t="s">
        <v>897</v>
      </c>
      <c r="D12" s="454">
        <v>12104309</v>
      </c>
      <c r="E12" s="454"/>
      <c r="F12" s="555">
        <f t="shared" si="0"/>
        <v>12104309</v>
      </c>
      <c r="I12" s="13"/>
    </row>
    <row r="13" spans="2:9">
      <c r="B13" s="553">
        <v>505</v>
      </c>
      <c r="C13" s="554" t="s">
        <v>898</v>
      </c>
      <c r="D13" s="454">
        <v>615713</v>
      </c>
      <c r="E13" s="454"/>
      <c r="F13" s="555">
        <f t="shared" si="0"/>
        <v>615713</v>
      </c>
      <c r="I13" s="13"/>
    </row>
    <row r="14" spans="2:9">
      <c r="B14" s="553">
        <v>506</v>
      </c>
      <c r="C14" s="554" t="s">
        <v>146</v>
      </c>
      <c r="D14" s="454">
        <v>12162134</v>
      </c>
      <c r="E14" s="454"/>
      <c r="F14" s="555">
        <f t="shared" si="0"/>
        <v>12162134</v>
      </c>
      <c r="I14" s="13"/>
    </row>
    <row r="15" spans="2:9">
      <c r="B15" s="553">
        <v>510</v>
      </c>
      <c r="C15" s="554" t="s">
        <v>152</v>
      </c>
      <c r="D15" s="454"/>
      <c r="E15" s="454">
        <v>3810136</v>
      </c>
      <c r="F15" s="555">
        <f t="shared" si="0"/>
        <v>3810136</v>
      </c>
      <c r="I15" s="13"/>
    </row>
    <row r="16" spans="2:9">
      <c r="B16" s="553">
        <v>511</v>
      </c>
      <c r="C16" s="554" t="s">
        <v>153</v>
      </c>
      <c r="D16" s="454">
        <v>1803039</v>
      </c>
      <c r="E16" s="454"/>
      <c r="F16" s="555">
        <f t="shared" si="0"/>
        <v>1803039</v>
      </c>
      <c r="I16" s="13"/>
    </row>
    <row r="17" spans="2:9">
      <c r="B17" s="553">
        <v>512</v>
      </c>
      <c r="C17" s="554" t="s">
        <v>154</v>
      </c>
      <c r="D17" s="454"/>
      <c r="E17" s="454">
        <v>13456322</v>
      </c>
      <c r="F17" s="555">
        <f t="shared" si="0"/>
        <v>13456322</v>
      </c>
      <c r="I17" s="13"/>
    </row>
    <row r="18" spans="2:9">
      <c r="B18" s="553">
        <v>513</v>
      </c>
      <c r="C18" s="554" t="s">
        <v>155</v>
      </c>
      <c r="D18" s="454"/>
      <c r="E18" s="454">
        <v>4964631</v>
      </c>
      <c r="F18" s="555">
        <f t="shared" si="0"/>
        <v>4964631</v>
      </c>
      <c r="I18" s="13"/>
    </row>
    <row r="19" spans="2:9">
      <c r="B19" s="553">
        <v>514</v>
      </c>
      <c r="C19" s="554" t="s">
        <v>156</v>
      </c>
      <c r="D19" s="454">
        <v>8056159</v>
      </c>
      <c r="E19" s="556"/>
      <c r="F19" s="555">
        <f t="shared" si="0"/>
        <v>8056159</v>
      </c>
      <c r="I19" s="13"/>
    </row>
    <row r="20" spans="2:9">
      <c r="B20" s="553">
        <v>517</v>
      </c>
      <c r="C20" s="554" t="s">
        <v>143</v>
      </c>
      <c r="D20" s="454">
        <v>0</v>
      </c>
      <c r="E20" s="556"/>
      <c r="F20" s="555">
        <f t="shared" si="0"/>
        <v>0</v>
      </c>
      <c r="I20" s="13"/>
    </row>
    <row r="21" spans="2:9">
      <c r="B21" s="553">
        <v>519</v>
      </c>
      <c r="C21" s="554" t="s">
        <v>579</v>
      </c>
      <c r="D21" s="454">
        <v>0</v>
      </c>
      <c r="E21" s="556"/>
      <c r="F21" s="555">
        <f t="shared" si="0"/>
        <v>0</v>
      </c>
      <c r="I21" s="13"/>
    </row>
    <row r="22" spans="2:9">
      <c r="B22" s="553">
        <v>520</v>
      </c>
      <c r="C22" s="554" t="s">
        <v>144</v>
      </c>
      <c r="D22" s="454">
        <v>0</v>
      </c>
      <c r="E22" s="556"/>
      <c r="F22" s="555">
        <f t="shared" si="0"/>
        <v>0</v>
      </c>
      <c r="I22" s="13"/>
    </row>
    <row r="23" spans="2:9">
      <c r="B23" s="553">
        <v>523</v>
      </c>
      <c r="C23" s="554" t="s">
        <v>145</v>
      </c>
      <c r="D23" s="454">
        <v>0</v>
      </c>
      <c r="E23" s="556"/>
      <c r="F23" s="555">
        <f t="shared" si="0"/>
        <v>0</v>
      </c>
      <c r="I23" s="13"/>
    </row>
    <row r="24" spans="2:9">
      <c r="B24" s="553">
        <v>524</v>
      </c>
      <c r="C24" s="554" t="s">
        <v>899</v>
      </c>
      <c r="D24" s="454">
        <v>0</v>
      </c>
      <c r="E24" s="556"/>
      <c r="F24" s="555">
        <f t="shared" si="0"/>
        <v>0</v>
      </c>
      <c r="I24" s="13"/>
    </row>
    <row r="25" spans="2:9">
      <c r="B25" s="553">
        <v>528</v>
      </c>
      <c r="C25" s="554" t="s">
        <v>152</v>
      </c>
      <c r="D25" s="454"/>
      <c r="E25" s="557">
        <v>0</v>
      </c>
      <c r="F25" s="555">
        <f t="shared" si="0"/>
        <v>0</v>
      </c>
      <c r="I25" s="13"/>
    </row>
    <row r="26" spans="2:9">
      <c r="B26" s="553">
        <v>529</v>
      </c>
      <c r="C26" s="554" t="s">
        <v>153</v>
      </c>
      <c r="D26" s="454">
        <v>0</v>
      </c>
      <c r="E26" s="557"/>
      <c r="F26" s="555">
        <f t="shared" si="0"/>
        <v>0</v>
      </c>
      <c r="I26" s="13"/>
    </row>
    <row r="27" spans="2:9">
      <c r="B27" s="553">
        <v>530</v>
      </c>
      <c r="C27" s="554" t="s">
        <v>577</v>
      </c>
      <c r="D27" s="454"/>
      <c r="E27" s="557">
        <v>0</v>
      </c>
      <c r="F27" s="555">
        <f t="shared" si="0"/>
        <v>0</v>
      </c>
      <c r="I27" s="13"/>
    </row>
    <row r="28" spans="2:9">
      <c r="B28" s="553">
        <v>531</v>
      </c>
      <c r="C28" s="455" t="s">
        <v>155</v>
      </c>
      <c r="D28" s="454"/>
      <c r="E28" s="557">
        <v>0</v>
      </c>
      <c r="F28" s="555">
        <f t="shared" si="0"/>
        <v>0</v>
      </c>
      <c r="I28" s="13"/>
    </row>
    <row r="29" spans="2:9">
      <c r="B29" s="553">
        <v>532</v>
      </c>
      <c r="C29" s="554" t="s">
        <v>900</v>
      </c>
      <c r="D29" s="454" t="s">
        <v>113</v>
      </c>
      <c r="E29" s="557">
        <v>0</v>
      </c>
      <c r="F29" s="555">
        <f t="shared" si="0"/>
        <v>0</v>
      </c>
      <c r="I29" s="13"/>
    </row>
    <row r="30" spans="2:9">
      <c r="B30" s="553">
        <v>535</v>
      </c>
      <c r="C30" s="554" t="s">
        <v>143</v>
      </c>
      <c r="D30" s="454">
        <v>944351</v>
      </c>
      <c r="E30" s="556"/>
      <c r="F30" s="555">
        <f t="shared" si="0"/>
        <v>944351</v>
      </c>
      <c r="I30" s="13"/>
    </row>
    <row r="31" spans="2:9">
      <c r="B31" s="553">
        <v>536</v>
      </c>
      <c r="C31" s="554" t="s">
        <v>504</v>
      </c>
      <c r="D31" s="454">
        <v>558</v>
      </c>
      <c r="E31" s="556"/>
      <c r="F31" s="555">
        <f t="shared" si="0"/>
        <v>558</v>
      </c>
      <c r="I31" s="13"/>
    </row>
    <row r="32" spans="2:9">
      <c r="B32" s="553">
        <v>537</v>
      </c>
      <c r="C32" s="554" t="s">
        <v>505</v>
      </c>
      <c r="D32" s="454">
        <v>204254</v>
      </c>
      <c r="E32" s="556"/>
      <c r="F32" s="555">
        <f t="shared" si="0"/>
        <v>204254</v>
      </c>
      <c r="I32" s="13"/>
    </row>
    <row r="33" spans="2:9">
      <c r="B33" s="553">
        <v>538</v>
      </c>
      <c r="C33" s="554" t="s">
        <v>145</v>
      </c>
      <c r="D33" s="454">
        <v>2102</v>
      </c>
      <c r="E33" s="556"/>
      <c r="F33" s="555">
        <f>SUM(D33:E33)</f>
        <v>2102</v>
      </c>
      <c r="I33" s="13"/>
    </row>
    <row r="34" spans="2:9">
      <c r="B34" s="553">
        <v>539</v>
      </c>
      <c r="C34" s="554" t="s">
        <v>506</v>
      </c>
      <c r="D34" s="454">
        <v>1434233</v>
      </c>
      <c r="E34" s="556"/>
      <c r="F34" s="555">
        <f t="shared" si="0"/>
        <v>1434233</v>
      </c>
      <c r="I34" s="13"/>
    </row>
    <row r="35" spans="2:9" s="552" customFormat="1">
      <c r="B35" s="553">
        <v>540</v>
      </c>
      <c r="C35" s="554" t="s">
        <v>147</v>
      </c>
      <c r="D35" s="454">
        <v>1764</v>
      </c>
      <c r="E35" s="556"/>
      <c r="F35" s="555">
        <f t="shared" ref="F35" si="1">SUM(D35:E35)</f>
        <v>1764</v>
      </c>
      <c r="I35" s="13"/>
    </row>
    <row r="36" spans="2:9">
      <c r="B36" s="553">
        <v>541</v>
      </c>
      <c r="C36" s="554" t="s">
        <v>152</v>
      </c>
      <c r="D36" s="454">
        <v>150453</v>
      </c>
      <c r="E36" s="556"/>
      <c r="F36" s="555">
        <f t="shared" si="0"/>
        <v>150453</v>
      </c>
      <c r="I36" s="13"/>
    </row>
    <row r="37" spans="2:9">
      <c r="B37" s="553">
        <v>542</v>
      </c>
      <c r="C37" s="554" t="s">
        <v>153</v>
      </c>
      <c r="D37" s="454">
        <v>745339</v>
      </c>
      <c r="E37" s="556"/>
      <c r="F37" s="555">
        <f t="shared" si="0"/>
        <v>745339</v>
      </c>
      <c r="I37" s="13"/>
    </row>
    <row r="38" spans="2:9">
      <c r="B38" s="553">
        <v>543</v>
      </c>
      <c r="C38" s="554" t="s">
        <v>901</v>
      </c>
      <c r="D38" s="454">
        <v>665109</v>
      </c>
      <c r="E38" s="556"/>
      <c r="F38" s="555">
        <f t="shared" si="0"/>
        <v>665109</v>
      </c>
      <c r="I38" s="13"/>
    </row>
    <row r="39" spans="2:9">
      <c r="B39" s="553">
        <v>544</v>
      </c>
      <c r="C39" s="554" t="s">
        <v>155</v>
      </c>
      <c r="D39" s="454"/>
      <c r="E39" s="558">
        <v>1385602</v>
      </c>
      <c r="F39" s="555">
        <f t="shared" si="0"/>
        <v>1385602</v>
      </c>
      <c r="I39" s="13"/>
    </row>
    <row r="40" spans="2:9">
      <c r="B40" s="553">
        <v>545</v>
      </c>
      <c r="C40" s="554" t="s">
        <v>902</v>
      </c>
      <c r="D40" s="454">
        <v>53808</v>
      </c>
      <c r="E40" s="558"/>
      <c r="F40" s="555">
        <f t="shared" si="0"/>
        <v>53808</v>
      </c>
      <c r="I40" s="13"/>
    </row>
    <row r="41" spans="2:9">
      <c r="B41" s="553">
        <v>546</v>
      </c>
      <c r="C41" s="554" t="s">
        <v>143</v>
      </c>
      <c r="D41" s="454">
        <v>401575</v>
      </c>
      <c r="E41" s="558"/>
      <c r="F41" s="555">
        <f t="shared" si="0"/>
        <v>401575</v>
      </c>
      <c r="I41" s="13"/>
    </row>
    <row r="42" spans="2:9">
      <c r="B42" s="553">
        <v>547</v>
      </c>
      <c r="C42" s="554" t="s">
        <v>112</v>
      </c>
      <c r="D42" s="454"/>
      <c r="E42" s="558">
        <v>66328</v>
      </c>
      <c r="F42" s="555">
        <f t="shared" si="0"/>
        <v>66328</v>
      </c>
      <c r="I42" s="13"/>
    </row>
    <row r="43" spans="2:9">
      <c r="B43" s="553">
        <v>548</v>
      </c>
      <c r="C43" s="554" t="s">
        <v>149</v>
      </c>
      <c r="D43" s="454">
        <v>301465</v>
      </c>
      <c r="E43" s="558"/>
      <c r="F43" s="555">
        <f t="shared" si="0"/>
        <v>301465</v>
      </c>
      <c r="I43" s="13"/>
    </row>
    <row r="44" spans="2:9">
      <c r="B44" s="553">
        <v>549</v>
      </c>
      <c r="C44" s="554" t="s">
        <v>903</v>
      </c>
      <c r="D44" s="454">
        <v>23091</v>
      </c>
      <c r="E44" s="558"/>
      <c r="F44" s="555">
        <f t="shared" si="0"/>
        <v>23091</v>
      </c>
      <c r="I44" s="13"/>
    </row>
    <row r="45" spans="2:9">
      <c r="B45" s="553">
        <v>553</v>
      </c>
      <c r="C45" s="455" t="s">
        <v>222</v>
      </c>
      <c r="D45" s="454">
        <v>162699</v>
      </c>
      <c r="E45" s="556"/>
      <c r="F45" s="555">
        <f t="shared" si="0"/>
        <v>162699</v>
      </c>
      <c r="I45" s="13"/>
    </row>
    <row r="46" spans="2:9">
      <c r="B46" s="553">
        <v>554</v>
      </c>
      <c r="C46" s="554" t="s">
        <v>904</v>
      </c>
      <c r="D46" s="454">
        <v>0</v>
      </c>
      <c r="E46" s="556"/>
      <c r="F46" s="555">
        <f t="shared" si="0"/>
        <v>0</v>
      </c>
      <c r="I46" s="13"/>
    </row>
    <row r="47" spans="2:9">
      <c r="B47" s="553">
        <v>555</v>
      </c>
      <c r="C47" s="554" t="s">
        <v>208</v>
      </c>
      <c r="D47" s="453">
        <f>+F47*'WP-14'!G64</f>
        <v>0</v>
      </c>
      <c r="E47" s="559">
        <f>+F47-D47</f>
        <v>0</v>
      </c>
      <c r="F47" s="560">
        <v>0</v>
      </c>
      <c r="I47" s="13"/>
    </row>
    <row r="48" spans="2:9">
      <c r="B48" s="553">
        <v>556</v>
      </c>
      <c r="C48" s="554" t="s">
        <v>158</v>
      </c>
      <c r="D48" s="454">
        <v>1485188</v>
      </c>
      <c r="E48" s="454"/>
      <c r="F48" s="555">
        <f t="shared" si="0"/>
        <v>1485188</v>
      </c>
      <c r="I48" s="181"/>
    </row>
    <row r="49" spans="2:9">
      <c r="B49" s="553">
        <v>557</v>
      </c>
      <c r="C49" s="554" t="s">
        <v>224</v>
      </c>
      <c r="D49" s="460">
        <v>5004389</v>
      </c>
      <c r="E49" s="460"/>
      <c r="F49" s="561">
        <f t="shared" si="0"/>
        <v>5004389</v>
      </c>
      <c r="I49" s="181"/>
    </row>
    <row r="50" spans="2:9">
      <c r="B50" s="182" t="s">
        <v>893</v>
      </c>
      <c r="D50" s="6">
        <f>SUM(D10:D49)</f>
        <v>58995971</v>
      </c>
      <c r="E50" s="6">
        <f>SUM(E10:E49)</f>
        <v>26443159</v>
      </c>
      <c r="F50" s="6">
        <f>SUM(F10:F49)</f>
        <v>85439130</v>
      </c>
      <c r="G50" s="181"/>
    </row>
    <row r="51" spans="2:9">
      <c r="F51" s="98" t="s">
        <v>113</v>
      </c>
      <c r="G51" s="181" t="s">
        <v>113</v>
      </c>
    </row>
    <row r="52" spans="2:9">
      <c r="C52" s="107" t="s">
        <v>140</v>
      </c>
      <c r="D52" s="99">
        <f>ROUND(D50/$F$50,10)</f>
        <v>0.69050294639999998</v>
      </c>
      <c r="E52" s="99">
        <f>ROUND(E50/$F$50,10)</f>
        <v>0.30949705360000002</v>
      </c>
      <c r="F52" s="99">
        <f>ROUND(F50/$F$50,10)</f>
        <v>1</v>
      </c>
    </row>
    <row r="53" spans="2:9">
      <c r="D53" s="99" t="s">
        <v>113</v>
      </c>
      <c r="E53" s="99" t="s">
        <v>113</v>
      </c>
    </row>
    <row r="54" spans="2:9" ht="13.8">
      <c r="C54" s="269" t="s">
        <v>113</v>
      </c>
      <c r="F54" s="6"/>
    </row>
    <row r="55" spans="2:9" ht="15.6">
      <c r="B55" s="195" t="s">
        <v>527</v>
      </c>
      <c r="F55" s="6"/>
    </row>
    <row r="56" spans="2:9">
      <c r="B56" s="210" t="s">
        <v>528</v>
      </c>
      <c r="D56" s="1"/>
    </row>
    <row r="57" spans="2:9">
      <c r="D57" s="1"/>
    </row>
    <row r="58" spans="2:9">
      <c r="D58" s="1"/>
    </row>
    <row r="59" spans="2:9">
      <c r="D59" s="1"/>
    </row>
    <row r="60" spans="2:9">
      <c r="D60" s="1"/>
    </row>
    <row r="61" spans="2:9">
      <c r="D61" s="1"/>
    </row>
    <row r="62" spans="2:9">
      <c r="D62" s="1"/>
    </row>
  </sheetData>
  <mergeCells count="5">
    <mergeCell ref="C3:F3"/>
    <mergeCell ref="C4:F4"/>
    <mergeCell ref="C5:F5"/>
    <mergeCell ref="C6:F6"/>
    <mergeCell ref="G6:I6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rgb="FF92D050"/>
  </sheetPr>
  <dimension ref="A1:I206"/>
  <sheetViews>
    <sheetView showGridLines="0" view="pageBreakPreview" topLeftCell="A178" zoomScale="88" zoomScaleNormal="100" zoomScaleSheetLayoutView="88" workbookViewId="0">
      <selection activeCell="F201" sqref="F201"/>
    </sheetView>
  </sheetViews>
  <sheetFormatPr defaultColWidth="9.109375" defaultRowHeight="13.2"/>
  <cols>
    <col min="1" max="1" width="9.109375" style="7"/>
    <col min="2" max="2" width="40.33203125" style="7" customWidth="1"/>
    <col min="3" max="3" width="10" style="7" customWidth="1"/>
    <col min="4" max="4" width="17.88671875" style="7" customWidth="1"/>
    <col min="5" max="5" width="11.33203125" style="7" customWidth="1"/>
    <col min="6" max="6" width="10.44140625" style="7" bestFit="1" customWidth="1"/>
    <col min="7" max="8" width="12.6640625" style="7" customWidth="1"/>
    <col min="9" max="16384" width="9.109375" style="7"/>
  </cols>
  <sheetData>
    <row r="1" spans="1:7">
      <c r="E1" s="206" t="s">
        <v>113</v>
      </c>
      <c r="F1" s="206" t="s">
        <v>113</v>
      </c>
      <c r="G1" s="7" t="s">
        <v>933</v>
      </c>
    </row>
    <row r="2" spans="1:7">
      <c r="A2" s="714" t="s">
        <v>626</v>
      </c>
      <c r="B2" s="662"/>
      <c r="C2" s="662"/>
      <c r="D2" s="662"/>
      <c r="E2" s="662"/>
      <c r="F2" s="662"/>
      <c r="G2" s="662"/>
    </row>
    <row r="3" spans="1:7">
      <c r="A3" s="661" t="s">
        <v>606</v>
      </c>
      <c r="B3" s="661"/>
      <c r="C3" s="661"/>
      <c r="D3" s="661"/>
      <c r="E3" s="662"/>
      <c r="F3" s="662"/>
      <c r="G3" s="662"/>
    </row>
    <row r="4" spans="1:7">
      <c r="A4" s="714" t="s">
        <v>49</v>
      </c>
      <c r="B4" s="662"/>
      <c r="C4" s="662"/>
      <c r="D4" s="662"/>
      <c r="E4" s="662"/>
      <c r="F4" s="662"/>
      <c r="G4" s="662"/>
    </row>
    <row r="5" spans="1:7">
      <c r="A5" s="715" t="s">
        <v>1117</v>
      </c>
      <c r="B5" s="662"/>
      <c r="C5" s="662"/>
      <c r="D5" s="662"/>
      <c r="E5" s="662"/>
      <c r="F5" s="662"/>
      <c r="G5" s="662"/>
    </row>
    <row r="6" spans="1:7">
      <c r="A6" s="176" t="s">
        <v>113</v>
      </c>
      <c r="B6" s="74"/>
      <c r="C6" s="74"/>
      <c r="D6" s="74"/>
    </row>
    <row r="7" spans="1:7">
      <c r="A7" s="177" t="s">
        <v>105</v>
      </c>
      <c r="B7" s="13"/>
      <c r="C7" s="13"/>
      <c r="D7" s="13"/>
    </row>
    <row r="8" spans="1:7">
      <c r="B8" s="22" t="s">
        <v>117</v>
      </c>
      <c r="C8" s="13"/>
      <c r="D8" s="392" t="s">
        <v>296</v>
      </c>
      <c r="F8" s="140" t="s">
        <v>359</v>
      </c>
    </row>
    <row r="9" spans="1:7">
      <c r="A9" s="452">
        <v>500</v>
      </c>
      <c r="B9" s="453" t="s">
        <v>143</v>
      </c>
      <c r="C9" s="453"/>
      <c r="D9" s="454">
        <v>18801537.760000002</v>
      </c>
      <c r="E9" s="455"/>
      <c r="F9" s="455" t="s">
        <v>906</v>
      </c>
      <c r="G9" s="455"/>
    </row>
    <row r="10" spans="1:7">
      <c r="A10" s="452">
        <v>501</v>
      </c>
      <c r="B10" s="453" t="s">
        <v>112</v>
      </c>
      <c r="C10" s="453"/>
      <c r="D10" s="454">
        <v>639778892.19000006</v>
      </c>
      <c r="E10" s="455"/>
      <c r="F10" s="455" t="s">
        <v>907</v>
      </c>
      <c r="G10" s="455"/>
    </row>
    <row r="11" spans="1:7">
      <c r="A11" s="452">
        <v>502</v>
      </c>
      <c r="B11" s="453" t="s">
        <v>144</v>
      </c>
      <c r="C11" s="453"/>
      <c r="D11" s="454">
        <v>48333670.189999998</v>
      </c>
      <c r="E11" s="455"/>
      <c r="F11" s="455" t="s">
        <v>766</v>
      </c>
      <c r="G11" s="455"/>
    </row>
    <row r="12" spans="1:7">
      <c r="A12" s="452">
        <v>505</v>
      </c>
      <c r="B12" s="453" t="s">
        <v>145</v>
      </c>
      <c r="C12" s="453"/>
      <c r="D12" s="454">
        <v>879046.6</v>
      </c>
      <c r="E12" s="455"/>
      <c r="F12" s="455" t="s">
        <v>767</v>
      </c>
      <c r="G12" s="455"/>
    </row>
    <row r="13" spans="1:7">
      <c r="A13" s="452">
        <v>506</v>
      </c>
      <c r="B13" s="453" t="s">
        <v>146</v>
      </c>
      <c r="C13" s="453"/>
      <c r="D13" s="454">
        <v>32379328.100000001</v>
      </c>
      <c r="E13" s="455"/>
      <c r="F13" s="455" t="s">
        <v>768</v>
      </c>
      <c r="G13" s="455"/>
    </row>
    <row r="14" spans="1:7">
      <c r="A14" s="452">
        <v>507</v>
      </c>
      <c r="B14" s="453" t="s">
        <v>147</v>
      </c>
      <c r="C14" s="453"/>
      <c r="D14" s="454">
        <v>9904.6200000000008</v>
      </c>
      <c r="E14" s="455"/>
      <c r="F14" s="455" t="s">
        <v>769</v>
      </c>
      <c r="G14" s="455"/>
    </row>
    <row r="15" spans="1:7">
      <c r="A15" s="456">
        <v>509</v>
      </c>
      <c r="B15" s="453" t="s">
        <v>148</v>
      </c>
      <c r="C15" s="453"/>
      <c r="D15" s="454">
        <v>569863.06999999995</v>
      </c>
      <c r="E15" s="455"/>
      <c r="F15" s="455" t="s">
        <v>770</v>
      </c>
      <c r="G15" s="455"/>
    </row>
    <row r="16" spans="1:7">
      <c r="A16" s="456">
        <v>517</v>
      </c>
      <c r="B16" s="453" t="s">
        <v>143</v>
      </c>
      <c r="C16" s="453"/>
      <c r="D16" s="454">
        <v>0</v>
      </c>
      <c r="E16" s="455"/>
      <c r="F16" s="455" t="s">
        <v>771</v>
      </c>
      <c r="G16" s="455"/>
    </row>
    <row r="17" spans="1:7">
      <c r="A17" s="456">
        <v>518</v>
      </c>
      <c r="B17" s="453" t="s">
        <v>112</v>
      </c>
      <c r="C17" s="453"/>
      <c r="D17" s="454">
        <v>0</v>
      </c>
      <c r="E17" s="455"/>
      <c r="F17" s="455" t="s">
        <v>908</v>
      </c>
      <c r="G17" s="455"/>
    </row>
    <row r="18" spans="1:7">
      <c r="A18" s="456">
        <v>519</v>
      </c>
      <c r="B18" s="453" t="s">
        <v>579</v>
      </c>
      <c r="C18" s="453"/>
      <c r="D18" s="454">
        <v>0</v>
      </c>
      <c r="E18" s="455"/>
      <c r="F18" s="455" t="s">
        <v>772</v>
      </c>
      <c r="G18" s="455"/>
    </row>
    <row r="19" spans="1:7">
      <c r="A19" s="456">
        <v>520</v>
      </c>
      <c r="B19" s="453" t="s">
        <v>144</v>
      </c>
      <c r="C19" s="453"/>
      <c r="D19" s="454">
        <v>0</v>
      </c>
      <c r="E19" s="455"/>
      <c r="F19" s="455" t="s">
        <v>773</v>
      </c>
      <c r="G19" s="455"/>
    </row>
    <row r="20" spans="1:7">
      <c r="A20" s="456">
        <v>523</v>
      </c>
      <c r="B20" s="453" t="s">
        <v>145</v>
      </c>
      <c r="C20" s="453"/>
      <c r="D20" s="454">
        <v>0</v>
      </c>
      <c r="E20" s="455"/>
      <c r="F20" s="455" t="s">
        <v>774</v>
      </c>
      <c r="G20" s="455"/>
    </row>
    <row r="21" spans="1:7">
      <c r="A21" s="456">
        <v>524</v>
      </c>
      <c r="B21" s="453" t="s">
        <v>580</v>
      </c>
      <c r="C21" s="453"/>
      <c r="D21" s="454">
        <v>0</v>
      </c>
      <c r="E21" s="455"/>
      <c r="F21" s="455" t="s">
        <v>775</v>
      </c>
      <c r="G21" s="455"/>
    </row>
    <row r="22" spans="1:7">
      <c r="A22" s="456">
        <v>535</v>
      </c>
      <c r="B22" s="453" t="s">
        <v>143</v>
      </c>
      <c r="C22" s="453"/>
      <c r="D22" s="454">
        <v>1508045.99</v>
      </c>
      <c r="E22" s="455"/>
      <c r="F22" s="455" t="s">
        <v>776</v>
      </c>
      <c r="G22" s="455"/>
    </row>
    <row r="23" spans="1:7">
      <c r="A23" s="456">
        <v>536</v>
      </c>
      <c r="B23" s="453" t="s">
        <v>504</v>
      </c>
      <c r="C23" s="453"/>
      <c r="D23" s="454">
        <v>31360.26</v>
      </c>
      <c r="E23" s="455"/>
      <c r="F23" s="455" t="s">
        <v>777</v>
      </c>
      <c r="G23" s="455"/>
    </row>
    <row r="24" spans="1:7">
      <c r="A24" s="456">
        <v>537</v>
      </c>
      <c r="B24" s="453" t="s">
        <v>505</v>
      </c>
      <c r="C24" s="453"/>
      <c r="D24" s="454">
        <v>383442.08</v>
      </c>
      <c r="E24" s="455"/>
      <c r="F24" s="455" t="s">
        <v>778</v>
      </c>
      <c r="G24" s="455"/>
    </row>
    <row r="25" spans="1:7">
      <c r="A25" s="456">
        <v>538</v>
      </c>
      <c r="B25" s="453" t="s">
        <v>145</v>
      </c>
      <c r="C25" s="453"/>
      <c r="D25" s="454">
        <v>6863.12</v>
      </c>
      <c r="E25" s="455"/>
      <c r="F25" s="455" t="s">
        <v>779</v>
      </c>
      <c r="G25" s="455"/>
    </row>
    <row r="26" spans="1:7">
      <c r="A26" s="456">
        <v>539</v>
      </c>
      <c r="B26" s="453" t="s">
        <v>506</v>
      </c>
      <c r="C26" s="453"/>
      <c r="D26" s="454">
        <v>2888351.91</v>
      </c>
      <c r="E26" s="455"/>
      <c r="F26" s="455" t="s">
        <v>780</v>
      </c>
      <c r="G26" s="455"/>
    </row>
    <row r="27" spans="1:7">
      <c r="A27" s="456">
        <v>540</v>
      </c>
      <c r="B27" s="453" t="s">
        <v>147</v>
      </c>
      <c r="C27" s="453"/>
      <c r="D27" s="454">
        <v>350336.28</v>
      </c>
      <c r="E27" s="455"/>
      <c r="F27" s="455" t="s">
        <v>909</v>
      </c>
      <c r="G27" s="455"/>
    </row>
    <row r="28" spans="1:7">
      <c r="A28" s="457">
        <v>546</v>
      </c>
      <c r="B28" s="453" t="s">
        <v>143</v>
      </c>
      <c r="C28" s="453"/>
      <c r="D28" s="454">
        <v>245832.55</v>
      </c>
      <c r="E28" s="455"/>
      <c r="F28" s="455" t="s">
        <v>781</v>
      </c>
      <c r="G28" s="455"/>
    </row>
    <row r="29" spans="1:7">
      <c r="A29" s="457">
        <v>547</v>
      </c>
      <c r="B29" s="453" t="s">
        <v>112</v>
      </c>
      <c r="C29" s="453"/>
      <c r="D29" s="454">
        <v>3870682.26</v>
      </c>
      <c r="E29" s="455"/>
      <c r="F29" s="455" t="s">
        <v>782</v>
      </c>
      <c r="G29" s="455"/>
    </row>
    <row r="30" spans="1:7">
      <c r="A30" s="458" t="s">
        <v>220</v>
      </c>
      <c r="B30" s="459" t="s">
        <v>149</v>
      </c>
      <c r="C30" s="453"/>
      <c r="D30" s="454">
        <v>359395.89</v>
      </c>
      <c r="E30" s="455"/>
      <c r="F30" s="455" t="s">
        <v>783</v>
      </c>
      <c r="G30" s="455"/>
    </row>
    <row r="31" spans="1:7">
      <c r="A31" s="458" t="s">
        <v>221</v>
      </c>
      <c r="B31" s="459" t="s">
        <v>150</v>
      </c>
      <c r="C31" s="453"/>
      <c r="D31" s="460">
        <v>55591.23</v>
      </c>
      <c r="E31" s="455"/>
      <c r="F31" s="455" t="s">
        <v>784</v>
      </c>
      <c r="G31" s="455"/>
    </row>
    <row r="32" spans="1:7">
      <c r="A32" s="452"/>
      <c r="B32" s="453" t="s">
        <v>151</v>
      </c>
      <c r="C32" s="453"/>
      <c r="D32" s="461">
        <f>SUM(D9:D31)</f>
        <v>750452144.10000014</v>
      </c>
      <c r="E32" s="453" t="s">
        <v>113</v>
      </c>
      <c r="F32" s="455" t="s">
        <v>113</v>
      </c>
      <c r="G32" s="455"/>
    </row>
    <row r="33" spans="1:9">
      <c r="A33" s="452"/>
      <c r="B33" s="453"/>
      <c r="C33" s="453"/>
      <c r="D33" s="453"/>
      <c r="E33" s="455"/>
      <c r="F33" s="455"/>
      <c r="G33" s="455"/>
    </row>
    <row r="34" spans="1:9">
      <c r="A34" s="452">
        <v>510</v>
      </c>
      <c r="B34" s="459" t="s">
        <v>152</v>
      </c>
      <c r="C34" s="453"/>
      <c r="D34" s="454">
        <v>4527509.72</v>
      </c>
      <c r="E34" s="455"/>
      <c r="F34" s="455" t="s">
        <v>785</v>
      </c>
      <c r="G34" s="455"/>
    </row>
    <row r="35" spans="1:9">
      <c r="A35" s="452">
        <v>511</v>
      </c>
      <c r="B35" s="453" t="s">
        <v>153</v>
      </c>
      <c r="C35" s="453"/>
      <c r="D35" s="454">
        <v>7948357.3399999999</v>
      </c>
      <c r="E35" s="455"/>
      <c r="F35" s="455" t="s">
        <v>786</v>
      </c>
      <c r="G35" s="455"/>
      <c r="H35" s="13"/>
      <c r="I35" s="178"/>
    </row>
    <row r="36" spans="1:9">
      <c r="A36" s="452">
        <v>512</v>
      </c>
      <c r="B36" s="453" t="s">
        <v>154</v>
      </c>
      <c r="C36" s="453"/>
      <c r="D36" s="454">
        <v>64361295.240000002</v>
      </c>
      <c r="E36" s="455"/>
      <c r="F36" s="455" t="s">
        <v>787</v>
      </c>
      <c r="G36" s="455"/>
      <c r="H36" s="13"/>
      <c r="I36" s="178"/>
    </row>
    <row r="37" spans="1:9">
      <c r="A37" s="452">
        <v>513</v>
      </c>
      <c r="B37" s="453" t="s">
        <v>155</v>
      </c>
      <c r="C37" s="453"/>
      <c r="D37" s="454">
        <v>17674620.539999999</v>
      </c>
      <c r="E37" s="455"/>
      <c r="F37" s="455" t="s">
        <v>788</v>
      </c>
      <c r="G37" s="455"/>
      <c r="H37" s="13"/>
      <c r="I37" s="178"/>
    </row>
    <row r="38" spans="1:9">
      <c r="A38" s="452">
        <v>514</v>
      </c>
      <c r="B38" s="453" t="s">
        <v>156</v>
      </c>
      <c r="C38" s="453"/>
      <c r="D38" s="454">
        <v>13965263.93</v>
      </c>
      <c r="E38" s="455"/>
      <c r="F38" s="455" t="s">
        <v>789</v>
      </c>
      <c r="G38" s="455"/>
      <c r="H38" s="13"/>
      <c r="I38" s="178"/>
    </row>
    <row r="39" spans="1:9">
      <c r="A39" s="452">
        <v>528</v>
      </c>
      <c r="B39" s="453" t="s">
        <v>152</v>
      </c>
      <c r="C39" s="453"/>
      <c r="D39" s="454">
        <v>0</v>
      </c>
      <c r="E39" s="455"/>
      <c r="F39" s="455" t="s">
        <v>790</v>
      </c>
      <c r="G39" s="455"/>
      <c r="H39" s="13"/>
      <c r="I39" s="178"/>
    </row>
    <row r="40" spans="1:9">
      <c r="A40" s="452">
        <v>529</v>
      </c>
      <c r="B40" s="453" t="s">
        <v>153</v>
      </c>
      <c r="C40" s="453"/>
      <c r="D40" s="454">
        <v>0</v>
      </c>
      <c r="E40" s="455"/>
      <c r="F40" s="455" t="s">
        <v>791</v>
      </c>
      <c r="G40" s="455"/>
      <c r="H40" s="13"/>
      <c r="I40" s="178"/>
    </row>
    <row r="41" spans="1:9">
      <c r="A41" s="452">
        <v>530</v>
      </c>
      <c r="B41" s="453" t="s">
        <v>577</v>
      </c>
      <c r="C41" s="453"/>
      <c r="D41" s="454">
        <v>0</v>
      </c>
      <c r="E41" s="455"/>
      <c r="F41" s="455" t="s">
        <v>792</v>
      </c>
      <c r="G41" s="455"/>
      <c r="H41" s="13"/>
      <c r="I41" s="178"/>
    </row>
    <row r="42" spans="1:9">
      <c r="A42" s="452">
        <v>531</v>
      </c>
      <c r="B42" s="453" t="s">
        <v>155</v>
      </c>
      <c r="C42" s="453"/>
      <c r="D42" s="454">
        <v>0</v>
      </c>
      <c r="E42" s="455"/>
      <c r="F42" s="455" t="s">
        <v>793</v>
      </c>
      <c r="G42" s="455"/>
      <c r="H42" s="13"/>
      <c r="I42" s="178"/>
    </row>
    <row r="43" spans="1:9">
      <c r="A43" s="452">
        <v>532</v>
      </c>
      <c r="B43" s="453" t="s">
        <v>578</v>
      </c>
      <c r="C43" s="453"/>
      <c r="D43" s="454">
        <v>0</v>
      </c>
      <c r="E43" s="455"/>
      <c r="F43" s="455" t="s">
        <v>794</v>
      </c>
      <c r="G43" s="455"/>
      <c r="H43" s="13"/>
      <c r="I43" s="178"/>
    </row>
    <row r="44" spans="1:9">
      <c r="A44" s="452">
        <v>541</v>
      </c>
      <c r="B44" s="459" t="s">
        <v>152</v>
      </c>
      <c r="C44" s="453"/>
      <c r="D44" s="454">
        <v>162854.92000000001</v>
      </c>
      <c r="E44" s="455"/>
      <c r="F44" s="455" t="s">
        <v>795</v>
      </c>
      <c r="G44" s="455"/>
      <c r="H44" s="13"/>
      <c r="I44" s="178"/>
    </row>
    <row r="45" spans="1:9">
      <c r="A45" s="452">
        <v>542</v>
      </c>
      <c r="B45" s="453" t="s">
        <v>153</v>
      </c>
      <c r="C45" s="453"/>
      <c r="D45" s="454">
        <v>1900669.05</v>
      </c>
      <c r="E45" s="455"/>
      <c r="F45" s="455" t="s">
        <v>796</v>
      </c>
      <c r="G45" s="455"/>
      <c r="H45" s="13"/>
      <c r="I45" s="178"/>
    </row>
    <row r="46" spans="1:9">
      <c r="A46" s="452">
        <v>543</v>
      </c>
      <c r="B46" s="453" t="s">
        <v>507</v>
      </c>
      <c r="C46" s="453"/>
      <c r="D46" s="454">
        <v>3395768.89</v>
      </c>
      <c r="E46" s="455"/>
      <c r="F46" s="455" t="s">
        <v>797</v>
      </c>
      <c r="G46" s="455"/>
      <c r="H46" s="13"/>
      <c r="I46" s="178"/>
    </row>
    <row r="47" spans="1:9">
      <c r="A47" s="452">
        <v>544</v>
      </c>
      <c r="B47" s="453" t="s">
        <v>155</v>
      </c>
      <c r="C47" s="453"/>
      <c r="D47" s="454">
        <v>4671227.37</v>
      </c>
      <c r="E47" s="455"/>
      <c r="F47" s="455" t="s">
        <v>798</v>
      </c>
      <c r="G47" s="455"/>
      <c r="H47" s="13"/>
      <c r="I47" s="178"/>
    </row>
    <row r="48" spans="1:9">
      <c r="A48" s="452">
        <v>545</v>
      </c>
      <c r="B48" s="453" t="s">
        <v>508</v>
      </c>
      <c r="C48" s="453"/>
      <c r="D48" s="454">
        <v>829573.38</v>
      </c>
      <c r="E48" s="455"/>
      <c r="F48" s="455" t="s">
        <v>799</v>
      </c>
      <c r="G48" s="455"/>
      <c r="H48" s="13"/>
      <c r="I48" s="178"/>
    </row>
    <row r="49" spans="1:9">
      <c r="A49" s="452">
        <v>551</v>
      </c>
      <c r="B49" s="453" t="s">
        <v>152</v>
      </c>
      <c r="C49" s="453"/>
      <c r="D49" s="454">
        <v>0</v>
      </c>
      <c r="E49" s="455"/>
      <c r="F49" s="455" t="s">
        <v>800</v>
      </c>
      <c r="G49" s="455"/>
      <c r="H49" s="13"/>
      <c r="I49" s="178"/>
    </row>
    <row r="50" spans="1:9">
      <c r="A50" s="456">
        <v>553</v>
      </c>
      <c r="B50" s="459" t="s">
        <v>222</v>
      </c>
      <c r="C50" s="453"/>
      <c r="D50" s="454">
        <v>580071.27</v>
      </c>
      <c r="E50" s="455"/>
      <c r="F50" s="455" t="s">
        <v>801</v>
      </c>
      <c r="G50" s="455"/>
      <c r="H50" s="13"/>
      <c r="I50" s="178"/>
    </row>
    <row r="51" spans="1:9">
      <c r="A51" s="458">
        <v>554</v>
      </c>
      <c r="B51" s="453" t="s">
        <v>223</v>
      </c>
      <c r="C51" s="453"/>
      <c r="D51" s="460">
        <v>0</v>
      </c>
      <c r="E51" s="455"/>
      <c r="F51" s="455" t="s">
        <v>910</v>
      </c>
      <c r="G51" s="455"/>
      <c r="H51" s="13"/>
      <c r="I51" s="178"/>
    </row>
    <row r="52" spans="1:9">
      <c r="A52" s="452"/>
      <c r="B52" s="453" t="s">
        <v>157</v>
      </c>
      <c r="C52" s="453"/>
      <c r="D52" s="453">
        <f>SUM(D34:D51)</f>
        <v>120017211.65000001</v>
      </c>
      <c r="E52" s="455"/>
      <c r="F52" s="455" t="s">
        <v>113</v>
      </c>
      <c r="G52" s="455"/>
      <c r="H52" s="13"/>
      <c r="I52" s="178"/>
    </row>
    <row r="53" spans="1:9">
      <c r="A53" s="452"/>
      <c r="B53" s="453"/>
      <c r="C53" s="453"/>
      <c r="D53" s="453" t="s">
        <v>113</v>
      </c>
      <c r="E53" s="455"/>
      <c r="F53" s="455" t="s">
        <v>113</v>
      </c>
      <c r="G53" s="455"/>
      <c r="H53" s="13"/>
      <c r="I53" s="178"/>
    </row>
    <row r="54" spans="1:9">
      <c r="A54" s="462">
        <v>555</v>
      </c>
      <c r="B54" s="453" t="s">
        <v>208</v>
      </c>
      <c r="C54" s="453"/>
      <c r="D54" s="454">
        <v>439192164.88999999</v>
      </c>
      <c r="E54" s="455"/>
      <c r="F54" s="455" t="s">
        <v>802</v>
      </c>
      <c r="G54" s="455"/>
      <c r="H54" s="13"/>
      <c r="I54" s="178"/>
    </row>
    <row r="55" spans="1:9">
      <c r="A55" s="452">
        <v>556</v>
      </c>
      <c r="B55" s="453" t="s">
        <v>158</v>
      </c>
      <c r="C55" s="453"/>
      <c r="D55" s="454">
        <v>2039921.23</v>
      </c>
      <c r="E55" s="455"/>
      <c r="F55" s="455" t="s">
        <v>803</v>
      </c>
      <c r="G55" s="455"/>
      <c r="H55" s="13"/>
      <c r="I55" s="178"/>
    </row>
    <row r="56" spans="1:9">
      <c r="A56" s="452">
        <v>557</v>
      </c>
      <c r="B56" s="453" t="s">
        <v>224</v>
      </c>
      <c r="C56" s="453"/>
      <c r="D56" s="460">
        <v>8769290.9399999995</v>
      </c>
      <c r="E56" s="455"/>
      <c r="F56" s="455" t="s">
        <v>804</v>
      </c>
      <c r="G56" s="455"/>
      <c r="H56" s="13"/>
      <c r="I56" s="178"/>
    </row>
    <row r="57" spans="1:9">
      <c r="A57" s="455"/>
      <c r="B57" s="453" t="s">
        <v>159</v>
      </c>
      <c r="C57" s="453"/>
      <c r="D57" s="453">
        <f>SUM(D54:D56)</f>
        <v>450001377.06</v>
      </c>
      <c r="E57" s="455"/>
      <c r="F57" s="455" t="s">
        <v>805</v>
      </c>
      <c r="G57" s="455"/>
      <c r="H57" s="13"/>
      <c r="I57" s="178"/>
    </row>
    <row r="58" spans="1:9">
      <c r="A58" s="455"/>
      <c r="B58" s="453"/>
      <c r="C58" s="453"/>
      <c r="D58" s="453"/>
      <c r="E58" s="455"/>
      <c r="F58" s="455" t="s">
        <v>113</v>
      </c>
      <c r="G58" s="455"/>
      <c r="H58" s="13"/>
      <c r="I58" s="178"/>
    </row>
    <row r="59" spans="1:9">
      <c r="A59" s="455"/>
      <c r="B59" s="453" t="s">
        <v>141</v>
      </c>
      <c r="C59" s="453"/>
      <c r="D59" s="453">
        <f>+D32+D52+D57</f>
        <v>1320470732.8100002</v>
      </c>
      <c r="E59" s="455"/>
      <c r="F59" s="455" t="s">
        <v>806</v>
      </c>
      <c r="G59" s="455"/>
      <c r="H59" s="13"/>
      <c r="I59" s="178"/>
    </row>
    <row r="60" spans="1:9">
      <c r="A60" s="455"/>
      <c r="B60" s="453"/>
      <c r="C60" s="453"/>
      <c r="D60" s="453"/>
      <c r="E60" s="455"/>
      <c r="F60" s="455"/>
      <c r="G60" s="455"/>
      <c r="H60" s="13"/>
      <c r="I60" s="178"/>
    </row>
    <row r="61" spans="1:9">
      <c r="A61" s="455"/>
      <c r="B61" s="453"/>
      <c r="C61" s="453"/>
      <c r="D61" s="453"/>
      <c r="E61" s="455"/>
      <c r="F61" s="455"/>
      <c r="G61" s="455"/>
      <c r="H61" s="13"/>
      <c r="I61" s="178"/>
    </row>
    <row r="62" spans="1:9">
      <c r="A62" s="455"/>
      <c r="B62" s="455"/>
      <c r="C62" s="455"/>
      <c r="D62" s="455"/>
      <c r="E62" s="463" t="s">
        <v>113</v>
      </c>
      <c r="F62" s="463" t="s">
        <v>113</v>
      </c>
      <c r="G62" s="455" t="s">
        <v>934</v>
      </c>
      <c r="H62" s="13"/>
      <c r="I62" s="178"/>
    </row>
    <row r="63" spans="1:9">
      <c r="A63" s="712" t="s">
        <v>626</v>
      </c>
      <c r="B63" s="692"/>
      <c r="C63" s="692"/>
      <c r="D63" s="692"/>
      <c r="E63" s="692"/>
      <c r="F63" s="692"/>
      <c r="G63" s="692"/>
      <c r="H63" s="13"/>
      <c r="I63" s="178"/>
    </row>
    <row r="64" spans="1:9">
      <c r="A64" s="692" t="s">
        <v>606</v>
      </c>
      <c r="B64" s="692"/>
      <c r="C64" s="692"/>
      <c r="D64" s="692"/>
      <c r="E64" s="692"/>
      <c r="F64" s="692"/>
      <c r="G64" s="692"/>
      <c r="H64" s="13"/>
      <c r="I64" s="178"/>
    </row>
    <row r="65" spans="1:9">
      <c r="A65" s="712" t="s">
        <v>49</v>
      </c>
      <c r="B65" s="692"/>
      <c r="C65" s="692"/>
      <c r="D65" s="692"/>
      <c r="E65" s="692"/>
      <c r="F65" s="692"/>
      <c r="G65" s="692"/>
      <c r="H65" s="13"/>
      <c r="I65" s="178"/>
    </row>
    <row r="66" spans="1:9">
      <c r="A66" s="713" t="s">
        <v>1117</v>
      </c>
      <c r="B66" s="692"/>
      <c r="C66" s="692"/>
      <c r="D66" s="692"/>
      <c r="E66" s="692"/>
      <c r="F66" s="692"/>
      <c r="G66" s="692"/>
      <c r="H66" s="13"/>
      <c r="I66" s="178"/>
    </row>
    <row r="67" spans="1:9">
      <c r="A67" s="455"/>
      <c r="B67" s="453"/>
      <c r="C67" s="453"/>
      <c r="D67" s="453"/>
      <c r="E67" s="455"/>
      <c r="F67" s="455" t="s">
        <v>113</v>
      </c>
      <c r="G67" s="455"/>
      <c r="H67" s="13"/>
      <c r="I67" s="178"/>
    </row>
    <row r="68" spans="1:9">
      <c r="A68" s="464" t="s">
        <v>110</v>
      </c>
      <c r="B68" s="453"/>
      <c r="C68" s="453"/>
      <c r="D68" s="453"/>
      <c r="E68" s="455"/>
      <c r="F68" s="455" t="s">
        <v>113</v>
      </c>
      <c r="G68" s="455"/>
      <c r="H68" s="13"/>
      <c r="I68" s="178"/>
    </row>
    <row r="69" spans="1:9">
      <c r="A69" s="452">
        <v>560</v>
      </c>
      <c r="B69" s="453" t="s">
        <v>143</v>
      </c>
      <c r="C69" s="453"/>
      <c r="D69" s="454">
        <v>4530830.55</v>
      </c>
      <c r="E69" s="455"/>
      <c r="F69" s="455" t="s">
        <v>807</v>
      </c>
      <c r="G69" s="455"/>
      <c r="H69" s="13"/>
      <c r="I69" s="178"/>
    </row>
    <row r="70" spans="1:9">
      <c r="A70" s="465">
        <v>561.1</v>
      </c>
      <c r="B70" s="453" t="s">
        <v>554</v>
      </c>
      <c r="C70" s="453"/>
      <c r="D70" s="454">
        <v>22946.880000000001</v>
      </c>
      <c r="E70" s="455"/>
      <c r="F70" s="455" t="s">
        <v>808</v>
      </c>
      <c r="G70" s="455"/>
      <c r="H70" s="13"/>
      <c r="I70" s="178"/>
    </row>
    <row r="71" spans="1:9">
      <c r="A71" s="465">
        <v>561.20000000000005</v>
      </c>
      <c r="B71" s="453" t="s">
        <v>555</v>
      </c>
      <c r="C71" s="453"/>
      <c r="D71" s="454">
        <v>3317088.96</v>
      </c>
      <c r="E71" s="455"/>
      <c r="F71" s="455" t="s">
        <v>809</v>
      </c>
      <c r="G71" s="455"/>
      <c r="H71" s="13"/>
      <c r="I71" s="178"/>
    </row>
    <row r="72" spans="1:9">
      <c r="A72" s="465">
        <v>561.29999999999995</v>
      </c>
      <c r="B72" s="453" t="s">
        <v>556</v>
      </c>
      <c r="C72" s="453"/>
      <c r="D72" s="454">
        <v>0</v>
      </c>
      <c r="E72" s="455"/>
      <c r="F72" s="455" t="s">
        <v>810</v>
      </c>
      <c r="G72" s="455"/>
      <c r="H72" s="13"/>
      <c r="I72" s="178"/>
    </row>
    <row r="73" spans="1:9">
      <c r="A73" s="465">
        <v>561.4</v>
      </c>
      <c r="B73" s="453" t="s">
        <v>557</v>
      </c>
      <c r="C73" s="453"/>
      <c r="D73" s="454">
        <v>6471032.1500000004</v>
      </c>
      <c r="E73" s="455"/>
      <c r="F73" s="455" t="s">
        <v>811</v>
      </c>
      <c r="G73" s="455"/>
      <c r="H73" s="13"/>
      <c r="I73" s="178"/>
    </row>
    <row r="74" spans="1:9">
      <c r="A74" s="465">
        <v>561.5</v>
      </c>
      <c r="B74" s="453" t="s">
        <v>558</v>
      </c>
      <c r="C74" s="453"/>
      <c r="D74" s="454">
        <v>579470.93000000005</v>
      </c>
      <c r="E74" s="455"/>
      <c r="F74" s="455" t="s">
        <v>812</v>
      </c>
      <c r="G74" s="455"/>
      <c r="H74" s="13"/>
      <c r="I74" s="178"/>
    </row>
    <row r="75" spans="1:9">
      <c r="A75" s="465">
        <v>561.6</v>
      </c>
      <c r="B75" s="453" t="s">
        <v>559</v>
      </c>
      <c r="C75" s="453"/>
      <c r="D75" s="454">
        <v>482.96</v>
      </c>
      <c r="E75" s="455"/>
      <c r="F75" s="455" t="s">
        <v>813</v>
      </c>
      <c r="G75" s="455"/>
      <c r="H75" s="13"/>
      <c r="I75" s="178"/>
    </row>
    <row r="76" spans="1:9">
      <c r="A76" s="465">
        <v>561.70000000000005</v>
      </c>
      <c r="B76" s="453" t="s">
        <v>560</v>
      </c>
      <c r="C76" s="453"/>
      <c r="D76" s="454">
        <v>0</v>
      </c>
      <c r="E76" s="455"/>
      <c r="F76" s="455" t="s">
        <v>814</v>
      </c>
      <c r="G76" s="455"/>
      <c r="H76" s="13"/>
      <c r="I76" s="178"/>
    </row>
    <row r="77" spans="1:9">
      <c r="A77" s="465">
        <v>561.79999999999995</v>
      </c>
      <c r="B77" s="453" t="s">
        <v>558</v>
      </c>
      <c r="C77" s="453"/>
      <c r="D77" s="454">
        <v>1610476.73</v>
      </c>
      <c r="E77" s="455"/>
      <c r="F77" s="455" t="s">
        <v>815</v>
      </c>
      <c r="G77" s="455"/>
      <c r="H77" s="13"/>
      <c r="I77" s="178"/>
    </row>
    <row r="78" spans="1:9">
      <c r="A78" s="452">
        <v>562</v>
      </c>
      <c r="B78" s="453" t="s">
        <v>161</v>
      </c>
      <c r="C78" s="453"/>
      <c r="D78" s="454">
        <v>1216869.28</v>
      </c>
      <c r="E78" s="455"/>
      <c r="F78" s="455" t="s">
        <v>816</v>
      </c>
      <c r="G78" s="455"/>
      <c r="H78" s="13"/>
      <c r="I78" s="178"/>
    </row>
    <row r="79" spans="1:9">
      <c r="A79" s="452">
        <v>563</v>
      </c>
      <c r="B79" s="453" t="s">
        <v>162</v>
      </c>
      <c r="C79" s="453"/>
      <c r="D79" s="454">
        <v>51980.33</v>
      </c>
      <c r="E79" s="455"/>
      <c r="F79" s="455" t="s">
        <v>817</v>
      </c>
      <c r="G79" s="455"/>
      <c r="H79" s="13"/>
      <c r="I79" s="178"/>
    </row>
    <row r="80" spans="1:9">
      <c r="A80" s="458" t="s">
        <v>225</v>
      </c>
      <c r="B80" s="453" t="s">
        <v>163</v>
      </c>
      <c r="C80" s="453"/>
      <c r="D80" s="454">
        <v>56072.77</v>
      </c>
      <c r="E80" s="455"/>
      <c r="F80" s="455" t="s">
        <v>818</v>
      </c>
      <c r="G80" s="455"/>
      <c r="H80" s="13"/>
      <c r="I80" s="178"/>
    </row>
    <row r="81" spans="1:9">
      <c r="A81" s="452">
        <v>565</v>
      </c>
      <c r="B81" s="453" t="s">
        <v>164</v>
      </c>
      <c r="C81" s="453"/>
      <c r="D81" s="454">
        <v>120478713.61</v>
      </c>
      <c r="E81" s="455"/>
      <c r="F81" s="455" t="s">
        <v>819</v>
      </c>
      <c r="G81" s="455"/>
      <c r="H81" s="13"/>
      <c r="I81" s="178"/>
    </row>
    <row r="82" spans="1:9">
      <c r="A82" s="452">
        <v>566</v>
      </c>
      <c r="B82" s="453" t="s">
        <v>165</v>
      </c>
      <c r="C82" s="453"/>
      <c r="D82" s="454">
        <v>-15675884.25</v>
      </c>
      <c r="E82" s="455"/>
      <c r="F82" s="455" t="s">
        <v>820</v>
      </c>
      <c r="G82" s="455"/>
      <c r="H82" s="13"/>
      <c r="I82" s="178"/>
    </row>
    <row r="83" spans="1:9">
      <c r="A83" s="452">
        <v>567</v>
      </c>
      <c r="B83" s="453" t="s">
        <v>147</v>
      </c>
      <c r="C83" s="453"/>
      <c r="D83" s="460">
        <v>50584.44</v>
      </c>
      <c r="E83" s="455"/>
      <c r="F83" s="455" t="s">
        <v>821</v>
      </c>
      <c r="G83" s="455"/>
      <c r="H83" s="13"/>
      <c r="I83" s="178"/>
    </row>
    <row r="84" spans="1:9">
      <c r="A84" s="452"/>
      <c r="B84" s="453" t="s">
        <v>151</v>
      </c>
      <c r="C84" s="453"/>
      <c r="D84" s="461">
        <f>SUM(D69:D83)</f>
        <v>122710665.34</v>
      </c>
      <c r="E84" s="455"/>
      <c r="F84" s="455" t="s">
        <v>822</v>
      </c>
      <c r="G84" s="455"/>
      <c r="H84" s="13"/>
      <c r="I84" s="178"/>
    </row>
    <row r="85" spans="1:9">
      <c r="A85" s="452"/>
      <c r="B85" s="453"/>
      <c r="C85" s="453"/>
      <c r="D85" s="453"/>
      <c r="E85" s="455"/>
      <c r="F85" s="455" t="s">
        <v>113</v>
      </c>
      <c r="G85" s="455"/>
      <c r="H85" s="13"/>
      <c r="I85" s="178"/>
    </row>
    <row r="86" spans="1:9">
      <c r="A86" s="452">
        <v>568</v>
      </c>
      <c r="B86" s="459" t="s">
        <v>152</v>
      </c>
      <c r="C86" s="453"/>
      <c r="D86" s="454">
        <v>284542.67</v>
      </c>
      <c r="E86" s="455"/>
      <c r="F86" s="455" t="s">
        <v>823</v>
      </c>
      <c r="G86" s="455"/>
      <c r="H86" s="13"/>
      <c r="I86" s="178"/>
    </row>
    <row r="87" spans="1:9">
      <c r="A87" s="452">
        <v>569</v>
      </c>
      <c r="B87" s="453" t="s">
        <v>153</v>
      </c>
      <c r="C87" s="453"/>
      <c r="D87" s="454">
        <v>71109.820000000007</v>
      </c>
      <c r="E87" s="455"/>
      <c r="F87" s="455" t="s">
        <v>824</v>
      </c>
      <c r="G87" s="455"/>
      <c r="H87" s="13"/>
      <c r="I87" s="178"/>
    </row>
    <row r="88" spans="1:9">
      <c r="A88" s="465">
        <v>569.1</v>
      </c>
      <c r="B88" s="453" t="s">
        <v>574</v>
      </c>
      <c r="C88" s="453"/>
      <c r="D88" s="454">
        <v>2384.4699999999998</v>
      </c>
      <c r="E88" s="455"/>
      <c r="F88" s="455" t="s">
        <v>825</v>
      </c>
      <c r="G88" s="455"/>
      <c r="H88" s="13"/>
      <c r="I88" s="178"/>
    </row>
    <row r="89" spans="1:9">
      <c r="A89" s="465">
        <v>569.20000000000005</v>
      </c>
      <c r="B89" s="453" t="s">
        <v>575</v>
      </c>
      <c r="C89" s="453"/>
      <c r="D89" s="454">
        <v>349490.37</v>
      </c>
      <c r="E89" s="455"/>
      <c r="F89" s="455" t="s">
        <v>826</v>
      </c>
      <c r="G89" s="455"/>
      <c r="H89" s="13"/>
      <c r="I89" s="178"/>
    </row>
    <row r="90" spans="1:9">
      <c r="A90" s="465">
        <v>569.29999999999995</v>
      </c>
      <c r="B90" s="453" t="s">
        <v>576</v>
      </c>
      <c r="C90" s="453"/>
      <c r="D90" s="454">
        <v>8300.33</v>
      </c>
      <c r="E90" s="455"/>
      <c r="F90" s="455" t="s">
        <v>827</v>
      </c>
      <c r="G90" s="455"/>
      <c r="H90" s="13"/>
      <c r="I90" s="178"/>
    </row>
    <row r="91" spans="1:9">
      <c r="A91" s="452">
        <v>570</v>
      </c>
      <c r="B91" s="459" t="s">
        <v>166</v>
      </c>
      <c r="C91" s="453"/>
      <c r="D91" s="454">
        <v>3085900.79</v>
      </c>
      <c r="E91" s="455"/>
      <c r="F91" s="455" t="s">
        <v>828</v>
      </c>
      <c r="G91" s="455"/>
      <c r="H91" s="13"/>
      <c r="I91" s="178"/>
    </row>
    <row r="92" spans="1:9">
      <c r="A92" s="452">
        <v>571</v>
      </c>
      <c r="B92" s="459" t="s">
        <v>167</v>
      </c>
      <c r="C92" s="453"/>
      <c r="D92" s="454">
        <v>16168523</v>
      </c>
      <c r="E92" s="455"/>
      <c r="F92" s="455" t="s">
        <v>829</v>
      </c>
      <c r="G92" s="455"/>
      <c r="H92" s="13"/>
      <c r="I92" s="178"/>
    </row>
    <row r="93" spans="1:9">
      <c r="A93" s="458" t="s">
        <v>226</v>
      </c>
      <c r="B93" s="459" t="s">
        <v>174</v>
      </c>
      <c r="C93" s="453"/>
      <c r="D93" s="454">
        <v>12359.47</v>
      </c>
      <c r="E93" s="455"/>
      <c r="F93" s="455" t="s">
        <v>830</v>
      </c>
      <c r="G93" s="455"/>
      <c r="H93" s="13"/>
      <c r="I93" s="178"/>
    </row>
    <row r="94" spans="1:9">
      <c r="A94" s="452">
        <v>573</v>
      </c>
      <c r="B94" s="459" t="s">
        <v>168</v>
      </c>
      <c r="C94" s="453"/>
      <c r="D94" s="460">
        <v>1255732.06</v>
      </c>
      <c r="E94" s="455"/>
      <c r="F94" s="455" t="s">
        <v>831</v>
      </c>
      <c r="G94" s="455"/>
      <c r="H94" s="13"/>
      <c r="I94" s="178"/>
    </row>
    <row r="95" spans="1:9">
      <c r="A95" s="453"/>
      <c r="B95" s="453" t="s">
        <v>157</v>
      </c>
      <c r="C95" s="453"/>
      <c r="D95" s="453">
        <f>SUM(D86:D94)</f>
        <v>21238342.979999997</v>
      </c>
      <c r="E95" s="455"/>
      <c r="F95" s="455" t="s">
        <v>832</v>
      </c>
      <c r="G95" s="455"/>
      <c r="H95" s="13"/>
      <c r="I95" s="178"/>
    </row>
    <row r="96" spans="1:9">
      <c r="A96" s="453"/>
      <c r="B96" s="453"/>
      <c r="C96" s="453"/>
      <c r="D96" s="453"/>
      <c r="E96" s="455"/>
      <c r="F96" s="455" t="s">
        <v>113</v>
      </c>
      <c r="G96" s="455"/>
      <c r="H96" s="13"/>
      <c r="I96" s="178"/>
    </row>
    <row r="97" spans="1:9">
      <c r="A97" s="453"/>
      <c r="B97" s="453" t="s">
        <v>169</v>
      </c>
      <c r="C97" s="453"/>
      <c r="D97" s="453">
        <f>+D84+D95</f>
        <v>143949008.31999999</v>
      </c>
      <c r="E97" s="455"/>
      <c r="F97" s="455" t="s">
        <v>833</v>
      </c>
      <c r="G97" s="455"/>
      <c r="H97" s="13"/>
      <c r="I97" s="178"/>
    </row>
    <row r="98" spans="1:9">
      <c r="A98" s="453"/>
      <c r="B98" s="453"/>
      <c r="C98" s="453"/>
      <c r="D98" s="453"/>
      <c r="E98" s="455"/>
      <c r="F98" s="455" t="s">
        <v>113</v>
      </c>
      <c r="G98" s="455"/>
      <c r="H98" s="13"/>
      <c r="I98" s="178"/>
    </row>
    <row r="99" spans="1:9">
      <c r="A99" s="464" t="s">
        <v>509</v>
      </c>
      <c r="B99" s="453"/>
      <c r="C99" s="453"/>
      <c r="D99" s="453"/>
      <c r="E99" s="455"/>
      <c r="F99" s="455" t="s">
        <v>113</v>
      </c>
      <c r="G99" s="455"/>
      <c r="H99" s="13"/>
      <c r="I99" s="178"/>
    </row>
    <row r="100" spans="1:9">
      <c r="A100" s="465">
        <v>575.70000000000005</v>
      </c>
      <c r="B100" s="453" t="s">
        <v>510</v>
      </c>
      <c r="C100" s="453"/>
      <c r="D100" s="453">
        <v>4908105.59</v>
      </c>
      <c r="E100" s="455"/>
      <c r="F100" s="455" t="s">
        <v>834</v>
      </c>
      <c r="G100" s="455"/>
      <c r="H100" s="13"/>
      <c r="I100" s="178"/>
    </row>
    <row r="101" spans="1:9">
      <c r="A101" s="453"/>
      <c r="B101" s="453"/>
      <c r="C101" s="453"/>
      <c r="D101" s="453"/>
      <c r="E101" s="455"/>
      <c r="F101" s="455" t="s">
        <v>113</v>
      </c>
      <c r="G101" s="455"/>
      <c r="H101" s="13"/>
      <c r="I101" s="178"/>
    </row>
    <row r="102" spans="1:9">
      <c r="A102" s="464" t="s">
        <v>111</v>
      </c>
      <c r="B102" s="453"/>
      <c r="C102" s="453"/>
      <c r="D102" s="453"/>
      <c r="E102" s="455"/>
      <c r="F102" s="455" t="s">
        <v>113</v>
      </c>
      <c r="G102" s="455"/>
      <c r="H102" s="13"/>
      <c r="I102" s="178"/>
    </row>
    <row r="103" spans="1:9">
      <c r="A103" s="466">
        <v>580</v>
      </c>
      <c r="B103" s="453" t="s">
        <v>143</v>
      </c>
      <c r="C103" s="453"/>
      <c r="D103" s="454">
        <v>4429826.6900000004</v>
      </c>
      <c r="E103" s="455"/>
      <c r="F103" s="455" t="s">
        <v>835</v>
      </c>
      <c r="G103" s="455"/>
      <c r="H103" s="13"/>
      <c r="I103" s="178"/>
    </row>
    <row r="104" spans="1:9" ht="12" customHeight="1">
      <c r="A104" s="466">
        <v>581</v>
      </c>
      <c r="B104" s="453" t="s">
        <v>160</v>
      </c>
      <c r="C104" s="453"/>
      <c r="D104" s="454">
        <v>350482.93</v>
      </c>
      <c r="E104" s="455"/>
      <c r="F104" s="455" t="s">
        <v>836</v>
      </c>
      <c r="G104" s="455"/>
      <c r="H104" s="13"/>
      <c r="I104" s="178"/>
    </row>
    <row r="105" spans="1:9">
      <c r="A105" s="466">
        <v>582</v>
      </c>
      <c r="B105" s="453" t="s">
        <v>161</v>
      </c>
      <c r="C105" s="453"/>
      <c r="D105" s="454">
        <v>1196071.1399999999</v>
      </c>
      <c r="E105" s="455"/>
      <c r="F105" s="455" t="s">
        <v>837</v>
      </c>
      <c r="G105" s="455"/>
      <c r="H105" s="13"/>
      <c r="I105" s="178"/>
    </row>
    <row r="106" spans="1:9">
      <c r="A106" s="466">
        <v>583</v>
      </c>
      <c r="B106" s="453" t="s">
        <v>162</v>
      </c>
      <c r="C106" s="453"/>
      <c r="D106" s="454">
        <v>678269.95</v>
      </c>
      <c r="E106" s="455"/>
      <c r="F106" s="455" t="s">
        <v>838</v>
      </c>
      <c r="G106" s="455"/>
      <c r="H106" s="13"/>
      <c r="I106" s="178"/>
    </row>
    <row r="107" spans="1:9">
      <c r="A107" s="466">
        <v>584</v>
      </c>
      <c r="B107" s="453" t="s">
        <v>163</v>
      </c>
      <c r="C107" s="453"/>
      <c r="D107" s="454">
        <v>2241173.08</v>
      </c>
      <c r="E107" s="455"/>
      <c r="F107" s="455" t="s">
        <v>839</v>
      </c>
      <c r="G107" s="455"/>
      <c r="H107" s="13"/>
      <c r="I107" s="178"/>
    </row>
    <row r="108" spans="1:9">
      <c r="A108" s="466">
        <v>585</v>
      </c>
      <c r="B108" s="453" t="s">
        <v>170</v>
      </c>
      <c r="C108" s="453"/>
      <c r="D108" s="454">
        <v>165283.31</v>
      </c>
      <c r="E108" s="455"/>
      <c r="F108" s="455" t="s">
        <v>840</v>
      </c>
      <c r="G108" s="455"/>
      <c r="H108" s="13"/>
      <c r="I108" s="178"/>
    </row>
    <row r="109" spans="1:9">
      <c r="A109" s="466">
        <v>586</v>
      </c>
      <c r="B109" s="453" t="s">
        <v>171</v>
      </c>
      <c r="C109" s="453"/>
      <c r="D109" s="454">
        <v>334822.09000000003</v>
      </c>
      <c r="E109" s="455"/>
      <c r="F109" s="455" t="s">
        <v>841</v>
      </c>
      <c r="G109" s="455"/>
      <c r="H109" s="13"/>
      <c r="I109" s="178"/>
    </row>
    <row r="110" spans="1:9">
      <c r="A110" s="466">
        <v>587</v>
      </c>
      <c r="B110" s="453" t="s">
        <v>172</v>
      </c>
      <c r="C110" s="453"/>
      <c r="D110" s="454">
        <v>1042159.79</v>
      </c>
      <c r="E110" s="455"/>
      <c r="F110" s="455" t="s">
        <v>842</v>
      </c>
      <c r="G110" s="455"/>
      <c r="H110" s="13"/>
      <c r="I110" s="178"/>
    </row>
    <row r="111" spans="1:9">
      <c r="A111" s="466">
        <v>588</v>
      </c>
      <c r="B111" s="453" t="s">
        <v>173</v>
      </c>
      <c r="C111" s="453"/>
      <c r="D111" s="454">
        <v>17399308.27</v>
      </c>
      <c r="E111" s="455"/>
      <c r="F111" s="455" t="s">
        <v>843</v>
      </c>
      <c r="G111" s="455"/>
      <c r="H111" s="13"/>
      <c r="I111" s="178"/>
    </row>
    <row r="112" spans="1:9">
      <c r="A112" s="466">
        <v>589</v>
      </c>
      <c r="B112" s="453" t="s">
        <v>147</v>
      </c>
      <c r="C112" s="453"/>
      <c r="D112" s="460">
        <v>1340537.53</v>
      </c>
      <c r="E112" s="455"/>
      <c r="F112" s="455" t="s">
        <v>844</v>
      </c>
      <c r="G112" s="455"/>
      <c r="H112" s="13"/>
      <c r="I112" s="178"/>
    </row>
    <row r="113" spans="1:9">
      <c r="A113" s="466"/>
      <c r="B113" s="453" t="s">
        <v>151</v>
      </c>
      <c r="C113" s="453"/>
      <c r="D113" s="453">
        <f>SUM(D103:D112)</f>
        <v>29177934.780000001</v>
      </c>
      <c r="E113" s="455"/>
      <c r="F113" s="455" t="s">
        <v>845</v>
      </c>
      <c r="G113" s="455"/>
      <c r="H113" s="13"/>
      <c r="I113" s="178"/>
    </row>
    <row r="114" spans="1:9">
      <c r="A114" s="455"/>
      <c r="B114" s="455"/>
      <c r="C114" s="455"/>
      <c r="D114" s="455"/>
      <c r="E114" s="463" t="s">
        <v>113</v>
      </c>
      <c r="F114" s="463" t="s">
        <v>113</v>
      </c>
      <c r="G114" s="455" t="s">
        <v>935</v>
      </c>
      <c r="H114" s="13"/>
      <c r="I114" s="178"/>
    </row>
    <row r="115" spans="1:9">
      <c r="A115" s="712" t="s">
        <v>626</v>
      </c>
      <c r="B115" s="692"/>
      <c r="C115" s="692"/>
      <c r="D115" s="692"/>
      <c r="E115" s="692"/>
      <c r="F115" s="692"/>
      <c r="G115" s="692"/>
      <c r="H115" s="13"/>
      <c r="I115" s="178"/>
    </row>
    <row r="116" spans="1:9">
      <c r="A116" s="692" t="s">
        <v>606</v>
      </c>
      <c r="B116" s="692"/>
      <c r="C116" s="692"/>
      <c r="D116" s="692"/>
      <c r="E116" s="692"/>
      <c r="F116" s="692"/>
      <c r="G116" s="692"/>
      <c r="H116" s="13"/>
      <c r="I116" s="178"/>
    </row>
    <row r="117" spans="1:9">
      <c r="A117" s="712" t="s">
        <v>49</v>
      </c>
      <c r="B117" s="692"/>
      <c r="C117" s="692"/>
      <c r="D117" s="692"/>
      <c r="E117" s="692"/>
      <c r="F117" s="692"/>
      <c r="G117" s="692"/>
      <c r="H117" s="13"/>
      <c r="I117" s="178"/>
    </row>
    <row r="118" spans="1:9">
      <c r="A118" s="713" t="s">
        <v>1117</v>
      </c>
      <c r="B118" s="692"/>
      <c r="C118" s="692"/>
      <c r="D118" s="692"/>
      <c r="E118" s="692"/>
      <c r="F118" s="692"/>
      <c r="G118" s="692"/>
      <c r="H118" s="13"/>
      <c r="I118" s="178"/>
    </row>
    <row r="119" spans="1:9">
      <c r="A119" s="466"/>
      <c r="B119" s="453"/>
      <c r="C119" s="453"/>
      <c r="D119" s="453"/>
      <c r="E119" s="455"/>
      <c r="F119" s="455"/>
      <c r="G119" s="455"/>
      <c r="H119" s="13"/>
      <c r="I119" s="178"/>
    </row>
    <row r="120" spans="1:9">
      <c r="A120" s="466">
        <v>590</v>
      </c>
      <c r="B120" s="459" t="s">
        <v>152</v>
      </c>
      <c r="C120" s="453"/>
      <c r="D120" s="454">
        <v>165844.06</v>
      </c>
      <c r="E120" s="455"/>
      <c r="F120" s="455" t="s">
        <v>846</v>
      </c>
      <c r="G120" s="455"/>
      <c r="H120" s="13"/>
      <c r="I120" s="178"/>
    </row>
    <row r="121" spans="1:9">
      <c r="A121" s="466">
        <v>591</v>
      </c>
      <c r="B121" s="453" t="s">
        <v>153</v>
      </c>
      <c r="C121" s="453"/>
      <c r="D121" s="454">
        <v>151324.07</v>
      </c>
      <c r="E121" s="455"/>
      <c r="F121" s="455" t="s">
        <v>847</v>
      </c>
      <c r="G121" s="455"/>
      <c r="H121" s="13"/>
      <c r="I121" s="178"/>
    </row>
    <row r="122" spans="1:9">
      <c r="A122" s="466">
        <v>592</v>
      </c>
      <c r="B122" s="459" t="s">
        <v>166</v>
      </c>
      <c r="C122" s="453"/>
      <c r="D122" s="454">
        <v>1766811.8</v>
      </c>
      <c r="E122" s="455"/>
      <c r="F122" s="455" t="s">
        <v>848</v>
      </c>
      <c r="G122" s="455"/>
      <c r="H122" s="13"/>
      <c r="I122" s="178"/>
    </row>
    <row r="123" spans="1:9">
      <c r="A123" s="466">
        <v>593</v>
      </c>
      <c r="B123" s="459" t="s">
        <v>167</v>
      </c>
      <c r="C123" s="453"/>
      <c r="D123" s="454">
        <v>99302307.719999999</v>
      </c>
      <c r="E123" s="455"/>
      <c r="F123" s="455" t="s">
        <v>849</v>
      </c>
      <c r="G123" s="455"/>
      <c r="H123" s="13"/>
      <c r="I123" s="178"/>
    </row>
    <row r="124" spans="1:9">
      <c r="A124" s="466">
        <v>594</v>
      </c>
      <c r="B124" s="459" t="s">
        <v>174</v>
      </c>
      <c r="C124" s="453"/>
      <c r="D124" s="454">
        <v>1325067.46</v>
      </c>
      <c r="E124" s="455"/>
      <c r="F124" s="455" t="s">
        <v>850</v>
      </c>
      <c r="G124" s="455"/>
      <c r="H124" s="13"/>
      <c r="I124" s="178"/>
    </row>
    <row r="125" spans="1:9">
      <c r="A125" s="466">
        <v>595</v>
      </c>
      <c r="B125" s="453" t="s">
        <v>175</v>
      </c>
      <c r="C125" s="453"/>
      <c r="D125" s="454">
        <v>2615972.52</v>
      </c>
      <c r="E125" s="455"/>
      <c r="F125" s="455" t="s">
        <v>851</v>
      </c>
      <c r="G125" s="455"/>
      <c r="H125" s="13"/>
      <c r="I125" s="178"/>
    </row>
    <row r="126" spans="1:9">
      <c r="A126" s="466">
        <v>596</v>
      </c>
      <c r="B126" s="453" t="s">
        <v>176</v>
      </c>
      <c r="C126" s="453"/>
      <c r="D126" s="454">
        <v>342619.82</v>
      </c>
      <c r="E126" s="455"/>
      <c r="F126" s="455" t="s">
        <v>852</v>
      </c>
      <c r="G126" s="455"/>
      <c r="H126" s="13"/>
      <c r="I126" s="178"/>
    </row>
    <row r="127" spans="1:9">
      <c r="A127" s="466">
        <v>597</v>
      </c>
      <c r="B127" s="453" t="s">
        <v>177</v>
      </c>
      <c r="C127" s="453"/>
      <c r="D127" s="454">
        <v>496871.76</v>
      </c>
      <c r="E127" s="455"/>
      <c r="F127" s="455" t="s">
        <v>853</v>
      </c>
      <c r="G127" s="455"/>
      <c r="H127" s="13"/>
      <c r="I127" s="178"/>
    </row>
    <row r="128" spans="1:9">
      <c r="A128" s="466">
        <v>598</v>
      </c>
      <c r="B128" s="453" t="s">
        <v>178</v>
      </c>
      <c r="C128" s="453"/>
      <c r="D128" s="460">
        <v>4404613.0599999996</v>
      </c>
      <c r="E128" s="455"/>
      <c r="F128" s="455" t="s">
        <v>854</v>
      </c>
      <c r="G128" s="455"/>
      <c r="H128" s="13"/>
      <c r="I128" s="178"/>
    </row>
    <row r="129" spans="1:9">
      <c r="A129" s="453"/>
      <c r="B129" s="453" t="s">
        <v>157</v>
      </c>
      <c r="C129" s="453"/>
      <c r="D129" s="453">
        <f>SUM(D120:D128)</f>
        <v>110571432.27</v>
      </c>
      <c r="E129" s="455"/>
      <c r="F129" s="455" t="s">
        <v>855</v>
      </c>
      <c r="G129" s="455"/>
      <c r="H129" s="13"/>
      <c r="I129" s="178"/>
    </row>
    <row r="130" spans="1:9">
      <c r="A130" s="453"/>
      <c r="B130" s="453"/>
      <c r="C130" s="453"/>
      <c r="D130" s="453"/>
      <c r="E130" s="455"/>
      <c r="F130" s="455" t="s">
        <v>113</v>
      </c>
      <c r="G130" s="455"/>
      <c r="H130" s="13"/>
      <c r="I130" s="178"/>
    </row>
    <row r="131" spans="1:9">
      <c r="A131" s="453"/>
      <c r="B131" s="453" t="s">
        <v>179</v>
      </c>
      <c r="C131" s="453"/>
      <c r="D131" s="453">
        <f>+D113+D129</f>
        <v>139749367.05000001</v>
      </c>
      <c r="E131" s="455"/>
      <c r="F131" s="455" t="s">
        <v>856</v>
      </c>
      <c r="G131" s="455"/>
      <c r="H131" s="13"/>
      <c r="I131" s="178"/>
    </row>
    <row r="132" spans="1:9">
      <c r="A132" s="453"/>
      <c r="B132" s="453"/>
      <c r="C132" s="453"/>
      <c r="D132" s="453"/>
      <c r="E132" s="455"/>
      <c r="F132" s="455" t="s">
        <v>113</v>
      </c>
      <c r="G132" s="455"/>
      <c r="H132" s="13"/>
      <c r="I132" s="178"/>
    </row>
    <row r="133" spans="1:9">
      <c r="A133" s="455"/>
      <c r="B133" s="453"/>
      <c r="C133" s="453"/>
      <c r="D133" s="453"/>
      <c r="E133" s="455"/>
      <c r="F133" s="455" t="s">
        <v>113</v>
      </c>
      <c r="G133" s="455"/>
      <c r="H133" s="13"/>
      <c r="I133" s="178"/>
    </row>
    <row r="134" spans="1:9">
      <c r="A134" s="464" t="s">
        <v>137</v>
      </c>
      <c r="B134" s="453"/>
      <c r="C134" s="453"/>
      <c r="D134" s="453"/>
      <c r="E134" s="455"/>
      <c r="F134" s="455" t="s">
        <v>113</v>
      </c>
      <c r="G134" s="455"/>
      <c r="H134" s="13"/>
      <c r="I134" s="178"/>
    </row>
    <row r="135" spans="1:9">
      <c r="A135" s="466">
        <v>901</v>
      </c>
      <c r="B135" s="453" t="s">
        <v>180</v>
      </c>
      <c r="C135" s="453"/>
      <c r="D135" s="454">
        <v>812387.27</v>
      </c>
      <c r="E135" s="455"/>
      <c r="F135" s="455" t="s">
        <v>857</v>
      </c>
      <c r="G135" s="455"/>
      <c r="H135" s="13"/>
      <c r="I135" s="178"/>
    </row>
    <row r="136" spans="1:9">
      <c r="A136" s="466">
        <v>902</v>
      </c>
      <c r="B136" s="453" t="s">
        <v>181</v>
      </c>
      <c r="C136" s="453"/>
      <c r="D136" s="454">
        <v>4361317.6100000003</v>
      </c>
      <c r="E136" s="455"/>
      <c r="F136" s="455" t="s">
        <v>858</v>
      </c>
      <c r="G136" s="455"/>
      <c r="H136" s="13"/>
      <c r="I136" s="178"/>
    </row>
    <row r="137" spans="1:9">
      <c r="A137" s="466">
        <v>903</v>
      </c>
      <c r="B137" s="453" t="s">
        <v>182</v>
      </c>
      <c r="C137" s="453"/>
      <c r="D137" s="454">
        <v>26496003.359999999</v>
      </c>
      <c r="E137" s="455"/>
      <c r="F137" s="455" t="s">
        <v>859</v>
      </c>
      <c r="G137" s="455"/>
      <c r="H137" s="13"/>
      <c r="I137" s="178"/>
    </row>
    <row r="138" spans="1:9">
      <c r="A138" s="466">
        <v>904</v>
      </c>
      <c r="B138" s="453" t="s">
        <v>183</v>
      </c>
      <c r="C138" s="453"/>
      <c r="D138" s="454">
        <v>5927217.4299999997</v>
      </c>
      <c r="E138" s="455"/>
      <c r="F138" s="455" t="s">
        <v>860</v>
      </c>
      <c r="G138" s="455"/>
      <c r="H138" s="13"/>
      <c r="I138" s="178"/>
    </row>
    <row r="139" spans="1:9">
      <c r="A139" s="466">
        <v>905</v>
      </c>
      <c r="B139" s="453" t="s">
        <v>184</v>
      </c>
      <c r="C139" s="453"/>
      <c r="D139" s="460">
        <v>74841.27</v>
      </c>
      <c r="E139" s="455"/>
      <c r="F139" s="455" t="s">
        <v>861</v>
      </c>
      <c r="G139" s="455"/>
      <c r="H139" s="13"/>
      <c r="I139" s="178"/>
    </row>
    <row r="140" spans="1:9">
      <c r="A140" s="453"/>
      <c r="B140" s="453" t="s">
        <v>185</v>
      </c>
      <c r="C140" s="453"/>
      <c r="D140" s="453">
        <f>SUM(D135:D139)</f>
        <v>37671766.940000005</v>
      </c>
      <c r="E140" s="455"/>
      <c r="F140" s="455" t="s">
        <v>862</v>
      </c>
      <c r="G140" s="455"/>
      <c r="H140" s="13"/>
      <c r="I140" s="178"/>
    </row>
    <row r="141" spans="1:9">
      <c r="A141" s="453"/>
      <c r="B141" s="453"/>
      <c r="C141" s="453"/>
      <c r="D141" s="453"/>
      <c r="E141" s="455"/>
      <c r="F141" s="455" t="s">
        <v>113</v>
      </c>
      <c r="G141" s="455"/>
      <c r="H141" s="13"/>
      <c r="I141" s="178"/>
    </row>
    <row r="142" spans="1:9">
      <c r="A142" s="464" t="s">
        <v>217</v>
      </c>
      <c r="B142" s="453"/>
      <c r="C142" s="453"/>
      <c r="D142" s="453"/>
      <c r="E142" s="455"/>
      <c r="F142" s="455" t="s">
        <v>113</v>
      </c>
      <c r="G142" s="455"/>
      <c r="H142" s="13"/>
      <c r="I142" s="178"/>
    </row>
    <row r="143" spans="1:9">
      <c r="A143" s="466">
        <v>907</v>
      </c>
      <c r="B143" s="453" t="s">
        <v>180</v>
      </c>
      <c r="C143" s="453"/>
      <c r="D143" s="454">
        <v>653372.78</v>
      </c>
      <c r="E143" s="455"/>
      <c r="F143" s="455" t="s">
        <v>863</v>
      </c>
      <c r="G143" s="455"/>
      <c r="H143" s="13"/>
      <c r="I143" s="178"/>
    </row>
    <row r="144" spans="1:9">
      <c r="A144" s="466">
        <v>908</v>
      </c>
      <c r="B144" s="453" t="s">
        <v>186</v>
      </c>
      <c r="C144" s="453"/>
      <c r="D144" s="454">
        <v>9411199.2200000007</v>
      </c>
      <c r="E144" s="455"/>
      <c r="F144" s="455" t="s">
        <v>864</v>
      </c>
      <c r="G144" s="455"/>
      <c r="H144" s="13"/>
      <c r="I144" s="178"/>
    </row>
    <row r="145" spans="1:9">
      <c r="A145" s="466">
        <v>909</v>
      </c>
      <c r="B145" s="453" t="s">
        <v>187</v>
      </c>
      <c r="C145" s="453"/>
      <c r="D145" s="454">
        <v>0</v>
      </c>
      <c r="E145" s="455"/>
      <c r="F145" s="455" t="s">
        <v>865</v>
      </c>
      <c r="G145" s="455"/>
      <c r="H145" s="13"/>
      <c r="I145" s="178"/>
    </row>
    <row r="146" spans="1:9">
      <c r="A146" s="466">
        <v>910</v>
      </c>
      <c r="B146" s="453" t="s">
        <v>227</v>
      </c>
      <c r="C146" s="453"/>
      <c r="D146" s="460">
        <v>5893.23</v>
      </c>
      <c r="E146" s="455"/>
      <c r="F146" s="455" t="s">
        <v>866</v>
      </c>
      <c r="G146" s="455"/>
      <c r="H146" s="13"/>
      <c r="I146" s="178"/>
    </row>
    <row r="147" spans="1:9">
      <c r="A147" s="453"/>
      <c r="B147" s="453" t="s">
        <v>228</v>
      </c>
      <c r="C147" s="453"/>
      <c r="D147" s="453">
        <f>SUM(D143:D146)</f>
        <v>10070465.23</v>
      </c>
      <c r="E147" s="455"/>
      <c r="F147" s="455" t="s">
        <v>911</v>
      </c>
      <c r="G147" s="455"/>
      <c r="H147" s="13"/>
      <c r="I147" s="178"/>
    </row>
    <row r="148" spans="1:9">
      <c r="A148" s="453"/>
      <c r="B148" s="453"/>
      <c r="C148" s="453"/>
      <c r="D148" s="453"/>
      <c r="E148" s="455"/>
      <c r="F148" s="455" t="s">
        <v>113</v>
      </c>
      <c r="G148" s="455"/>
      <c r="H148" s="13"/>
      <c r="I148" s="178"/>
    </row>
    <row r="149" spans="1:9">
      <c r="A149" s="464" t="s">
        <v>198</v>
      </c>
      <c r="B149" s="453"/>
      <c r="C149" s="453"/>
      <c r="D149" s="453"/>
      <c r="E149" s="455"/>
      <c r="F149" s="455" t="s">
        <v>113</v>
      </c>
      <c r="G149" s="455"/>
      <c r="H149" s="13"/>
      <c r="I149" s="178"/>
    </row>
    <row r="150" spans="1:9">
      <c r="A150" s="466">
        <v>911</v>
      </c>
      <c r="B150" s="453" t="s">
        <v>180</v>
      </c>
      <c r="C150" s="453"/>
      <c r="D150" s="454">
        <v>2353.87</v>
      </c>
      <c r="E150" s="455"/>
      <c r="F150" s="455" t="s">
        <v>867</v>
      </c>
      <c r="G150" s="455"/>
      <c r="H150" s="13"/>
      <c r="I150" s="178"/>
    </row>
    <row r="151" spans="1:9">
      <c r="A151" s="466">
        <v>912</v>
      </c>
      <c r="B151" s="453" t="s">
        <v>188</v>
      </c>
      <c r="C151" s="453"/>
      <c r="D151" s="454">
        <v>262017.13</v>
      </c>
      <c r="E151" s="455"/>
      <c r="F151" s="455" t="s">
        <v>868</v>
      </c>
      <c r="G151" s="455"/>
      <c r="H151" s="13"/>
      <c r="I151" s="178"/>
    </row>
    <row r="152" spans="1:9">
      <c r="A152" s="466">
        <v>913</v>
      </c>
      <c r="B152" s="453" t="s">
        <v>189</v>
      </c>
      <c r="C152" s="453"/>
      <c r="D152" s="454">
        <v>0</v>
      </c>
      <c r="E152" s="455"/>
      <c r="F152" s="455" t="s">
        <v>869</v>
      </c>
      <c r="G152" s="455"/>
      <c r="H152" s="13"/>
      <c r="I152" s="178"/>
    </row>
    <row r="153" spans="1:9">
      <c r="A153" s="466">
        <v>916</v>
      </c>
      <c r="B153" s="453" t="s">
        <v>229</v>
      </c>
      <c r="C153" s="453"/>
      <c r="D153" s="460">
        <v>0</v>
      </c>
      <c r="E153" s="455"/>
      <c r="F153" s="455" t="s">
        <v>870</v>
      </c>
      <c r="G153" s="455"/>
      <c r="H153" s="13"/>
      <c r="I153" s="178"/>
    </row>
    <row r="154" spans="1:9">
      <c r="A154" s="453"/>
      <c r="B154" s="453" t="s">
        <v>230</v>
      </c>
      <c r="C154" s="453"/>
      <c r="D154" s="453">
        <f>SUM(D150:D153)</f>
        <v>264371</v>
      </c>
      <c r="E154" s="455"/>
      <c r="F154" s="455" t="s">
        <v>871</v>
      </c>
      <c r="G154" s="455"/>
      <c r="H154" s="13"/>
      <c r="I154" s="178"/>
    </row>
    <row r="155" spans="1:9">
      <c r="A155" s="453"/>
      <c r="B155" s="453"/>
      <c r="C155" s="453"/>
      <c r="D155" s="453"/>
      <c r="E155" s="455"/>
      <c r="F155" s="455"/>
      <c r="G155" s="455"/>
      <c r="H155" s="13"/>
      <c r="I155" s="178"/>
    </row>
    <row r="156" spans="1:9">
      <c r="A156" s="455"/>
      <c r="B156" s="455"/>
      <c r="C156" s="455"/>
      <c r="D156" s="455"/>
      <c r="E156" s="463" t="s">
        <v>113</v>
      </c>
      <c r="F156" s="463" t="s">
        <v>113</v>
      </c>
      <c r="G156" s="455" t="s">
        <v>936</v>
      </c>
      <c r="H156" s="13"/>
      <c r="I156" s="178"/>
    </row>
    <row r="157" spans="1:9">
      <c r="A157" s="712" t="s">
        <v>626</v>
      </c>
      <c r="B157" s="692"/>
      <c r="C157" s="692"/>
      <c r="D157" s="692"/>
      <c r="E157" s="692"/>
      <c r="F157" s="692"/>
      <c r="G157" s="692"/>
      <c r="H157" s="13"/>
      <c r="I157" s="178"/>
    </row>
    <row r="158" spans="1:9">
      <c r="A158" s="692" t="s">
        <v>606</v>
      </c>
      <c r="B158" s="692"/>
      <c r="C158" s="692"/>
      <c r="D158" s="692"/>
      <c r="E158" s="692"/>
      <c r="F158" s="692"/>
      <c r="G158" s="692"/>
      <c r="H158" s="13"/>
      <c r="I158" s="178"/>
    </row>
    <row r="159" spans="1:9">
      <c r="A159" s="712" t="s">
        <v>49</v>
      </c>
      <c r="B159" s="692"/>
      <c r="C159" s="692"/>
      <c r="D159" s="692"/>
      <c r="E159" s="692"/>
      <c r="F159" s="692"/>
      <c r="G159" s="692"/>
      <c r="H159" s="13"/>
      <c r="I159" s="178"/>
    </row>
    <row r="160" spans="1:9">
      <c r="A160" s="713" t="s">
        <v>1117</v>
      </c>
      <c r="B160" s="692"/>
      <c r="C160" s="692"/>
      <c r="D160" s="692"/>
      <c r="E160" s="692"/>
      <c r="F160" s="692"/>
      <c r="G160" s="692"/>
      <c r="H160" s="13"/>
      <c r="I160" s="178"/>
    </row>
    <row r="161" spans="1:9">
      <c r="A161" s="453"/>
      <c r="B161" s="453"/>
      <c r="C161" s="453"/>
      <c r="D161" s="453"/>
      <c r="E161" s="455"/>
      <c r="F161" s="455"/>
      <c r="G161" s="455"/>
      <c r="H161" s="13"/>
      <c r="I161" s="178"/>
    </row>
    <row r="162" spans="1:9">
      <c r="A162" s="464" t="s">
        <v>139</v>
      </c>
      <c r="B162" s="453"/>
      <c r="C162" s="453"/>
      <c r="D162" s="453"/>
      <c r="E162" s="455"/>
      <c r="F162" s="455" t="s">
        <v>113</v>
      </c>
      <c r="G162" s="455"/>
      <c r="H162" s="13"/>
      <c r="I162" s="178"/>
    </row>
    <row r="163" spans="1:9">
      <c r="A163" s="466">
        <v>920</v>
      </c>
      <c r="B163" s="453" t="s">
        <v>190</v>
      </c>
      <c r="C163" s="453"/>
      <c r="D163" s="454">
        <v>40295881.469999999</v>
      </c>
      <c r="E163" s="455"/>
      <c r="F163" s="455" t="s">
        <v>872</v>
      </c>
      <c r="G163" s="455"/>
      <c r="H163" s="13"/>
      <c r="I163" s="178"/>
    </row>
    <row r="164" spans="1:9">
      <c r="A164" s="466">
        <v>921</v>
      </c>
      <c r="B164" s="453" t="s">
        <v>191</v>
      </c>
      <c r="C164" s="453"/>
      <c r="D164" s="454">
        <v>5549681.0099999998</v>
      </c>
      <c r="E164" s="455"/>
      <c r="F164" s="455" t="s">
        <v>873</v>
      </c>
      <c r="G164" s="455"/>
      <c r="H164" s="13"/>
      <c r="I164" s="178"/>
    </row>
    <row r="165" spans="1:9">
      <c r="A165" s="466">
        <v>922</v>
      </c>
      <c r="B165" s="453" t="s">
        <v>231</v>
      </c>
      <c r="C165" s="453"/>
      <c r="D165" s="454">
        <v>-5793064.1500000004</v>
      </c>
      <c r="E165" s="455"/>
      <c r="F165" s="455" t="s">
        <v>874</v>
      </c>
      <c r="G165" s="455"/>
      <c r="H165" s="13"/>
      <c r="I165" s="178"/>
    </row>
    <row r="166" spans="1:9">
      <c r="A166" s="466">
        <v>923</v>
      </c>
      <c r="B166" s="453" t="s">
        <v>192</v>
      </c>
      <c r="C166" s="453"/>
      <c r="D166" s="454">
        <v>10748960.560000001</v>
      </c>
      <c r="E166" s="455"/>
      <c r="F166" s="455" t="s">
        <v>875</v>
      </c>
      <c r="G166" s="455"/>
      <c r="H166" s="13"/>
      <c r="I166" s="178"/>
    </row>
    <row r="167" spans="1:9">
      <c r="A167" s="466">
        <v>924</v>
      </c>
      <c r="B167" s="453" t="s">
        <v>193</v>
      </c>
      <c r="C167" s="453"/>
      <c r="D167" s="454">
        <v>2519543.08</v>
      </c>
      <c r="E167" s="455"/>
      <c r="F167" s="455" t="s">
        <v>876</v>
      </c>
      <c r="G167" s="455"/>
      <c r="H167" s="13"/>
      <c r="I167" s="178"/>
    </row>
    <row r="168" spans="1:9">
      <c r="A168" s="466">
        <v>925</v>
      </c>
      <c r="B168" s="453" t="s">
        <v>194</v>
      </c>
      <c r="C168" s="453"/>
      <c r="D168" s="454">
        <v>8407452.7799999993</v>
      </c>
      <c r="E168" s="455"/>
      <c r="F168" s="455" t="s">
        <v>877</v>
      </c>
      <c r="G168" s="455"/>
      <c r="H168" s="13"/>
      <c r="I168" s="178"/>
    </row>
    <row r="169" spans="1:9">
      <c r="A169" s="466">
        <v>926</v>
      </c>
      <c r="B169" s="459" t="s">
        <v>720</v>
      </c>
      <c r="C169" s="453"/>
      <c r="D169" s="454">
        <v>17526205.789999999</v>
      </c>
      <c r="E169" s="455"/>
      <c r="F169" s="455" t="s">
        <v>878</v>
      </c>
      <c r="G169" s="455"/>
      <c r="H169" s="13"/>
      <c r="I169" s="178"/>
    </row>
    <row r="170" spans="1:9">
      <c r="A170" s="466" t="s">
        <v>716</v>
      </c>
      <c r="B170" s="459" t="s">
        <v>719</v>
      </c>
      <c r="C170" s="453"/>
      <c r="D170" s="453">
        <f>D198</f>
        <v>-15087648.42</v>
      </c>
      <c r="E170" s="455"/>
      <c r="F170" s="455" t="s">
        <v>113</v>
      </c>
      <c r="G170" s="455"/>
      <c r="H170" s="13"/>
      <c r="I170" s="178"/>
    </row>
    <row r="171" spans="1:9">
      <c r="A171" s="466" t="s">
        <v>717</v>
      </c>
      <c r="B171" s="459" t="s">
        <v>718</v>
      </c>
      <c r="C171" s="453"/>
      <c r="D171" s="467">
        <f>+D204</f>
        <v>6222780</v>
      </c>
      <c r="E171" s="455"/>
      <c r="F171" s="455" t="s">
        <v>113</v>
      </c>
      <c r="G171" s="455"/>
      <c r="H171" s="13"/>
      <c r="I171" s="178"/>
    </row>
    <row r="172" spans="1:9">
      <c r="A172" s="466">
        <v>926</v>
      </c>
      <c r="B172" s="459" t="s">
        <v>462</v>
      </c>
      <c r="C172" s="453"/>
      <c r="D172" s="453">
        <f>SUM(D169:D171)</f>
        <v>8661337.3699999992</v>
      </c>
      <c r="E172" s="455"/>
      <c r="F172" s="455" t="s">
        <v>113</v>
      </c>
      <c r="G172" s="455"/>
      <c r="H172" s="13"/>
      <c r="I172" s="178"/>
    </row>
    <row r="173" spans="1:9">
      <c r="A173" s="466">
        <v>927</v>
      </c>
      <c r="B173" s="453" t="s">
        <v>232</v>
      </c>
      <c r="C173" s="453"/>
      <c r="D173" s="454">
        <v>0</v>
      </c>
      <c r="E173" s="455"/>
      <c r="F173" s="455" t="s">
        <v>879</v>
      </c>
      <c r="G173" s="455"/>
      <c r="H173" s="13"/>
      <c r="I173" s="178"/>
    </row>
    <row r="174" spans="1:9">
      <c r="A174" s="466">
        <v>928</v>
      </c>
      <c r="B174" s="453" t="s">
        <v>195</v>
      </c>
      <c r="C174" s="453"/>
      <c r="D174" s="454">
        <v>3654326.04</v>
      </c>
      <c r="E174" s="468"/>
      <c r="F174" s="455" t="s">
        <v>880</v>
      </c>
      <c r="G174" s="455"/>
      <c r="H174" s="13"/>
      <c r="I174" s="178"/>
    </row>
    <row r="175" spans="1:9">
      <c r="A175" s="466">
        <v>929</v>
      </c>
      <c r="B175" s="453" t="s">
        <v>233</v>
      </c>
      <c r="C175" s="453"/>
      <c r="D175" s="469">
        <v>-207635</v>
      </c>
      <c r="E175" s="455"/>
      <c r="F175" s="455" t="s">
        <v>881</v>
      </c>
      <c r="G175" s="455"/>
      <c r="H175" s="13"/>
      <c r="I175" s="178"/>
    </row>
    <row r="176" spans="1:9">
      <c r="A176" s="470">
        <v>930.1</v>
      </c>
      <c r="B176" s="455" t="s">
        <v>196</v>
      </c>
      <c r="C176" s="453"/>
      <c r="D176" s="454">
        <v>339442.47</v>
      </c>
      <c r="E176" s="471"/>
      <c r="F176" s="455" t="s">
        <v>882</v>
      </c>
      <c r="G176" s="455"/>
      <c r="H176" s="13"/>
      <c r="I176" s="178"/>
    </row>
    <row r="177" spans="1:9">
      <c r="A177" s="470">
        <v>930.2</v>
      </c>
      <c r="B177" s="453" t="s">
        <v>234</v>
      </c>
      <c r="C177" s="453"/>
      <c r="D177" s="454">
        <v>7770072.1900000004</v>
      </c>
      <c r="E177" s="469"/>
      <c r="F177" s="455" t="s">
        <v>883</v>
      </c>
      <c r="G177" s="455"/>
      <c r="H177" s="13"/>
      <c r="I177" s="178"/>
    </row>
    <row r="178" spans="1:9">
      <c r="A178" s="470">
        <v>930.2</v>
      </c>
      <c r="B178" s="453" t="s">
        <v>235</v>
      </c>
      <c r="C178" s="453"/>
      <c r="D178" s="469">
        <v>0</v>
      </c>
      <c r="E178" s="461"/>
      <c r="F178" s="455" t="s">
        <v>883</v>
      </c>
      <c r="G178" s="455"/>
      <c r="H178" s="13"/>
      <c r="I178" s="178"/>
    </row>
    <row r="179" spans="1:9">
      <c r="A179" s="466">
        <v>931</v>
      </c>
      <c r="B179" s="453" t="s">
        <v>147</v>
      </c>
      <c r="C179" s="453"/>
      <c r="D179" s="460">
        <v>2316429.4500000002</v>
      </c>
      <c r="E179" s="455"/>
      <c r="F179" s="455" t="s">
        <v>884</v>
      </c>
      <c r="G179" s="455"/>
      <c r="H179" s="13"/>
      <c r="I179" s="178"/>
    </row>
    <row r="180" spans="1:9">
      <c r="A180" s="466" t="s">
        <v>113</v>
      </c>
      <c r="B180" s="453" t="s">
        <v>151</v>
      </c>
      <c r="C180" s="453"/>
      <c r="D180" s="453">
        <f>+D163+D164+D165+D166+D167+D168+D172+D173+D174+D175+D176+D177+D178+D179</f>
        <v>84262427.270000011</v>
      </c>
      <c r="E180" s="453"/>
      <c r="F180" s="455" t="s">
        <v>885</v>
      </c>
      <c r="G180" s="455"/>
      <c r="H180" s="13"/>
      <c r="I180" s="178"/>
    </row>
    <row r="181" spans="1:9">
      <c r="A181" s="466"/>
      <c r="B181" s="455"/>
      <c r="C181" s="455"/>
      <c r="D181" s="469"/>
      <c r="E181" s="455"/>
      <c r="F181" s="455"/>
      <c r="G181" s="455"/>
      <c r="H181" s="13"/>
      <c r="I181" s="178"/>
    </row>
    <row r="182" spans="1:9">
      <c r="A182" s="466"/>
      <c r="B182" s="453"/>
      <c r="C182" s="453"/>
      <c r="D182" s="453"/>
      <c r="E182" s="455"/>
      <c r="F182" s="455" t="s">
        <v>113</v>
      </c>
      <c r="G182" s="455"/>
      <c r="H182" s="13"/>
      <c r="I182" s="178"/>
    </row>
    <row r="183" spans="1:9">
      <c r="A183" s="466">
        <v>935</v>
      </c>
      <c r="B183" s="453" t="s">
        <v>197</v>
      </c>
      <c r="C183" s="453"/>
      <c r="D183" s="460">
        <v>11478794.199999999</v>
      </c>
      <c r="E183" s="455"/>
      <c r="F183" s="455" t="s">
        <v>886</v>
      </c>
      <c r="G183" s="455"/>
      <c r="H183" s="13"/>
      <c r="I183" s="178"/>
    </row>
    <row r="184" spans="1:9">
      <c r="A184" s="453"/>
      <c r="B184" s="453" t="s">
        <v>157</v>
      </c>
      <c r="C184" s="453"/>
      <c r="D184" s="453">
        <f>SUM(D183:D183)</f>
        <v>11478794.199999999</v>
      </c>
      <c r="E184" s="455"/>
      <c r="F184" s="455" t="s">
        <v>113</v>
      </c>
      <c r="G184" s="455"/>
    </row>
    <row r="185" spans="1:9">
      <c r="A185" s="453"/>
      <c r="B185" s="453"/>
      <c r="C185" s="453"/>
      <c r="D185" s="453"/>
      <c r="E185" s="455"/>
      <c r="F185" s="455" t="s">
        <v>113</v>
      </c>
      <c r="G185" s="455"/>
    </row>
    <row r="186" spans="1:9">
      <c r="A186" s="453"/>
      <c r="B186" s="453" t="s">
        <v>236</v>
      </c>
      <c r="C186" s="453"/>
      <c r="D186" s="467">
        <f>+D180+D184</f>
        <v>95741221.470000014</v>
      </c>
      <c r="E186" s="453"/>
      <c r="F186" s="455" t="s">
        <v>887</v>
      </c>
      <c r="G186" s="455"/>
    </row>
    <row r="187" spans="1:9">
      <c r="A187" s="453"/>
      <c r="B187" s="453"/>
      <c r="C187" s="453"/>
      <c r="D187" s="453"/>
      <c r="E187" s="455"/>
      <c r="F187" s="455" t="s">
        <v>113</v>
      </c>
      <c r="G187" s="455"/>
    </row>
    <row r="188" spans="1:9" ht="13.8" thickBot="1">
      <c r="A188" s="455"/>
      <c r="B188" s="472" t="s">
        <v>237</v>
      </c>
      <c r="C188" s="453"/>
      <c r="D188" s="473">
        <f>+D59+D97+D131+D140+D147+D154+D186+D100</f>
        <v>1752825038.4100001</v>
      </c>
      <c r="E188" s="461"/>
      <c r="F188" s="455" t="s">
        <v>888</v>
      </c>
      <c r="G188" s="455"/>
    </row>
    <row r="189" spans="1:9" ht="13.8" thickTop="1">
      <c r="A189" s="455"/>
      <c r="B189" s="455"/>
      <c r="C189" s="455"/>
      <c r="D189" s="455" t="s">
        <v>113</v>
      </c>
      <c r="E189" s="455"/>
      <c r="F189" s="455"/>
      <c r="G189" s="455"/>
    </row>
    <row r="190" spans="1:9">
      <c r="A190" s="455"/>
      <c r="B190" s="455"/>
      <c r="C190" s="455"/>
      <c r="D190" s="455"/>
      <c r="E190" s="453"/>
      <c r="F190" s="455"/>
      <c r="G190" s="455"/>
    </row>
    <row r="191" spans="1:9">
      <c r="A191" s="455"/>
      <c r="B191" s="474"/>
      <c r="C191" s="475"/>
      <c r="D191" s="461"/>
      <c r="E191" s="453"/>
      <c r="F191" s="455"/>
      <c r="G191" s="455"/>
    </row>
    <row r="192" spans="1:9">
      <c r="A192" s="455"/>
      <c r="B192" s="455" t="s">
        <v>511</v>
      </c>
      <c r="C192" s="475"/>
      <c r="D192" s="16">
        <v>1762763495</v>
      </c>
      <c r="E192" s="455"/>
      <c r="F192" s="455"/>
      <c r="G192" s="455"/>
    </row>
    <row r="193" spans="1:7">
      <c r="A193" s="455"/>
      <c r="B193" s="455" t="s">
        <v>142</v>
      </c>
      <c r="C193" s="475"/>
      <c r="D193" s="13">
        <f>D192-D188</f>
        <v>9938456.5899999142</v>
      </c>
      <c r="E193" s="453"/>
      <c r="F193" s="455"/>
      <c r="G193" s="455"/>
    </row>
    <row r="194" spans="1:7">
      <c r="A194" s="455"/>
      <c r="B194" s="455"/>
      <c r="C194" s="455"/>
      <c r="D194" s="455"/>
      <c r="E194" s="455"/>
      <c r="F194" s="455"/>
      <c r="G194" s="455"/>
    </row>
    <row r="195" spans="1:7" ht="13.8">
      <c r="A195" s="489" t="s">
        <v>715</v>
      </c>
      <c r="B195" s="490"/>
      <c r="C195" s="490"/>
      <c r="D195" s="491"/>
      <c r="E195" s="455"/>
      <c r="F195" s="455"/>
      <c r="G195" s="455"/>
    </row>
    <row r="196" spans="1:7">
      <c r="A196" s="492" t="s">
        <v>426</v>
      </c>
      <c r="B196" s="477" t="s">
        <v>664</v>
      </c>
      <c r="C196" s="478"/>
      <c r="D196" s="493">
        <v>-16958385.32</v>
      </c>
      <c r="E196" s="455"/>
      <c r="F196" s="455"/>
      <c r="G196" s="455"/>
    </row>
    <row r="197" spans="1:7">
      <c r="A197" s="492"/>
      <c r="B197" s="477" t="s">
        <v>432</v>
      </c>
      <c r="C197" s="478"/>
      <c r="D197" s="493">
        <v>1870736.9</v>
      </c>
      <c r="E197" s="455"/>
      <c r="F197" s="455"/>
      <c r="G197" s="455"/>
    </row>
    <row r="198" spans="1:7">
      <c r="A198" s="492"/>
      <c r="B198" s="479" t="s">
        <v>433</v>
      </c>
      <c r="C198" s="478"/>
      <c r="D198" s="494">
        <f>SUM(D196:D197)</f>
        <v>-15087648.42</v>
      </c>
      <c r="E198" s="455"/>
      <c r="F198" s="455"/>
      <c r="G198" s="455"/>
    </row>
    <row r="199" spans="1:7">
      <c r="A199" s="492"/>
      <c r="B199" s="477"/>
      <c r="C199" s="477"/>
      <c r="D199" s="495"/>
      <c r="E199" s="455"/>
      <c r="F199" s="455"/>
      <c r="G199" s="455"/>
    </row>
    <row r="200" spans="1:7">
      <c r="A200" s="496"/>
      <c r="B200" s="497"/>
      <c r="C200" s="497"/>
      <c r="D200" s="498"/>
      <c r="E200" s="455"/>
      <c r="F200" s="455"/>
      <c r="G200" s="455"/>
    </row>
    <row r="201" spans="1:7" ht="13.8">
      <c r="A201" s="488" t="s">
        <v>714</v>
      </c>
      <c r="B201" s="477"/>
      <c r="C201" s="477"/>
      <c r="D201" s="481"/>
      <c r="E201" s="455"/>
      <c r="F201" s="455"/>
      <c r="G201" s="455"/>
    </row>
    <row r="202" spans="1:7">
      <c r="A202" s="476" t="s">
        <v>426</v>
      </c>
      <c r="B202" s="477" t="s">
        <v>664</v>
      </c>
      <c r="C202" s="478"/>
      <c r="D202" s="485">
        <v>10806289</v>
      </c>
      <c r="E202" s="455"/>
      <c r="F202" s="453"/>
      <c r="G202" s="455"/>
    </row>
    <row r="203" spans="1:7">
      <c r="A203" s="476"/>
      <c r="B203" s="477" t="s">
        <v>432</v>
      </c>
      <c r="C203" s="478"/>
      <c r="D203" s="485">
        <v>-4583509</v>
      </c>
      <c r="E203" s="455"/>
      <c r="F203" s="455"/>
      <c r="G203" s="455"/>
    </row>
    <row r="204" spans="1:7">
      <c r="A204" s="476"/>
      <c r="B204" s="479" t="s">
        <v>721</v>
      </c>
      <c r="C204" s="478"/>
      <c r="D204" s="480">
        <f>SUM(D202:D203)</f>
        <v>6222780</v>
      </c>
      <c r="E204" s="455"/>
      <c r="F204" s="486"/>
      <c r="G204" s="455"/>
    </row>
    <row r="205" spans="1:7" ht="13.8" thickBot="1">
      <c r="A205" s="482"/>
      <c r="B205" s="487" t="s">
        <v>113</v>
      </c>
      <c r="C205" s="483"/>
      <c r="D205" s="484"/>
      <c r="E205" s="455"/>
      <c r="F205" s="455"/>
      <c r="G205" s="455"/>
    </row>
    <row r="206" spans="1:7">
      <c r="A206" s="455" t="s">
        <v>912</v>
      </c>
      <c r="B206" s="455"/>
      <c r="C206" s="455"/>
      <c r="D206" s="455"/>
      <c r="E206" s="455"/>
      <c r="F206" s="455"/>
      <c r="G206" s="455"/>
    </row>
  </sheetData>
  <mergeCells count="16">
    <mergeCell ref="A64:G64"/>
    <mergeCell ref="A2:G2"/>
    <mergeCell ref="A3:G3"/>
    <mergeCell ref="A4:G4"/>
    <mergeCell ref="A5:G5"/>
    <mergeCell ref="A63:G63"/>
    <mergeCell ref="A157:G157"/>
    <mergeCell ref="A158:G158"/>
    <mergeCell ref="A159:G159"/>
    <mergeCell ref="A160:G160"/>
    <mergeCell ref="A65:G65"/>
    <mergeCell ref="A66:G66"/>
    <mergeCell ref="A115:G115"/>
    <mergeCell ref="A116:G116"/>
    <mergeCell ref="A117:G117"/>
    <mergeCell ref="A118:G118"/>
  </mergeCells>
  <phoneticPr fontId="2" type="noConversion"/>
  <conditionalFormatting sqref="D197">
    <cfRule type="expression" dxfId="5" priority="1" stopIfTrue="1">
      <formula>AND((#REF!&gt;1000000),(#REF!&gt;0.1))</formula>
    </cfRule>
    <cfRule type="expression" dxfId="4" priority="2" stopIfTrue="1">
      <formula>AND((#REF!&lt;-1000000),(#REF!&lt;-0.1))</formula>
    </cfRule>
    <cfRule type="expression" dxfId="3" priority="3" stopIfTrue="1">
      <formula>AND((#REF!&lt;-1000000),(#REF!&gt;0.1))</formula>
    </cfRule>
  </conditionalFormatting>
  <conditionalFormatting sqref="D196">
    <cfRule type="expression" dxfId="2" priority="4" stopIfTrue="1">
      <formula>AND((#REF!&gt;1000000),(#REF!&gt;0.1))</formula>
    </cfRule>
    <cfRule type="expression" dxfId="1" priority="5" stopIfTrue="1">
      <formula>AND((#REF!&lt;-1000000),(#REF!&lt;-0.1))</formula>
    </cfRule>
    <cfRule type="expression" dxfId="0" priority="6" stopIfTrue="1">
      <formula>AND((#REF!&lt;-1000000),(#REF!&gt;0.1))</formula>
    </cfRule>
  </conditionalFormatting>
  <pageMargins left="0.5" right="0.5" top="0.5" bottom="0.5" header="0.5" footer="0.25"/>
  <pageSetup scale="86" orientation="portrait" r:id="rId1"/>
  <headerFooter alignWithMargins="0">
    <oddFooter>&amp;C&amp;A</oddFooter>
  </headerFooter>
  <rowBreaks count="3" manualBreakCount="3">
    <brk id="61" max="16383" man="1"/>
    <brk id="113" max="16383" man="1"/>
    <brk id="1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J18"/>
  <sheetViews>
    <sheetView showGridLines="0" view="pageBreakPreview" zoomScale="60" zoomScaleNormal="100" workbookViewId="0">
      <selection activeCell="I19" sqref="I19"/>
    </sheetView>
  </sheetViews>
  <sheetFormatPr defaultColWidth="9.109375" defaultRowHeight="13.2"/>
  <cols>
    <col min="1" max="1" width="9.109375" style="1"/>
    <col min="2" max="2" width="37" style="1" customWidth="1"/>
    <col min="3" max="3" width="3.88671875" style="1" customWidth="1"/>
    <col min="4" max="4" width="13.33203125" style="1" customWidth="1"/>
    <col min="5" max="5" width="5.6640625" style="1" customWidth="1"/>
    <col min="6" max="6" width="15.44140625" style="1" customWidth="1"/>
    <col min="7" max="7" width="12.88671875" style="1" customWidth="1"/>
    <col min="8" max="8" width="9.109375" style="1"/>
    <col min="9" max="9" width="12.6640625" style="1" customWidth="1"/>
    <col min="10" max="16384" width="9.109375" style="1"/>
  </cols>
  <sheetData>
    <row r="1" spans="1:10">
      <c r="A1" s="1" t="s">
        <v>113</v>
      </c>
      <c r="J1" s="297" t="s">
        <v>113</v>
      </c>
    </row>
    <row r="2" spans="1:10">
      <c r="B2" s="661" t="s">
        <v>626</v>
      </c>
      <c r="C2" s="661"/>
      <c r="D2" s="661"/>
      <c r="E2" s="661"/>
      <c r="F2" s="662"/>
      <c r="G2" s="662"/>
      <c r="H2" s="662"/>
      <c r="I2" s="1" t="s">
        <v>113</v>
      </c>
      <c r="J2" s="297" t="s">
        <v>113</v>
      </c>
    </row>
    <row r="3" spans="1:10">
      <c r="B3" s="666" t="s">
        <v>606</v>
      </c>
      <c r="C3" s="666"/>
      <c r="D3" s="666"/>
      <c r="E3" s="666"/>
      <c r="F3" s="666"/>
      <c r="G3" s="666"/>
      <c r="H3" s="666"/>
    </row>
    <row r="4" spans="1:10">
      <c r="B4" s="663" t="s">
        <v>609</v>
      </c>
      <c r="C4" s="663"/>
      <c r="D4" s="663"/>
      <c r="E4" s="663"/>
      <c r="F4" s="663"/>
      <c r="G4" s="663"/>
      <c r="H4" s="664"/>
    </row>
    <row r="5" spans="1:10">
      <c r="B5" s="665" t="s">
        <v>955</v>
      </c>
      <c r="C5" s="663"/>
      <c r="D5" s="663"/>
      <c r="E5" s="663"/>
      <c r="F5" s="663"/>
      <c r="G5" s="663"/>
      <c r="H5" s="664"/>
    </row>
    <row r="10" spans="1:10">
      <c r="D10" s="660" t="s">
        <v>105</v>
      </c>
      <c r="E10" s="660"/>
      <c r="F10" s="660"/>
      <c r="G10" s="660"/>
    </row>
    <row r="11" spans="1:10" ht="15.6">
      <c r="D11" s="325" t="s">
        <v>103</v>
      </c>
      <c r="F11" s="325" t="s">
        <v>106</v>
      </c>
      <c r="G11" s="325" t="s">
        <v>107</v>
      </c>
      <c r="H11" s="205" t="s">
        <v>277</v>
      </c>
    </row>
    <row r="12" spans="1:10">
      <c r="B12" s="1" t="s">
        <v>113</v>
      </c>
      <c r="D12" s="4">
        <f>SUM(F12:G12)</f>
        <v>0</v>
      </c>
      <c r="F12" s="5">
        <v>0</v>
      </c>
      <c r="G12" s="5">
        <v>0</v>
      </c>
      <c r="H12" s="107" t="s">
        <v>278</v>
      </c>
    </row>
    <row r="13" spans="1:10">
      <c r="B13" s="1" t="s">
        <v>103</v>
      </c>
      <c r="D13" s="6">
        <f>SUM(D12:D12)</f>
        <v>0</v>
      </c>
      <c r="F13" s="6">
        <f>SUM(F12:F12)</f>
        <v>0</v>
      </c>
      <c r="G13" s="6">
        <f>SUM(G12:G12)</f>
        <v>0</v>
      </c>
    </row>
    <row r="14" spans="1:10">
      <c r="D14" s="6"/>
      <c r="E14" s="6"/>
      <c r="F14" s="6"/>
    </row>
    <row r="16" spans="1:10">
      <c r="B16" s="193" t="s">
        <v>279</v>
      </c>
    </row>
    <row r="17" spans="2:10">
      <c r="B17"/>
      <c r="C17"/>
      <c r="D17"/>
      <c r="E17"/>
      <c r="F17"/>
      <c r="G17"/>
      <c r="H17"/>
      <c r="I17"/>
      <c r="J17"/>
    </row>
    <row r="18" spans="2:10" ht="15.6">
      <c r="B18" s="195" t="s">
        <v>280</v>
      </c>
    </row>
  </sheetData>
  <mergeCells count="5">
    <mergeCell ref="D10:G10"/>
    <mergeCell ref="B2:H2"/>
    <mergeCell ref="B4:H4"/>
    <mergeCell ref="B5:H5"/>
    <mergeCell ref="B3:H3"/>
  </mergeCells>
  <phoneticPr fontId="2" type="noConversion"/>
  <pageMargins left="0.5" right="0.5" top="0.5" bottom="0.5" header="0.5" footer="0.25"/>
  <pageSetup scale="76" orientation="portrait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6" tint="-0.249977111117893"/>
  </sheetPr>
  <dimension ref="A1:G51"/>
  <sheetViews>
    <sheetView showGridLines="0" view="pageBreakPreview" zoomScaleNormal="100" zoomScaleSheetLayoutView="100" workbookViewId="0">
      <selection activeCell="E39" sqref="E39"/>
    </sheetView>
  </sheetViews>
  <sheetFormatPr defaultColWidth="11" defaultRowHeight="13.2"/>
  <cols>
    <col min="1" max="1" width="15.5546875" style="7" customWidth="1"/>
    <col min="2" max="3" width="16.88671875" style="7" customWidth="1"/>
    <col min="4" max="4" width="16.5546875" style="7" customWidth="1"/>
    <col min="5" max="5" width="16.6640625" style="7" customWidth="1"/>
    <col min="6" max="6" width="11.6640625" style="7" customWidth="1"/>
    <col min="7" max="7" width="15.44140625" style="7" customWidth="1"/>
    <col min="8" max="16384" width="11" style="7"/>
  </cols>
  <sheetData>
    <row r="1" spans="1:7">
      <c r="A1" s="455"/>
      <c r="B1" s="455"/>
      <c r="C1" s="455"/>
      <c r="D1" s="455"/>
      <c r="E1" s="455"/>
      <c r="F1" s="463" t="s">
        <v>113</v>
      </c>
      <c r="G1" s="455"/>
    </row>
    <row r="2" spans="1:7">
      <c r="A2" s="716" t="s">
        <v>626</v>
      </c>
      <c r="B2" s="716"/>
      <c r="C2" s="716"/>
      <c r="D2" s="716"/>
      <c r="E2" s="716"/>
      <c r="F2" s="692"/>
      <c r="G2" s="692"/>
    </row>
    <row r="3" spans="1:7">
      <c r="A3" s="692" t="s">
        <v>606</v>
      </c>
      <c r="B3" s="692"/>
      <c r="C3" s="692"/>
      <c r="D3" s="692"/>
      <c r="E3" s="692"/>
      <c r="F3" s="692"/>
      <c r="G3" s="692"/>
    </row>
    <row r="4" spans="1:7">
      <c r="A4" s="717" t="s">
        <v>50</v>
      </c>
      <c r="B4" s="717"/>
      <c r="C4" s="717"/>
      <c r="D4" s="717"/>
      <c r="E4" s="717"/>
      <c r="F4" s="692"/>
      <c r="G4" s="692"/>
    </row>
    <row r="5" spans="1:7">
      <c r="A5" s="718" t="s">
        <v>1117</v>
      </c>
      <c r="B5" s="718"/>
      <c r="C5" s="718"/>
      <c r="D5" s="718"/>
      <c r="E5" s="718"/>
      <c r="F5" s="692"/>
      <c r="G5" s="692"/>
    </row>
    <row r="6" spans="1:7">
      <c r="A6" s="455"/>
      <c r="B6" s="455"/>
      <c r="C6" s="455"/>
      <c r="D6" s="455"/>
      <c r="E6" s="455"/>
      <c r="F6" s="455"/>
      <c r="G6" s="455"/>
    </row>
    <row r="7" spans="1:7">
      <c r="A7" s="455"/>
      <c r="B7" s="455"/>
      <c r="C7" s="455"/>
      <c r="D7" s="455"/>
      <c r="E7" s="455"/>
      <c r="F7" s="455"/>
      <c r="G7" s="455"/>
    </row>
    <row r="8" spans="1:7">
      <c r="A8" s="455"/>
      <c r="B8" s="455"/>
      <c r="C8" s="455"/>
      <c r="D8" s="497" t="s">
        <v>725</v>
      </c>
      <c r="E8" s="585" t="s">
        <v>296</v>
      </c>
      <c r="F8" s="455"/>
      <c r="G8" s="455"/>
    </row>
    <row r="9" spans="1:7">
      <c r="A9" s="586"/>
      <c r="B9" s="455"/>
      <c r="C9" s="455"/>
      <c r="D9" s="455"/>
      <c r="E9" s="455"/>
      <c r="F9" s="455"/>
      <c r="G9" s="455"/>
    </row>
    <row r="10" spans="1:7" ht="15.6">
      <c r="A10" s="587" t="s">
        <v>104</v>
      </c>
      <c r="B10" s="455"/>
      <c r="C10" s="455"/>
      <c r="D10" s="455"/>
      <c r="E10" s="588" t="s">
        <v>113</v>
      </c>
      <c r="F10" s="455"/>
      <c r="G10" s="455"/>
    </row>
    <row r="11" spans="1:7">
      <c r="A11" s="586"/>
      <c r="B11" s="455"/>
      <c r="C11" s="455"/>
      <c r="D11" s="455"/>
      <c r="E11" s="588"/>
      <c r="F11" s="455"/>
      <c r="G11" s="455"/>
    </row>
    <row r="12" spans="1:7">
      <c r="A12" s="586" t="s">
        <v>724</v>
      </c>
      <c r="B12" s="455"/>
      <c r="C12" s="455"/>
      <c r="D12" s="455" t="s">
        <v>729</v>
      </c>
      <c r="E12" s="588">
        <v>65025</v>
      </c>
      <c r="F12" s="455"/>
      <c r="G12" s="455"/>
    </row>
    <row r="13" spans="1:7">
      <c r="A13" s="586" t="s">
        <v>726</v>
      </c>
      <c r="B13" s="455"/>
      <c r="C13" s="455"/>
      <c r="D13" s="455" t="s">
        <v>730</v>
      </c>
      <c r="E13" s="588">
        <v>91165</v>
      </c>
      <c r="F13" s="455"/>
      <c r="G13" s="455"/>
    </row>
    <row r="14" spans="1:7">
      <c r="A14" s="591" t="s">
        <v>957</v>
      </c>
      <c r="B14" s="455"/>
      <c r="C14" s="455"/>
      <c r="D14" s="589" t="s">
        <v>731</v>
      </c>
      <c r="E14" s="588">
        <v>415867</v>
      </c>
      <c r="F14" s="455"/>
      <c r="G14" s="455"/>
    </row>
    <row r="15" spans="1:7">
      <c r="A15" s="591" t="s">
        <v>956</v>
      </c>
      <c r="B15" s="455"/>
      <c r="C15" s="455"/>
      <c r="D15" s="590" t="s">
        <v>732</v>
      </c>
      <c r="E15" s="588">
        <v>273988</v>
      </c>
      <c r="F15" s="455"/>
      <c r="G15" s="455"/>
    </row>
    <row r="16" spans="1:7">
      <c r="A16" s="591" t="s">
        <v>1012</v>
      </c>
      <c r="B16" s="455"/>
      <c r="C16" s="455"/>
      <c r="D16" s="455" t="s">
        <v>734</v>
      </c>
      <c r="E16" s="592">
        <v>104287</v>
      </c>
      <c r="F16" s="455"/>
      <c r="G16" s="455"/>
    </row>
    <row r="17" spans="1:7">
      <c r="A17" s="591" t="s">
        <v>1164</v>
      </c>
      <c r="B17" s="455"/>
      <c r="C17" s="455"/>
      <c r="D17" s="455" t="s">
        <v>735</v>
      </c>
      <c r="E17" s="592">
        <v>221560</v>
      </c>
      <c r="F17" s="455"/>
      <c r="G17" s="455"/>
    </row>
    <row r="18" spans="1:7">
      <c r="A18" s="591" t="s">
        <v>1165</v>
      </c>
      <c r="B18" s="455"/>
      <c r="C18" s="455"/>
      <c r="D18" s="455" t="s">
        <v>958</v>
      </c>
      <c r="E18" s="592">
        <v>82565</v>
      </c>
      <c r="F18" s="455"/>
      <c r="G18" s="455"/>
    </row>
    <row r="19" spans="1:7">
      <c r="A19" s="591" t="s">
        <v>1166</v>
      </c>
      <c r="B19" s="455"/>
      <c r="C19" s="455"/>
      <c r="D19" s="455" t="s">
        <v>959</v>
      </c>
      <c r="E19" s="592">
        <v>112382</v>
      </c>
      <c r="F19" s="455"/>
      <c r="G19" s="455"/>
    </row>
    <row r="20" spans="1:7">
      <c r="A20" s="591" t="s">
        <v>1167</v>
      </c>
      <c r="B20" s="455"/>
      <c r="C20" s="455"/>
      <c r="D20" s="455" t="s">
        <v>960</v>
      </c>
      <c r="E20" s="592">
        <v>213073</v>
      </c>
      <c r="F20" s="455"/>
      <c r="G20" s="455"/>
    </row>
    <row r="21" spans="1:7">
      <c r="A21" s="591" t="s">
        <v>1173</v>
      </c>
      <c r="B21" s="455"/>
      <c r="C21" s="455"/>
      <c r="D21" s="455" t="s">
        <v>1170</v>
      </c>
      <c r="E21" s="592">
        <v>36066</v>
      </c>
      <c r="F21" s="455"/>
      <c r="G21" s="455"/>
    </row>
    <row r="22" spans="1:7">
      <c r="A22" s="591" t="s">
        <v>1168</v>
      </c>
      <c r="B22" s="455"/>
      <c r="C22" s="455"/>
      <c r="D22" s="455" t="s">
        <v>1171</v>
      </c>
      <c r="E22" s="592">
        <v>175001</v>
      </c>
      <c r="F22" s="455"/>
      <c r="G22" s="455"/>
    </row>
    <row r="23" spans="1:7">
      <c r="A23" s="591" t="s">
        <v>1169</v>
      </c>
      <c r="B23" s="455"/>
      <c r="C23" s="455"/>
      <c r="D23" s="455" t="s">
        <v>1172</v>
      </c>
      <c r="E23" s="593">
        <v>173151</v>
      </c>
      <c r="F23" s="455"/>
      <c r="G23" s="455"/>
    </row>
    <row r="24" spans="1:7" ht="13.5" customHeight="1">
      <c r="A24" s="594" t="s">
        <v>751</v>
      </c>
      <c r="B24" s="455"/>
      <c r="C24" s="455"/>
      <c r="D24" s="455"/>
      <c r="E24" s="588">
        <f>SUM(E12:E23)</f>
        <v>1964130</v>
      </c>
      <c r="F24" s="455"/>
      <c r="G24" s="455"/>
    </row>
    <row r="25" spans="1:7">
      <c r="A25" s="586"/>
      <c r="B25" s="455"/>
      <c r="C25" s="455"/>
      <c r="D25" s="455"/>
      <c r="E25" s="595"/>
      <c r="F25" s="455"/>
      <c r="G25" s="455"/>
    </row>
    <row r="26" spans="1:7" ht="18">
      <c r="A26" s="587" t="s">
        <v>890</v>
      </c>
      <c r="B26" s="455"/>
      <c r="C26" s="455"/>
      <c r="D26" s="455"/>
      <c r="E26" s="596" t="s">
        <v>113</v>
      </c>
      <c r="F26" s="455"/>
      <c r="G26" s="455"/>
    </row>
    <row r="27" spans="1:7" ht="15.6">
      <c r="A27" s="587"/>
      <c r="B27" s="455"/>
      <c r="C27" s="455"/>
      <c r="D27" s="455"/>
      <c r="E27" s="596"/>
      <c r="F27" s="455"/>
      <c r="G27" s="455"/>
    </row>
    <row r="28" spans="1:7">
      <c r="A28" s="455" t="s">
        <v>728</v>
      </c>
      <c r="B28" s="455"/>
      <c r="C28" s="455"/>
      <c r="D28" s="455" t="s">
        <v>736</v>
      </c>
      <c r="E28" s="588">
        <v>1002697</v>
      </c>
      <c r="F28" s="455"/>
      <c r="G28" s="455"/>
    </row>
    <row r="29" spans="1:7">
      <c r="A29" s="455" t="s">
        <v>727</v>
      </c>
      <c r="B29" s="455"/>
      <c r="C29" s="455"/>
      <c r="D29" s="455" t="s">
        <v>737</v>
      </c>
      <c r="E29" s="588">
        <v>78179</v>
      </c>
      <c r="F29" s="455"/>
      <c r="G29" s="455"/>
    </row>
    <row r="30" spans="1:7">
      <c r="A30" s="455" t="s">
        <v>738</v>
      </c>
      <c r="B30" s="455"/>
      <c r="C30" s="455"/>
      <c r="D30" s="455" t="s">
        <v>739</v>
      </c>
      <c r="E30" s="588">
        <v>147178</v>
      </c>
      <c r="F30" s="455"/>
      <c r="G30" s="455"/>
    </row>
    <row r="31" spans="1:7">
      <c r="A31" s="455" t="s">
        <v>740</v>
      </c>
      <c r="B31" s="455"/>
      <c r="C31" s="455"/>
      <c r="D31" s="455" t="s">
        <v>741</v>
      </c>
      <c r="E31" s="588">
        <v>58349</v>
      </c>
      <c r="F31" s="455"/>
      <c r="G31" s="455"/>
    </row>
    <row r="32" spans="1:7">
      <c r="A32" s="455" t="s">
        <v>742</v>
      </c>
      <c r="B32" s="455"/>
      <c r="C32" s="455"/>
      <c r="D32" s="455" t="s">
        <v>743</v>
      </c>
      <c r="E32" s="588">
        <v>65935</v>
      </c>
      <c r="F32" s="455"/>
      <c r="G32" s="455"/>
    </row>
    <row r="33" spans="1:7">
      <c r="A33" s="455" t="s">
        <v>744</v>
      </c>
      <c r="B33" s="455"/>
      <c r="C33" s="455"/>
      <c r="D33" s="455" t="s">
        <v>745</v>
      </c>
      <c r="E33" s="588">
        <v>44024</v>
      </c>
      <c r="F33" s="455"/>
      <c r="G33" s="455"/>
    </row>
    <row r="34" spans="1:7">
      <c r="A34" s="455" t="s">
        <v>746</v>
      </c>
      <c r="B34" s="455"/>
      <c r="C34" s="455"/>
      <c r="D34" s="455" t="s">
        <v>747</v>
      </c>
      <c r="E34" s="588">
        <v>20676</v>
      </c>
      <c r="F34" s="455"/>
      <c r="G34" s="455"/>
    </row>
    <row r="35" spans="1:7">
      <c r="A35" s="455" t="s">
        <v>748</v>
      </c>
      <c r="B35" s="455"/>
      <c r="C35" s="455"/>
      <c r="D35" s="477" t="s">
        <v>749</v>
      </c>
      <c r="E35" s="592">
        <v>5590</v>
      </c>
      <c r="F35" s="455"/>
      <c r="G35" s="455"/>
    </row>
    <row r="36" spans="1:7">
      <c r="A36" s="455" t="s">
        <v>1013</v>
      </c>
      <c r="B36" s="455"/>
      <c r="C36" s="455"/>
      <c r="D36" s="477" t="s">
        <v>733</v>
      </c>
      <c r="E36" s="593">
        <v>267568</v>
      </c>
      <c r="F36" s="455"/>
      <c r="G36" s="455"/>
    </row>
    <row r="37" spans="1:7">
      <c r="A37" s="594" t="s">
        <v>750</v>
      </c>
      <c r="B37" s="455"/>
      <c r="C37" s="455"/>
      <c r="D37" s="455"/>
      <c r="E37" s="588">
        <f>SUM(E28:E36)</f>
        <v>1690196</v>
      </c>
      <c r="F37" s="455"/>
      <c r="G37" s="455"/>
    </row>
    <row r="38" spans="1:7">
      <c r="A38" s="455"/>
      <c r="B38" s="455"/>
      <c r="C38" s="455"/>
      <c r="D38" s="455"/>
      <c r="E38" s="588"/>
      <c r="F38" s="455"/>
      <c r="G38" s="455"/>
    </row>
    <row r="39" spans="1:7">
      <c r="A39" s="455" t="s">
        <v>889</v>
      </c>
      <c r="B39" s="455"/>
      <c r="C39" s="455"/>
      <c r="D39" s="455"/>
      <c r="E39" s="588">
        <f>+E24+E37</f>
        <v>3654326</v>
      </c>
      <c r="F39" s="455"/>
      <c r="G39" s="455"/>
    </row>
    <row r="40" spans="1:7">
      <c r="A40" s="455"/>
      <c r="B40" s="455"/>
      <c r="C40" s="455"/>
      <c r="D40" s="455"/>
      <c r="E40" s="592"/>
      <c r="F40" s="455"/>
      <c r="G40" s="455"/>
    </row>
    <row r="41" spans="1:7" ht="15.6">
      <c r="A41" s="455" t="s">
        <v>891</v>
      </c>
      <c r="B41" s="455"/>
      <c r="C41" s="455"/>
      <c r="D41" s="455"/>
      <c r="E41" s="455"/>
      <c r="F41" s="455"/>
      <c r="G41" s="455"/>
    </row>
    <row r="42" spans="1:7">
      <c r="A42" s="597"/>
      <c r="B42" s="455"/>
      <c r="C42" s="455"/>
      <c r="D42" s="455"/>
      <c r="E42" s="455"/>
      <c r="F42" s="455"/>
      <c r="G42" s="455"/>
    </row>
    <row r="43" spans="1:7" ht="15.6">
      <c r="A43" s="598"/>
      <c r="B43" s="455"/>
      <c r="C43" s="455"/>
      <c r="D43" s="455"/>
      <c r="E43" s="455"/>
      <c r="F43" s="455"/>
      <c r="G43" s="455"/>
    </row>
    <row r="44" spans="1:7">
      <c r="A44" s="455"/>
      <c r="B44" s="455"/>
      <c r="C44" s="455"/>
      <c r="D44" s="455"/>
      <c r="E44" s="455"/>
      <c r="F44" s="455"/>
      <c r="G44" s="455"/>
    </row>
    <row r="51" spans="1:4">
      <c r="A51" s="298" t="s">
        <v>113</v>
      </c>
      <c r="B51" s="298"/>
      <c r="C51" s="298"/>
      <c r="D51" s="298"/>
    </row>
  </sheetData>
  <mergeCells count="4">
    <mergeCell ref="A2:G2"/>
    <mergeCell ref="A4:G4"/>
    <mergeCell ref="A5:G5"/>
    <mergeCell ref="A3:G3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A73"/>
  <sheetViews>
    <sheetView showGridLines="0" view="pageBreakPreview" zoomScaleNormal="100" zoomScaleSheetLayoutView="100" workbookViewId="0">
      <pane xSplit="2" topLeftCell="C1" activePane="topRight" state="frozen"/>
      <selection activeCell="L9" sqref="L9"/>
      <selection pane="topRight" activeCell="F38" sqref="F38"/>
    </sheetView>
  </sheetViews>
  <sheetFormatPr defaultColWidth="11" defaultRowHeight="13.2"/>
  <cols>
    <col min="1" max="1" width="4.88671875" style="7" bestFit="1" customWidth="1"/>
    <col min="2" max="2" width="14" style="7" customWidth="1"/>
    <col min="3" max="3" width="15" style="7" customWidth="1"/>
    <col min="4" max="4" width="17.88671875" style="7" customWidth="1"/>
    <col min="5" max="5" width="6.6640625" style="7" bestFit="1" customWidth="1"/>
    <col min="6" max="6" width="20.88671875" style="7" customWidth="1"/>
    <col min="7" max="7" width="15.33203125" style="7" bestFit="1" customWidth="1"/>
    <col min="8" max="8" width="15.109375" style="7" bestFit="1" customWidth="1"/>
    <col min="9" max="9" width="12.5546875" style="7" bestFit="1" customWidth="1"/>
    <col min="10" max="10" width="8.6640625" style="7" bestFit="1" customWidth="1"/>
    <col min="11" max="11" width="12.88671875" style="7" bestFit="1" customWidth="1"/>
    <col min="12" max="12" width="8.6640625" style="7" bestFit="1" customWidth="1"/>
    <col min="13" max="13" width="17.88671875" style="7" customWidth="1"/>
    <col min="14" max="17" width="14" style="7" bestFit="1" customWidth="1"/>
    <col min="18" max="18" width="13.44140625" style="7" bestFit="1" customWidth="1"/>
    <col min="19" max="16384" width="11" style="7"/>
  </cols>
  <sheetData>
    <row r="1" spans="1:18">
      <c r="M1" s="206" t="s">
        <v>113</v>
      </c>
    </row>
    <row r="2" spans="1:18">
      <c r="B2" s="711" t="s">
        <v>626</v>
      </c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</row>
    <row r="3" spans="1:18">
      <c r="B3" s="672" t="s">
        <v>606</v>
      </c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</row>
    <row r="4" spans="1:18">
      <c r="B4" s="711" t="s">
        <v>51</v>
      </c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</row>
    <row r="5" spans="1:18">
      <c r="B5" s="721" t="s">
        <v>1152</v>
      </c>
      <c r="C5" s="662"/>
      <c r="D5" s="662"/>
      <c r="E5" s="662"/>
      <c r="F5" s="662"/>
      <c r="G5" s="662"/>
      <c r="H5" s="662"/>
      <c r="I5" s="662"/>
      <c r="J5" s="662"/>
      <c r="K5" s="662"/>
      <c r="L5" s="662"/>
      <c r="M5" s="662"/>
    </row>
    <row r="6" spans="1:18">
      <c r="D6" s="8"/>
    </row>
    <row r="7" spans="1:18">
      <c r="C7" s="75"/>
      <c r="D7" s="212"/>
      <c r="E7" s="719" t="s">
        <v>302</v>
      </c>
      <c r="F7" s="720"/>
      <c r="G7" s="720"/>
      <c r="H7" s="720"/>
      <c r="I7" s="213"/>
      <c r="J7" s="213"/>
      <c r="K7" s="213"/>
      <c r="L7" s="214"/>
      <c r="M7" s="57" t="s">
        <v>200</v>
      </c>
      <c r="N7" s="21"/>
    </row>
    <row r="8" spans="1:18">
      <c r="A8" s="9" t="s">
        <v>129</v>
      </c>
      <c r="C8" s="76" t="s">
        <v>103</v>
      </c>
      <c r="D8" s="76"/>
      <c r="E8" s="77"/>
      <c r="F8" s="215" t="s">
        <v>398</v>
      </c>
      <c r="G8" s="77"/>
      <c r="H8" s="216"/>
      <c r="I8" s="76" t="s">
        <v>312</v>
      </c>
      <c r="J8" s="76"/>
      <c r="K8" s="76" t="s">
        <v>313</v>
      </c>
      <c r="L8" s="76"/>
      <c r="M8" s="58" t="s">
        <v>314</v>
      </c>
      <c r="N8" s="44"/>
      <c r="O8" s="21"/>
      <c r="P8" s="21"/>
      <c r="Q8" s="44"/>
    </row>
    <row r="9" spans="1:18">
      <c r="A9" s="140" t="s">
        <v>641</v>
      </c>
      <c r="B9" s="78" t="s">
        <v>108</v>
      </c>
      <c r="C9" s="79" t="s">
        <v>315</v>
      </c>
      <c r="D9" s="79" t="s">
        <v>387</v>
      </c>
      <c r="E9" s="79" t="s">
        <v>400</v>
      </c>
      <c r="F9" s="79" t="s">
        <v>399</v>
      </c>
      <c r="G9" s="79" t="s">
        <v>397</v>
      </c>
      <c r="H9" s="217" t="s">
        <v>395</v>
      </c>
      <c r="I9" s="79" t="s">
        <v>316</v>
      </c>
      <c r="J9" s="79" t="s">
        <v>359</v>
      </c>
      <c r="K9" s="79" t="s">
        <v>317</v>
      </c>
      <c r="L9" s="79" t="s">
        <v>359</v>
      </c>
      <c r="M9" s="59" t="s">
        <v>238</v>
      </c>
      <c r="N9" s="60"/>
      <c r="O9" s="60"/>
      <c r="P9" s="60"/>
      <c r="Q9" s="60"/>
    </row>
    <row r="10" spans="1:18">
      <c r="B10" s="78"/>
      <c r="C10" s="218" t="s">
        <v>389</v>
      </c>
      <c r="D10" s="219"/>
      <c r="E10" s="218" t="s">
        <v>390</v>
      </c>
      <c r="F10" s="222" t="s">
        <v>391</v>
      </c>
      <c r="G10" s="222" t="s">
        <v>392</v>
      </c>
      <c r="H10" s="219"/>
      <c r="I10" s="218" t="s">
        <v>393</v>
      </c>
      <c r="J10" s="219"/>
      <c r="K10" s="218" t="s">
        <v>386</v>
      </c>
      <c r="L10" s="219"/>
      <c r="M10" s="220" t="s">
        <v>401</v>
      </c>
      <c r="N10" s="60"/>
      <c r="O10" s="60"/>
      <c r="P10" s="60"/>
      <c r="Q10" s="60"/>
    </row>
    <row r="11" spans="1:18">
      <c r="A11" s="9">
        <v>1</v>
      </c>
      <c r="B11" s="161">
        <v>42339</v>
      </c>
      <c r="C11" s="14">
        <f>F59</f>
        <v>3475050089.5499997</v>
      </c>
      <c r="D11" s="221" t="s">
        <v>388</v>
      </c>
      <c r="E11" s="14">
        <f>$F$22</f>
        <v>0</v>
      </c>
      <c r="F11" s="12">
        <v>0</v>
      </c>
      <c r="G11" s="12">
        <v>0</v>
      </c>
      <c r="H11" s="221" t="s">
        <v>396</v>
      </c>
      <c r="I11" s="14">
        <f>$F$46</f>
        <v>1758640.99</v>
      </c>
      <c r="J11" s="221" t="s">
        <v>394</v>
      </c>
      <c r="K11" s="14">
        <f>$F$56</f>
        <v>-2792655.98</v>
      </c>
      <c r="L11" s="221" t="s">
        <v>713</v>
      </c>
      <c r="M11" s="16">
        <f>+C11-E11-F11-G11-I11-K11</f>
        <v>3476084104.54</v>
      </c>
      <c r="N11" s="61"/>
      <c r="O11" s="63"/>
      <c r="P11" s="62"/>
      <c r="Q11" s="15"/>
      <c r="R11" s="31"/>
    </row>
    <row r="12" spans="1:18">
      <c r="A12" s="9"/>
      <c r="C12" s="10"/>
      <c r="D12" s="10"/>
      <c r="E12" s="21"/>
      <c r="F12" s="21"/>
      <c r="G12" s="21"/>
      <c r="H12" s="21"/>
      <c r="I12" s="21"/>
    </row>
    <row r="13" spans="1:18">
      <c r="A13" s="9"/>
      <c r="C13" s="10"/>
      <c r="D13" s="10"/>
      <c r="E13" s="10"/>
      <c r="F13" s="10"/>
      <c r="G13" s="10"/>
      <c r="H13" s="21"/>
      <c r="I13" s="21"/>
      <c r="J13" s="21"/>
      <c r="K13" s="21"/>
      <c r="L13" s="21"/>
    </row>
    <row r="14" spans="1:18">
      <c r="A14" s="9"/>
      <c r="C14" s="10" t="s">
        <v>414</v>
      </c>
      <c r="D14" s="10"/>
      <c r="E14" s="10"/>
      <c r="F14" s="10"/>
      <c r="G14" s="10"/>
      <c r="H14" s="32"/>
      <c r="I14" s="32"/>
    </row>
    <row r="15" spans="1:18">
      <c r="A15" s="9"/>
      <c r="H15" s="32"/>
      <c r="I15" s="32"/>
    </row>
    <row r="16" spans="1:18">
      <c r="A16" s="9"/>
    </row>
    <row r="17" spans="1:19">
      <c r="A17" s="9"/>
    </row>
    <row r="18" spans="1:19" s="165" customFormat="1">
      <c r="A18" s="395"/>
      <c r="B18" s="149" t="s">
        <v>117</v>
      </c>
      <c r="C18" s="162" t="s">
        <v>114</v>
      </c>
      <c r="D18" s="163"/>
      <c r="E18"/>
      <c r="F18" s="164">
        <v>42339</v>
      </c>
      <c r="G18"/>
      <c r="H18"/>
      <c r="I18"/>
      <c r="J18"/>
      <c r="K18"/>
      <c r="L18"/>
      <c r="M18"/>
      <c r="N18"/>
      <c r="O18"/>
      <c r="P18"/>
      <c r="S18" s="163"/>
    </row>
    <row r="19" spans="1:19" s="165" customFormat="1">
      <c r="A19" s="395">
        <v>2</v>
      </c>
      <c r="B19" s="142" t="s">
        <v>318</v>
      </c>
      <c r="C19" s="142" t="s">
        <v>319</v>
      </c>
      <c r="D19" s="64"/>
      <c r="E19"/>
      <c r="F19" s="143">
        <v>260457768</v>
      </c>
      <c r="G19"/>
      <c r="H19"/>
      <c r="I19"/>
      <c r="J19"/>
      <c r="K19"/>
      <c r="L19"/>
      <c r="M19"/>
      <c r="N19"/>
      <c r="O19"/>
      <c r="P19"/>
      <c r="S19" s="64"/>
    </row>
    <row r="20" spans="1:19" s="165" customFormat="1" ht="13.8">
      <c r="A20" s="395"/>
      <c r="B20" s="142"/>
      <c r="C20" s="142"/>
      <c r="D20" s="166" t="s">
        <v>320</v>
      </c>
      <c r="E20"/>
      <c r="F20" s="167" t="s">
        <v>321</v>
      </c>
      <c r="G20"/>
      <c r="H20"/>
      <c r="I20"/>
      <c r="J20"/>
      <c r="K20"/>
      <c r="L20"/>
      <c r="M20"/>
      <c r="N20"/>
      <c r="O20"/>
      <c r="P20"/>
      <c r="S20" s="64"/>
    </row>
    <row r="21" spans="1:19" s="165" customFormat="1">
      <c r="A21" s="395"/>
      <c r="B21" s="142"/>
      <c r="C21" s="142"/>
      <c r="D21" s="64"/>
      <c r="E21"/>
      <c r="F21" s="145"/>
      <c r="G21"/>
      <c r="H21"/>
      <c r="I21"/>
      <c r="J21"/>
      <c r="K21"/>
      <c r="L21"/>
      <c r="M21"/>
      <c r="N21"/>
      <c r="O21"/>
      <c r="P21"/>
      <c r="S21" s="64"/>
    </row>
    <row r="22" spans="1:19" s="165" customFormat="1">
      <c r="A22" s="395">
        <v>3</v>
      </c>
      <c r="B22" s="142" t="s">
        <v>322</v>
      </c>
      <c r="C22" s="142" t="s">
        <v>323</v>
      </c>
      <c r="D22" s="64"/>
      <c r="E22"/>
      <c r="F22" s="143">
        <v>0</v>
      </c>
      <c r="G22"/>
      <c r="H22"/>
      <c r="I22"/>
      <c r="J22"/>
      <c r="K22"/>
      <c r="L22"/>
      <c r="M22"/>
      <c r="N22"/>
      <c r="O22"/>
      <c r="P22"/>
      <c r="S22" s="64"/>
    </row>
    <row r="23" spans="1:19" s="165" customFormat="1" ht="13.8">
      <c r="A23" s="395"/>
      <c r="B23" s="142"/>
      <c r="C23" s="142"/>
      <c r="D23" s="166" t="s">
        <v>320</v>
      </c>
      <c r="E23"/>
      <c r="F23" s="167" t="s">
        <v>300</v>
      </c>
      <c r="G23"/>
      <c r="H23"/>
      <c r="I23"/>
      <c r="J23"/>
      <c r="K23"/>
      <c r="L23"/>
      <c r="M23"/>
      <c r="N23"/>
      <c r="O23"/>
      <c r="P23"/>
      <c r="S23" s="64"/>
    </row>
    <row r="24" spans="1:19" s="165" customFormat="1">
      <c r="A24" s="395"/>
      <c r="B24" s="142"/>
      <c r="C24" s="142"/>
      <c r="D24" s="64"/>
      <c r="E24"/>
      <c r="F24" s="145"/>
      <c r="G24"/>
      <c r="H24"/>
      <c r="I24"/>
      <c r="J24"/>
      <c r="K24"/>
      <c r="L24"/>
      <c r="M24"/>
      <c r="N24"/>
      <c r="O24"/>
      <c r="P24"/>
      <c r="S24" s="64"/>
    </row>
    <row r="25" spans="1:19" s="165" customFormat="1">
      <c r="A25" s="395">
        <v>4</v>
      </c>
      <c r="B25" s="250">
        <v>2070000</v>
      </c>
      <c r="C25" s="142" t="s">
        <v>602</v>
      </c>
      <c r="D25" s="64"/>
      <c r="E25"/>
      <c r="F25" s="143">
        <v>0</v>
      </c>
      <c r="G25"/>
      <c r="H25"/>
      <c r="I25"/>
      <c r="J25"/>
      <c r="K25"/>
      <c r="L25"/>
      <c r="M25"/>
      <c r="N25"/>
      <c r="O25"/>
      <c r="P25"/>
      <c r="S25" s="64"/>
    </row>
    <row r="26" spans="1:19" s="165" customFormat="1" ht="13.8">
      <c r="A26" s="395"/>
      <c r="B26" s="142"/>
      <c r="C26" s="142"/>
      <c r="D26" s="166" t="s">
        <v>320</v>
      </c>
      <c r="E26"/>
      <c r="F26" s="167" t="s">
        <v>305</v>
      </c>
      <c r="G26"/>
      <c r="H26"/>
      <c r="I26"/>
      <c r="J26"/>
      <c r="K26"/>
      <c r="L26"/>
      <c r="M26"/>
      <c r="N26"/>
      <c r="O26"/>
      <c r="P26"/>
      <c r="S26" s="64"/>
    </row>
    <row r="27" spans="1:19" s="165" customFormat="1">
      <c r="A27" s="395"/>
      <c r="B27" s="142"/>
      <c r="C27" s="142"/>
      <c r="D27" s="64"/>
      <c r="E27"/>
      <c r="F27" s="145"/>
      <c r="G27"/>
      <c r="H27"/>
      <c r="I27"/>
      <c r="J27"/>
      <c r="K27"/>
      <c r="L27"/>
      <c r="M27"/>
      <c r="N27"/>
      <c r="O27"/>
      <c r="P27"/>
      <c r="S27" s="64"/>
    </row>
    <row r="28" spans="1:19" s="165" customFormat="1" ht="15.6">
      <c r="A28" s="395">
        <v>5</v>
      </c>
      <c r="B28" s="142" t="s">
        <v>324</v>
      </c>
      <c r="C28" s="142" t="s">
        <v>325</v>
      </c>
      <c r="D28" s="64"/>
      <c r="E28" s="401" t="s">
        <v>953</v>
      </c>
      <c r="F28" s="509">
        <v>1825984502.6600001</v>
      </c>
      <c r="G28"/>
      <c r="H28"/>
      <c r="I28"/>
      <c r="J28"/>
      <c r="K28"/>
      <c r="L28"/>
      <c r="M28"/>
      <c r="N28"/>
      <c r="O28"/>
      <c r="P28"/>
      <c r="S28" s="64"/>
    </row>
    <row r="29" spans="1:19" s="165" customFormat="1" ht="15.6">
      <c r="A29" s="395">
        <v>6</v>
      </c>
      <c r="B29" s="250">
        <v>2100000</v>
      </c>
      <c r="C29" s="142" t="s">
        <v>73</v>
      </c>
      <c r="D29" s="64"/>
      <c r="E29" s="401" t="s">
        <v>953</v>
      </c>
      <c r="F29" s="509">
        <v>433</v>
      </c>
      <c r="G29"/>
      <c r="H29"/>
      <c r="I29"/>
      <c r="J29"/>
      <c r="K29"/>
      <c r="L29"/>
      <c r="M29"/>
      <c r="N29"/>
      <c r="O29"/>
      <c r="P29"/>
      <c r="S29" s="64"/>
    </row>
    <row r="30" spans="1:19" s="165" customFormat="1" ht="15.6">
      <c r="A30" s="395">
        <v>7</v>
      </c>
      <c r="B30" s="250">
        <v>2110000</v>
      </c>
      <c r="C30" s="142" t="s">
        <v>326</v>
      </c>
      <c r="D30" s="64"/>
      <c r="E30" s="401" t="s">
        <v>953</v>
      </c>
      <c r="F30" s="510">
        <v>2642015</v>
      </c>
      <c r="G30"/>
      <c r="H30"/>
      <c r="I30"/>
      <c r="J30"/>
      <c r="K30"/>
      <c r="L30"/>
      <c r="M30"/>
      <c r="N30"/>
      <c r="O30"/>
      <c r="P30"/>
      <c r="S30" s="64"/>
    </row>
    <row r="31" spans="1:19" s="165" customFormat="1">
      <c r="A31" s="395">
        <v>8</v>
      </c>
      <c r="B31" s="142"/>
      <c r="C31" s="142" t="s">
        <v>113</v>
      </c>
      <c r="D31" s="64"/>
      <c r="E31" s="401" t="s">
        <v>113</v>
      </c>
      <c r="F31" s="145">
        <f>SUM(F28:F30)</f>
        <v>1828626950.6600001</v>
      </c>
      <c r="G31"/>
      <c r="H31"/>
      <c r="I31"/>
      <c r="J31"/>
      <c r="K31"/>
      <c r="L31"/>
      <c r="M31"/>
      <c r="N31"/>
      <c r="O31"/>
      <c r="P31"/>
      <c r="S31" s="64"/>
    </row>
    <row r="32" spans="1:19" s="165" customFormat="1" ht="13.8">
      <c r="A32" s="395"/>
      <c r="B32" s="142"/>
      <c r="C32" s="142"/>
      <c r="D32" s="166" t="s">
        <v>320</v>
      </c>
      <c r="E32" s="401" t="s">
        <v>113</v>
      </c>
      <c r="F32" s="167" t="s">
        <v>327</v>
      </c>
      <c r="G32" s="243"/>
      <c r="H32"/>
      <c r="I32"/>
      <c r="J32"/>
      <c r="K32"/>
      <c r="L32"/>
      <c r="M32"/>
      <c r="N32"/>
      <c r="O32"/>
      <c r="P32"/>
      <c r="S32" s="64"/>
    </row>
    <row r="33" spans="1:50" s="165" customFormat="1">
      <c r="A33" s="395"/>
      <c r="B33" s="142"/>
      <c r="C33" s="142"/>
      <c r="D33" s="166"/>
      <c r="E33" s="401" t="s">
        <v>113</v>
      </c>
      <c r="F33" s="167"/>
      <c r="G33"/>
      <c r="H33"/>
      <c r="I33"/>
      <c r="J33"/>
      <c r="K33"/>
      <c r="L33"/>
      <c r="M33"/>
      <c r="N33"/>
      <c r="O33"/>
      <c r="P33"/>
      <c r="S33" s="64"/>
    </row>
    <row r="34" spans="1:50" s="165" customFormat="1" ht="15.6">
      <c r="A34" s="395">
        <v>9</v>
      </c>
      <c r="B34" s="252">
        <v>2151000</v>
      </c>
      <c r="C34" s="142" t="s">
        <v>74</v>
      </c>
      <c r="D34" s="64"/>
      <c r="E34" s="401" t="s">
        <v>953</v>
      </c>
      <c r="F34" s="509">
        <v>14414270</v>
      </c>
      <c r="G34"/>
      <c r="H34"/>
      <c r="I34"/>
      <c r="J34"/>
      <c r="K34"/>
      <c r="L34"/>
      <c r="M34"/>
      <c r="N34"/>
      <c r="O34"/>
      <c r="P34"/>
      <c r="S34" s="64"/>
    </row>
    <row r="35" spans="1:50" s="165" customFormat="1" ht="15.6">
      <c r="A35" s="395">
        <v>10</v>
      </c>
      <c r="B35" s="142" t="s">
        <v>328</v>
      </c>
      <c r="C35" s="142" t="s">
        <v>329</v>
      </c>
      <c r="D35" s="64"/>
      <c r="E35" s="401" t="s">
        <v>953</v>
      </c>
      <c r="F35" s="509">
        <v>1275811848.49</v>
      </c>
      <c r="G35"/>
      <c r="H35"/>
      <c r="I35"/>
      <c r="J35"/>
      <c r="K35"/>
      <c r="L35"/>
      <c r="M35"/>
      <c r="N35"/>
      <c r="O35"/>
      <c r="P35"/>
      <c r="S35" s="64"/>
    </row>
    <row r="36" spans="1:50" s="165" customFormat="1" ht="15.6">
      <c r="A36" s="395">
        <v>11</v>
      </c>
      <c r="B36" s="251">
        <v>4330000</v>
      </c>
      <c r="C36" s="142" t="s">
        <v>76</v>
      </c>
      <c r="D36" s="64"/>
      <c r="E36" s="401" t="s">
        <v>953</v>
      </c>
      <c r="F36" s="509">
        <f>340632120.84-108853.45</f>
        <v>340523267.38999999</v>
      </c>
      <c r="G36" s="415"/>
      <c r="H36"/>
      <c r="I36"/>
      <c r="J36"/>
      <c r="K36"/>
      <c r="L36"/>
      <c r="M36"/>
      <c r="N36"/>
      <c r="O36"/>
      <c r="P36"/>
      <c r="S36" s="64"/>
    </row>
    <row r="37" spans="1:50" s="165" customFormat="1" ht="15.6">
      <c r="A37" s="395">
        <v>12</v>
      </c>
      <c r="B37" s="142" t="s">
        <v>330</v>
      </c>
      <c r="C37" s="142" t="s">
        <v>331</v>
      </c>
      <c r="D37" s="64"/>
      <c r="E37" s="401" t="s">
        <v>953</v>
      </c>
      <c r="F37" s="509">
        <v>0</v>
      </c>
      <c r="G37" s="416"/>
      <c r="H37"/>
      <c r="I37"/>
      <c r="J37"/>
      <c r="K37"/>
      <c r="L37"/>
      <c r="M37"/>
      <c r="N37"/>
      <c r="O37"/>
      <c r="P37"/>
      <c r="S37" s="64"/>
    </row>
    <row r="38" spans="1:50" s="165" customFormat="1" ht="15.6">
      <c r="A38" s="395">
        <v>13</v>
      </c>
      <c r="B38" s="251">
        <v>4380001</v>
      </c>
      <c r="C38" s="142" t="s">
        <v>75</v>
      </c>
      <c r="D38" s="64"/>
      <c r="E38" s="401" t="s">
        <v>953</v>
      </c>
      <c r="F38" s="509">
        <v>-243750000</v>
      </c>
      <c r="G38"/>
      <c r="H38"/>
      <c r="I38"/>
      <c r="J38"/>
      <c r="K38"/>
      <c r="L38"/>
      <c r="M38"/>
      <c r="N38"/>
      <c r="O38"/>
      <c r="P38"/>
      <c r="S38" s="64"/>
    </row>
    <row r="39" spans="1:50" s="165" customFormat="1" ht="15.6">
      <c r="A39" s="395">
        <v>14</v>
      </c>
      <c r="B39" s="142" t="s">
        <v>332</v>
      </c>
      <c r="C39" s="142" t="s">
        <v>333</v>
      </c>
      <c r="D39" s="64"/>
      <c r="E39" s="401" t="s">
        <v>953</v>
      </c>
      <c r="F39" s="512">
        <v>0</v>
      </c>
      <c r="G39"/>
      <c r="H39"/>
      <c r="I39"/>
      <c r="J39"/>
      <c r="K39"/>
      <c r="L39"/>
      <c r="M39"/>
      <c r="N39"/>
      <c r="O39"/>
      <c r="P39"/>
      <c r="S39" s="64"/>
    </row>
    <row r="40" spans="1:50" s="165" customFormat="1">
      <c r="A40" s="395">
        <v>15</v>
      </c>
      <c r="B40" s="142"/>
      <c r="C40" s="142" t="s">
        <v>334</v>
      </c>
      <c r="D40" s="64"/>
      <c r="E40" s="401" t="s">
        <v>113</v>
      </c>
      <c r="F40" s="145">
        <f>SUM(F34:F39)</f>
        <v>1386999385.8800001</v>
      </c>
      <c r="G40" s="562"/>
      <c r="H40"/>
      <c r="I40"/>
      <c r="J40"/>
      <c r="K40"/>
      <c r="L40"/>
      <c r="M40"/>
      <c r="N40"/>
      <c r="O40"/>
      <c r="P40"/>
      <c r="S40" s="64"/>
    </row>
    <row r="41" spans="1:50" s="165" customFormat="1" ht="13.8">
      <c r="A41" s="395"/>
      <c r="B41" s="142"/>
      <c r="C41" s="142"/>
      <c r="D41" s="166" t="s">
        <v>320</v>
      </c>
      <c r="E41" s="401" t="s">
        <v>113</v>
      </c>
      <c r="F41" s="167" t="s">
        <v>335</v>
      </c>
      <c r="G41"/>
      <c r="H41"/>
      <c r="I41"/>
      <c r="J41"/>
      <c r="K41"/>
      <c r="L41"/>
      <c r="M41"/>
      <c r="N41"/>
      <c r="O41"/>
      <c r="P41"/>
      <c r="S41" s="64"/>
    </row>
    <row r="42" spans="1:50" s="165" customFormat="1">
      <c r="A42" s="395"/>
      <c r="B42" s="142"/>
      <c r="C42" s="142"/>
      <c r="D42" s="64"/>
      <c r="E42" s="401" t="s">
        <v>113</v>
      </c>
      <c r="F42" s="145"/>
      <c r="G42"/>
      <c r="H42"/>
      <c r="I42"/>
      <c r="J42"/>
      <c r="K42"/>
      <c r="L42"/>
      <c r="M42"/>
      <c r="N42"/>
      <c r="O42"/>
      <c r="P42"/>
      <c r="S42" s="64"/>
    </row>
    <row r="43" spans="1:50" s="165" customFormat="1" ht="15.6">
      <c r="A43" s="395">
        <v>16</v>
      </c>
      <c r="B43" s="142" t="s">
        <v>336</v>
      </c>
      <c r="C43" s="142" t="s">
        <v>337</v>
      </c>
      <c r="D43" s="64"/>
      <c r="E43" s="401" t="s">
        <v>953</v>
      </c>
      <c r="F43" s="509">
        <v>1649787.54</v>
      </c>
      <c r="G43"/>
      <c r="H43"/>
      <c r="I43"/>
      <c r="J43"/>
      <c r="K43"/>
      <c r="L43"/>
      <c r="M43"/>
      <c r="N43"/>
      <c r="O43"/>
      <c r="P43"/>
      <c r="S43" s="64"/>
    </row>
    <row r="44" spans="1:50" s="165" customFormat="1" ht="15.6">
      <c r="A44" s="395">
        <v>17</v>
      </c>
      <c r="B44" s="142" t="s">
        <v>338</v>
      </c>
      <c r="C44" s="142" t="s">
        <v>339</v>
      </c>
      <c r="D44" s="64"/>
      <c r="E44" s="401" t="s">
        <v>953</v>
      </c>
      <c r="F44" s="509">
        <v>0</v>
      </c>
      <c r="G44"/>
      <c r="H44"/>
      <c r="I44"/>
      <c r="J44"/>
      <c r="K44"/>
      <c r="L44"/>
      <c r="M44"/>
      <c r="N44"/>
      <c r="O44"/>
      <c r="P44"/>
      <c r="S44" s="64"/>
    </row>
    <row r="45" spans="1:50" ht="15.6">
      <c r="A45" s="396">
        <v>18</v>
      </c>
      <c r="B45" s="138" t="s">
        <v>357</v>
      </c>
      <c r="C45" s="7" t="s">
        <v>340</v>
      </c>
      <c r="E45" s="401" t="s">
        <v>953</v>
      </c>
      <c r="F45" s="563">
        <v>108853.45</v>
      </c>
      <c r="G45"/>
      <c r="H45"/>
      <c r="I45"/>
      <c r="J45"/>
      <c r="K45"/>
      <c r="L45"/>
      <c r="M45"/>
      <c r="N45"/>
      <c r="O45"/>
      <c r="P45"/>
      <c r="R45" s="65"/>
    </row>
    <row r="46" spans="1:50" ht="15.6">
      <c r="A46" s="396">
        <v>19</v>
      </c>
      <c r="B46" s="138"/>
      <c r="C46" s="142" t="s">
        <v>341</v>
      </c>
      <c r="E46" s="401" t="s">
        <v>953</v>
      </c>
      <c r="F46" s="37">
        <f>SUM(F43:F45)</f>
        <v>1758640.99</v>
      </c>
      <c r="G46"/>
      <c r="H46"/>
      <c r="I46"/>
      <c r="J46"/>
      <c r="K46"/>
      <c r="L46"/>
      <c r="M46"/>
      <c r="N46"/>
      <c r="O46"/>
      <c r="P46"/>
    </row>
    <row r="47" spans="1:50" ht="13.8">
      <c r="A47" s="9"/>
      <c r="B47" s="138"/>
      <c r="C47" s="142"/>
      <c r="D47" s="166" t="s">
        <v>320</v>
      </c>
      <c r="E47" s="401" t="s">
        <v>113</v>
      </c>
      <c r="F47" s="167" t="s">
        <v>342</v>
      </c>
      <c r="G47"/>
      <c r="H47"/>
      <c r="I47"/>
      <c r="J47"/>
      <c r="K47"/>
      <c r="L47"/>
      <c r="M47"/>
      <c r="N47"/>
      <c r="O47"/>
      <c r="P47"/>
    </row>
    <row r="48" spans="1:50" s="165" customFormat="1" ht="12.75" customHeight="1">
      <c r="A48" s="395"/>
      <c r="B48" s="168"/>
      <c r="C48" s="169"/>
      <c r="D48" s="64"/>
      <c r="E48" s="401" t="s">
        <v>113</v>
      </c>
      <c r="F48" s="145"/>
      <c r="G48"/>
      <c r="H48"/>
      <c r="I48"/>
      <c r="J48"/>
      <c r="K48"/>
      <c r="L48"/>
      <c r="M48"/>
      <c r="N48"/>
      <c r="O48"/>
      <c r="P48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</row>
    <row r="49" spans="1:53" s="165" customFormat="1" ht="12.75" customHeight="1">
      <c r="A49" s="395">
        <v>20</v>
      </c>
      <c r="B49" s="299">
        <v>2190002</v>
      </c>
      <c r="C49" s="142" t="s">
        <v>581</v>
      </c>
      <c r="D49" s="64"/>
      <c r="E49" s="401" t="s">
        <v>953</v>
      </c>
      <c r="F49" s="509">
        <v>-6889879.2000000002</v>
      </c>
      <c r="G49"/>
      <c r="H49"/>
      <c r="I49"/>
      <c r="J49"/>
      <c r="K49"/>
      <c r="L49"/>
      <c r="M49"/>
      <c r="N49"/>
      <c r="O49"/>
      <c r="P49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</row>
    <row r="50" spans="1:53" s="165" customFormat="1" ht="15.6">
      <c r="A50" s="395">
        <v>21</v>
      </c>
      <c r="B50" s="142" t="s">
        <v>343</v>
      </c>
      <c r="C50" s="142" t="s">
        <v>344</v>
      </c>
      <c r="D50" s="64"/>
      <c r="E50" s="401" t="s">
        <v>953</v>
      </c>
      <c r="F50" s="509"/>
      <c r="G50"/>
      <c r="H50"/>
      <c r="I50"/>
      <c r="J50"/>
      <c r="K50"/>
      <c r="L50"/>
      <c r="M50"/>
      <c r="N50"/>
      <c r="O50"/>
      <c r="P50"/>
      <c r="S50" s="64"/>
    </row>
    <row r="51" spans="1:53" s="165" customFormat="1" ht="15.6">
      <c r="A51" s="395">
        <v>22</v>
      </c>
      <c r="B51" s="142" t="s">
        <v>345</v>
      </c>
      <c r="C51" s="142" t="s">
        <v>346</v>
      </c>
      <c r="D51" s="64"/>
      <c r="E51" s="401" t="s">
        <v>953</v>
      </c>
      <c r="F51" s="509">
        <v>0</v>
      </c>
      <c r="G51"/>
      <c r="H51"/>
      <c r="I51"/>
      <c r="J51"/>
      <c r="K51"/>
      <c r="L51"/>
      <c r="M51"/>
      <c r="N51"/>
      <c r="O51"/>
      <c r="P51"/>
      <c r="S51" s="64"/>
    </row>
    <row r="52" spans="1:53" s="165" customFormat="1" ht="15.6">
      <c r="A52" s="395">
        <v>23</v>
      </c>
      <c r="B52" s="142" t="s">
        <v>347</v>
      </c>
      <c r="C52" s="142" t="s">
        <v>348</v>
      </c>
      <c r="D52" s="64"/>
      <c r="E52" s="401" t="s">
        <v>953</v>
      </c>
      <c r="F52" s="509">
        <v>475797.15</v>
      </c>
      <c r="G52"/>
      <c r="H52"/>
      <c r="I52"/>
      <c r="J52"/>
      <c r="K52"/>
      <c r="L52"/>
      <c r="M52"/>
      <c r="N52"/>
      <c r="O52"/>
      <c r="P52"/>
      <c r="S52" s="64"/>
    </row>
    <row r="53" spans="1:53" s="165" customFormat="1" ht="15.6">
      <c r="A53" s="395">
        <v>24</v>
      </c>
      <c r="B53" s="251">
        <v>2190010</v>
      </c>
      <c r="C53" s="142" t="s">
        <v>77</v>
      </c>
      <c r="D53" s="64"/>
      <c r="E53" s="401" t="s">
        <v>953</v>
      </c>
      <c r="F53" s="513">
        <v>0</v>
      </c>
      <c r="G53"/>
      <c r="H53"/>
      <c r="I53"/>
      <c r="J53"/>
      <c r="K53"/>
      <c r="L53"/>
      <c r="M53"/>
      <c r="N53"/>
      <c r="O53"/>
      <c r="P53"/>
      <c r="S53" s="64"/>
    </row>
    <row r="54" spans="1:53" s="165" customFormat="1" ht="15.6">
      <c r="A54" s="395">
        <v>25</v>
      </c>
      <c r="B54" s="142" t="s">
        <v>349</v>
      </c>
      <c r="C54" s="142" t="s">
        <v>350</v>
      </c>
      <c r="D54" s="64"/>
      <c r="E54" s="401" t="s">
        <v>953</v>
      </c>
      <c r="F54" s="513">
        <v>3674119.77</v>
      </c>
      <c r="G54"/>
      <c r="H54"/>
      <c r="I54"/>
      <c r="J54"/>
      <c r="K54"/>
      <c r="L54"/>
      <c r="M54"/>
      <c r="N54"/>
      <c r="O54"/>
      <c r="P54"/>
      <c r="S54" s="64"/>
    </row>
    <row r="55" spans="1:53" s="165" customFormat="1" ht="15.6">
      <c r="A55" s="395">
        <v>26</v>
      </c>
      <c r="B55" s="142" t="s">
        <v>351</v>
      </c>
      <c r="C55" s="142" t="s">
        <v>352</v>
      </c>
      <c r="D55" s="64"/>
      <c r="E55" s="401" t="s">
        <v>953</v>
      </c>
      <c r="F55" s="510">
        <v>-52693.7</v>
      </c>
      <c r="G55"/>
      <c r="H55"/>
      <c r="I55"/>
      <c r="J55"/>
      <c r="K55"/>
      <c r="L55"/>
      <c r="M55"/>
      <c r="N55"/>
      <c r="O55"/>
      <c r="P55"/>
      <c r="S55" s="64"/>
    </row>
    <row r="56" spans="1:53" s="165" customFormat="1">
      <c r="A56" s="395">
        <v>27</v>
      </c>
      <c r="B56" s="142"/>
      <c r="C56" s="142" t="s">
        <v>353</v>
      </c>
      <c r="D56" s="64"/>
      <c r="E56" s="401" t="s">
        <v>113</v>
      </c>
      <c r="F56" s="145">
        <f>SUM(F49:F55)</f>
        <v>-2792655.98</v>
      </c>
      <c r="G56"/>
      <c r="H56"/>
      <c r="I56"/>
      <c r="J56"/>
      <c r="K56"/>
      <c r="L56"/>
      <c r="M56"/>
      <c r="N56"/>
      <c r="O56"/>
      <c r="P56"/>
      <c r="S56" s="64"/>
    </row>
    <row r="57" spans="1:53" s="165" customFormat="1" ht="13.8">
      <c r="A57" s="395"/>
      <c r="B57" s="142"/>
      <c r="C57" s="142"/>
      <c r="D57" s="166" t="s">
        <v>320</v>
      </c>
      <c r="E57" s="401" t="s">
        <v>113</v>
      </c>
      <c r="F57" s="167" t="s">
        <v>354</v>
      </c>
      <c r="G57"/>
      <c r="H57"/>
      <c r="I57"/>
      <c r="J57"/>
      <c r="K57"/>
      <c r="L57"/>
      <c r="M57"/>
      <c r="N57"/>
      <c r="O57"/>
      <c r="P57"/>
      <c r="S57" s="64"/>
    </row>
    <row r="58" spans="1:53" s="165" customFormat="1" ht="12.75" customHeight="1">
      <c r="A58" s="395"/>
      <c r="B58" s="168"/>
      <c r="C58" s="169"/>
      <c r="D58" s="64"/>
      <c r="E58" s="401" t="s">
        <v>113</v>
      </c>
      <c r="F58" s="145"/>
      <c r="G58"/>
      <c r="H58"/>
      <c r="I58"/>
      <c r="J58"/>
      <c r="K58"/>
      <c r="L58"/>
      <c r="M58"/>
      <c r="N58"/>
      <c r="O58"/>
      <c r="P58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BA58" s="64"/>
    </row>
    <row r="59" spans="1:53" s="165" customFormat="1" ht="12.75" customHeight="1">
      <c r="A59" s="395">
        <v>28</v>
      </c>
      <c r="B59" s="168"/>
      <c r="C59" s="169" t="s">
        <v>355</v>
      </c>
      <c r="D59" s="64"/>
      <c r="E59" s="401" t="s">
        <v>953</v>
      </c>
      <c r="F59" s="145">
        <f>SUM(F19,F22,F25,F31,F40,F46,F56)</f>
        <v>3475050089.5499997</v>
      </c>
      <c r="G59"/>
      <c r="H59"/>
      <c r="I59"/>
      <c r="J59"/>
      <c r="K59"/>
      <c r="L59"/>
      <c r="M59"/>
      <c r="N59"/>
      <c r="O59"/>
      <c r="P59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BA59" s="64"/>
    </row>
    <row r="60" spans="1:53">
      <c r="A60" s="9"/>
      <c r="D60" s="170"/>
      <c r="E60" s="401" t="s">
        <v>113</v>
      </c>
      <c r="G60"/>
      <c r="H60"/>
      <c r="I60"/>
      <c r="J60"/>
      <c r="K60"/>
      <c r="L60"/>
      <c r="M60"/>
      <c r="N60"/>
      <c r="O60"/>
      <c r="P60"/>
    </row>
    <row r="61" spans="1:53" ht="15.6">
      <c r="A61" s="395">
        <v>29</v>
      </c>
      <c r="C61" s="7" t="s">
        <v>356</v>
      </c>
      <c r="E61" s="401" t="s">
        <v>953</v>
      </c>
      <c r="F61" s="171">
        <f>+F19+F31+F40</f>
        <v>3476084104.54</v>
      </c>
      <c r="G61"/>
      <c r="H61"/>
      <c r="I61"/>
      <c r="J61"/>
      <c r="K61"/>
      <c r="L61"/>
      <c r="M61"/>
      <c r="N61"/>
      <c r="O61"/>
      <c r="P61"/>
      <c r="R61" s="171"/>
    </row>
    <row r="62" spans="1:53"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</row>
    <row r="63" spans="1:53">
      <c r="B63" s="172" t="s">
        <v>279</v>
      </c>
    </row>
    <row r="64" spans="1:53" ht="13.8">
      <c r="B64" s="173" t="s">
        <v>561</v>
      </c>
      <c r="E64" s="174"/>
      <c r="Q64" s="174"/>
    </row>
    <row r="65" spans="2:2" ht="13.8">
      <c r="B65" s="175" t="s">
        <v>920</v>
      </c>
    </row>
    <row r="69" spans="2:2" ht="12" customHeight="1"/>
    <row r="70" spans="2:2" hidden="1"/>
    <row r="71" spans="2:2" hidden="1"/>
    <row r="72" spans="2:2" ht="10.5" customHeight="1"/>
    <row r="73" spans="2:2" hidden="1"/>
  </sheetData>
  <mergeCells count="5">
    <mergeCell ref="E7:H7"/>
    <mergeCell ref="B2:M2"/>
    <mergeCell ref="B4:M4"/>
    <mergeCell ref="B5:M5"/>
    <mergeCell ref="B3:M3"/>
  </mergeCells>
  <phoneticPr fontId="2" type="noConversion"/>
  <pageMargins left="0.5" right="0.5" top="0.5" bottom="0.5" header="0.5" footer="0.25"/>
  <pageSetup scale="56" fitToHeight="0" orientation="portrait" r:id="rId1"/>
  <headerFooter alignWithMargins="0">
    <oddFooter>&amp;C&amp;A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92D050"/>
  </sheetPr>
  <dimension ref="A1:M23"/>
  <sheetViews>
    <sheetView showGridLines="0" view="pageBreakPreview" zoomScale="60" zoomScaleNormal="100" workbookViewId="0">
      <pane xSplit="1" topLeftCell="B1" activePane="topRight" state="frozen"/>
      <selection activeCell="L9" sqref="L9"/>
      <selection pane="topRight" activeCell="A12" sqref="A12"/>
    </sheetView>
  </sheetViews>
  <sheetFormatPr defaultColWidth="9.109375" defaultRowHeight="13.2"/>
  <cols>
    <col min="1" max="1" width="8.109375" style="151" bestFit="1" customWidth="1"/>
    <col min="2" max="2" width="13" style="151" customWidth="1"/>
    <col min="3" max="3" width="11.6640625" style="151" customWidth="1"/>
    <col min="4" max="5" width="13.6640625" style="151" customWidth="1"/>
    <col min="6" max="6" width="8.109375" style="151" bestFit="1" customWidth="1"/>
    <col min="7" max="7" width="8.6640625" style="151" bestFit="1" customWidth="1"/>
    <col min="8" max="8" width="13.6640625" style="151" customWidth="1"/>
    <col min="9" max="9" width="13.44140625" style="151" customWidth="1"/>
    <col min="10" max="10" width="18.109375" style="151" customWidth="1"/>
    <col min="11" max="11" width="13.6640625" style="151" customWidth="1"/>
    <col min="12" max="16384" width="9.109375" style="151"/>
  </cols>
  <sheetData>
    <row r="1" spans="1:13">
      <c r="K1" s="312" t="s">
        <v>113</v>
      </c>
    </row>
    <row r="2" spans="1:13">
      <c r="A2" s="723" t="s">
        <v>626</v>
      </c>
      <c r="B2" s="723"/>
      <c r="C2" s="723"/>
      <c r="D2" s="723"/>
      <c r="E2" s="723"/>
      <c r="F2" s="723"/>
      <c r="G2" s="662"/>
      <c r="H2" s="662"/>
      <c r="I2" s="662"/>
      <c r="J2" s="662"/>
      <c r="K2" s="662"/>
    </row>
    <row r="3" spans="1:13">
      <c r="A3" s="722" t="s">
        <v>606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</row>
    <row r="4" spans="1:13">
      <c r="A4" s="723" t="s">
        <v>53</v>
      </c>
      <c r="B4" s="723"/>
      <c r="C4" s="723"/>
      <c r="D4" s="723"/>
      <c r="E4" s="723"/>
      <c r="F4" s="723"/>
      <c r="G4" s="662"/>
      <c r="H4" s="662"/>
      <c r="I4" s="662"/>
      <c r="J4" s="662"/>
      <c r="K4" s="662"/>
    </row>
    <row r="5" spans="1:13">
      <c r="A5" s="724" t="s">
        <v>1152</v>
      </c>
      <c r="B5" s="724"/>
      <c r="C5" s="724"/>
      <c r="D5" s="724"/>
      <c r="E5" s="724"/>
      <c r="F5" s="724"/>
      <c r="G5" s="662"/>
      <c r="H5" s="662"/>
      <c r="I5" s="662"/>
      <c r="J5" s="662"/>
      <c r="K5" s="662"/>
    </row>
    <row r="8" spans="1:13">
      <c r="B8" s="727" t="s">
        <v>302</v>
      </c>
      <c r="C8" s="728"/>
      <c r="D8" s="727" t="s">
        <v>303</v>
      </c>
      <c r="E8" s="728"/>
      <c r="F8" s="727" t="s">
        <v>404</v>
      </c>
      <c r="G8" s="728"/>
      <c r="H8" s="727" t="s">
        <v>405</v>
      </c>
      <c r="I8" s="728"/>
      <c r="J8" s="225" t="s">
        <v>407</v>
      </c>
      <c r="K8" s="152" t="s">
        <v>201</v>
      </c>
    </row>
    <row r="9" spans="1:13">
      <c r="B9" s="725" t="s">
        <v>389</v>
      </c>
      <c r="C9" s="726"/>
      <c r="D9" s="725" t="s">
        <v>390</v>
      </c>
      <c r="E9" s="726"/>
      <c r="F9" s="725" t="s">
        <v>391</v>
      </c>
      <c r="G9" s="726"/>
      <c r="H9" s="725" t="s">
        <v>392</v>
      </c>
      <c r="I9" s="726"/>
      <c r="J9" s="226" t="s">
        <v>408</v>
      </c>
      <c r="K9" s="223"/>
    </row>
    <row r="10" spans="1:13">
      <c r="A10" s="153" t="s">
        <v>108</v>
      </c>
      <c r="B10" s="154" t="s">
        <v>301</v>
      </c>
      <c r="C10" s="154" t="s">
        <v>297</v>
      </c>
      <c r="D10" s="155" t="s">
        <v>304</v>
      </c>
      <c r="E10" s="154" t="s">
        <v>297</v>
      </c>
      <c r="F10" s="156" t="s">
        <v>402</v>
      </c>
      <c r="G10" s="156" t="s">
        <v>297</v>
      </c>
      <c r="H10" s="156" t="s">
        <v>406</v>
      </c>
      <c r="I10" s="156" t="s">
        <v>297</v>
      </c>
      <c r="J10" s="156"/>
      <c r="K10" s="156" t="s">
        <v>202</v>
      </c>
    </row>
    <row r="11" spans="1:13">
      <c r="A11" s="158">
        <v>42339</v>
      </c>
      <c r="B11" s="80">
        <v>0</v>
      </c>
      <c r="C11" s="157" t="s">
        <v>300</v>
      </c>
      <c r="D11" s="80">
        <v>0</v>
      </c>
      <c r="E11" s="157" t="s">
        <v>305</v>
      </c>
      <c r="F11" s="80">
        <v>0</v>
      </c>
      <c r="G11" s="157" t="s">
        <v>403</v>
      </c>
      <c r="H11" s="302">
        <v>0</v>
      </c>
      <c r="I11" s="157" t="s">
        <v>327</v>
      </c>
      <c r="J11" s="157">
        <f>B11+D11-F11+H11</f>
        <v>0</v>
      </c>
      <c r="K11" s="300">
        <v>0</v>
      </c>
    </row>
    <row r="12" spans="1:13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M12" s="159" t="s">
        <v>113</v>
      </c>
    </row>
    <row r="13" spans="1:13">
      <c r="A13" s="160" t="s">
        <v>103</v>
      </c>
      <c r="B13" s="62">
        <f>SUM(B11:B11)</f>
        <v>0</v>
      </c>
      <c r="C13" s="62"/>
      <c r="D13" s="62">
        <f>SUM(D11:D11)</f>
        <v>0</v>
      </c>
      <c r="E13" s="62"/>
      <c r="F13" s="227">
        <f>SUM(F11:F12)</f>
        <v>0</v>
      </c>
      <c r="G13" s="62"/>
      <c r="H13" s="227">
        <f>SUM(H11:H12)</f>
        <v>0</v>
      </c>
      <c r="I13" s="62"/>
      <c r="J13" s="227">
        <f>SUM(J11:J12)</f>
        <v>0</v>
      </c>
      <c r="K13" s="62">
        <f>SUM(K11:K11)</f>
        <v>0</v>
      </c>
    </row>
    <row r="14" spans="1:13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3">
      <c r="A15" s="100"/>
      <c r="B15" s="100"/>
      <c r="C15" s="100"/>
      <c r="D15" s="100"/>
      <c r="E15" s="100"/>
      <c r="F15" s="100"/>
    </row>
    <row r="16" spans="1:13">
      <c r="J16" s="228" t="s">
        <v>421</v>
      </c>
      <c r="K16" s="224">
        <f>IF(J13=0,0,K13/J13)</f>
        <v>0</v>
      </c>
    </row>
    <row r="17" spans="1:9">
      <c r="A17" s="7"/>
    </row>
    <row r="18" spans="1:9">
      <c r="A18" s="151" t="s">
        <v>411</v>
      </c>
    </row>
    <row r="19" spans="1:9">
      <c r="A19" s="229" t="s">
        <v>410</v>
      </c>
      <c r="B19" s="151" t="s">
        <v>413</v>
      </c>
    </row>
    <row r="20" spans="1:9">
      <c r="A20" s="229" t="s">
        <v>409</v>
      </c>
      <c r="B20" s="151" t="s">
        <v>412</v>
      </c>
    </row>
    <row r="23" spans="1:9">
      <c r="I23"/>
    </row>
  </sheetData>
  <mergeCells count="12">
    <mergeCell ref="A3:K3"/>
    <mergeCell ref="A2:K2"/>
    <mergeCell ref="A4:K4"/>
    <mergeCell ref="A5:K5"/>
    <mergeCell ref="B9:C9"/>
    <mergeCell ref="D9:E9"/>
    <mergeCell ref="F8:G8"/>
    <mergeCell ref="H8:I8"/>
    <mergeCell ref="H9:I9"/>
    <mergeCell ref="F9:G9"/>
    <mergeCell ref="B8:C8"/>
    <mergeCell ref="D8:E8"/>
  </mergeCells>
  <phoneticPr fontId="2" type="noConversion"/>
  <pageMargins left="0.5" right="0.5" top="0.5" bottom="0.5" header="0.5" footer="0.25"/>
  <pageSetup scale="65" orientation="portrait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6" tint="-0.249977111117893"/>
  </sheetPr>
  <dimension ref="A1:P56"/>
  <sheetViews>
    <sheetView showGridLines="0" view="pageBreakPreview" topLeftCell="A25" zoomScaleNormal="100" zoomScaleSheetLayoutView="100" workbookViewId="0">
      <selection activeCell="A12" sqref="A12"/>
    </sheetView>
  </sheetViews>
  <sheetFormatPr defaultColWidth="11" defaultRowHeight="13.2"/>
  <cols>
    <col min="1" max="1" width="5.6640625" style="7" customWidth="1"/>
    <col min="2" max="3" width="16.6640625" style="7" customWidth="1"/>
    <col min="4" max="4" width="11.6640625" style="7" customWidth="1"/>
    <col min="5" max="5" width="18.88671875" style="7" customWidth="1"/>
    <col min="6" max="6" width="17.5546875" style="7" customWidth="1"/>
    <col min="7" max="7" width="15.5546875" style="7" customWidth="1"/>
    <col min="8" max="8" width="10.6640625" style="7" customWidth="1"/>
    <col min="9" max="9" width="13.44140625" style="7" customWidth="1"/>
    <col min="10" max="10" width="12.33203125" style="7" customWidth="1"/>
    <col min="11" max="11" width="16.6640625" style="7" customWidth="1"/>
    <col min="12" max="12" width="12.33203125" style="7" customWidth="1"/>
    <col min="13" max="13" width="16.6640625" style="7" customWidth="1"/>
    <col min="14" max="14" width="11.6640625" style="7" customWidth="1"/>
    <col min="15" max="15" width="16.6640625" style="7" customWidth="1"/>
    <col min="16" max="16" width="19.88671875" style="7" customWidth="1"/>
    <col min="17" max="19" width="16.6640625" style="7" customWidth="1"/>
    <col min="20" max="16384" width="11" style="7"/>
  </cols>
  <sheetData>
    <row r="1" spans="1:16">
      <c r="B1" s="65"/>
      <c r="P1" s="206" t="s">
        <v>113</v>
      </c>
    </row>
    <row r="2" spans="1:16">
      <c r="A2" s="711" t="s">
        <v>626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</row>
    <row r="3" spans="1:16">
      <c r="A3" s="672" t="s">
        <v>606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</row>
    <row r="4" spans="1:16">
      <c r="A4" s="711" t="s">
        <v>54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</row>
    <row r="5" spans="1:16">
      <c r="A5" s="721" t="s">
        <v>1152</v>
      </c>
      <c r="B5" s="662"/>
      <c r="C5" s="662"/>
      <c r="D5" s="662"/>
      <c r="E5" s="662"/>
      <c r="F5" s="662"/>
      <c r="G5" s="662"/>
      <c r="H5" s="662"/>
      <c r="I5" s="662"/>
      <c r="J5" s="662"/>
      <c r="K5" s="662"/>
      <c r="L5" s="662"/>
      <c r="M5" s="662"/>
      <c r="N5" s="662"/>
      <c r="O5" s="662"/>
      <c r="P5" s="662"/>
    </row>
    <row r="6" spans="1:16" ht="11.25" customHeight="1"/>
    <row r="7" spans="1:16" ht="25.65" customHeight="1">
      <c r="A7" s="140" t="s">
        <v>129</v>
      </c>
      <c r="B7" s="94" t="s">
        <v>272</v>
      </c>
      <c r="C7" s="93" t="s">
        <v>239</v>
      </c>
      <c r="D7" s="93" t="s">
        <v>416</v>
      </c>
      <c r="E7" s="93" t="s">
        <v>415</v>
      </c>
      <c r="F7" s="93" t="s">
        <v>416</v>
      </c>
      <c r="G7" s="93" t="s">
        <v>417</v>
      </c>
      <c r="H7" s="93" t="s">
        <v>416</v>
      </c>
      <c r="I7" s="93" t="s">
        <v>241</v>
      </c>
      <c r="J7" s="93" t="s">
        <v>416</v>
      </c>
      <c r="K7" s="93" t="s">
        <v>242</v>
      </c>
      <c r="L7" s="93" t="s">
        <v>416</v>
      </c>
      <c r="M7" s="93" t="s">
        <v>243</v>
      </c>
      <c r="N7" s="93" t="s">
        <v>416</v>
      </c>
      <c r="O7" s="93" t="s">
        <v>244</v>
      </c>
      <c r="P7" s="93" t="s">
        <v>378</v>
      </c>
    </row>
    <row r="8" spans="1:16" ht="30" customHeight="1">
      <c r="C8" s="9" t="s">
        <v>245</v>
      </c>
      <c r="D8" s="9"/>
      <c r="E8" s="9">
        <v>2210000</v>
      </c>
      <c r="F8" s="9"/>
      <c r="G8" s="9">
        <v>2220001</v>
      </c>
      <c r="H8" s="9"/>
      <c r="I8" s="9" t="s">
        <v>246</v>
      </c>
      <c r="J8" s="9"/>
      <c r="K8" s="9" t="s">
        <v>247</v>
      </c>
      <c r="L8" s="9"/>
      <c r="M8" s="9" t="s">
        <v>248</v>
      </c>
      <c r="N8" s="9"/>
    </row>
    <row r="9" spans="1:16">
      <c r="C9" s="9" t="s">
        <v>389</v>
      </c>
      <c r="D9" s="9"/>
      <c r="E9" s="9" t="s">
        <v>390</v>
      </c>
      <c r="F9" s="9"/>
      <c r="G9" s="9" t="s">
        <v>391</v>
      </c>
      <c r="H9" s="9"/>
      <c r="I9" s="9" t="s">
        <v>392</v>
      </c>
      <c r="K9" s="9" t="s">
        <v>393</v>
      </c>
      <c r="M9" s="9" t="s">
        <v>386</v>
      </c>
      <c r="O9" s="9" t="s">
        <v>420</v>
      </c>
    </row>
    <row r="10" spans="1:16">
      <c r="A10" s="9">
        <v>1</v>
      </c>
      <c r="B10" s="36">
        <v>42339</v>
      </c>
      <c r="C10" s="566">
        <v>0</v>
      </c>
      <c r="D10" s="567" t="s">
        <v>422</v>
      </c>
      <c r="E10" s="566">
        <v>345097743</v>
      </c>
      <c r="F10" s="567" t="s">
        <v>419</v>
      </c>
      <c r="G10" s="566">
        <v>0</v>
      </c>
      <c r="H10" s="567" t="s">
        <v>418</v>
      </c>
      <c r="I10" s="566">
        <v>275686624</v>
      </c>
      <c r="J10" s="568" t="s">
        <v>423</v>
      </c>
      <c r="K10" s="566">
        <v>3000000000</v>
      </c>
      <c r="L10" s="568" t="s">
        <v>423</v>
      </c>
      <c r="M10" s="566">
        <v>0</v>
      </c>
      <c r="N10" s="568" t="s">
        <v>423</v>
      </c>
      <c r="O10" s="31">
        <f>SUM(C10:M10)</f>
        <v>3620784367</v>
      </c>
      <c r="P10" s="306" t="s">
        <v>381</v>
      </c>
    </row>
    <row r="11" spans="1:16">
      <c r="A11" s="9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>
      <c r="A12" s="9">
        <v>2</v>
      </c>
      <c r="B12" s="36">
        <v>42339</v>
      </c>
      <c r="C12" s="31">
        <f>AVERAGE(C10:C10)</f>
        <v>0</v>
      </c>
      <c r="D12" s="31"/>
      <c r="E12" s="31">
        <f>AVERAGE(E10:E10)</f>
        <v>345097743</v>
      </c>
      <c r="F12" s="31"/>
      <c r="G12" s="31">
        <f>AVERAGE(G10:G10)</f>
        <v>0</v>
      </c>
      <c r="H12" s="31"/>
      <c r="I12" s="31">
        <f>AVERAGE(I10:I10)</f>
        <v>275686624</v>
      </c>
      <c r="J12" s="31"/>
      <c r="K12" s="31">
        <f>AVERAGE(K10:K10)</f>
        <v>3000000000</v>
      </c>
      <c r="L12" s="31"/>
      <c r="M12" s="31">
        <f>AVERAGE(M10:M10)</f>
        <v>0</v>
      </c>
      <c r="N12" s="31"/>
      <c r="O12" s="31">
        <f>AVERAGE(O10:O10)</f>
        <v>3620784367</v>
      </c>
      <c r="P12" s="37"/>
    </row>
    <row r="13" spans="1:16">
      <c r="A13" s="9"/>
    </row>
    <row r="14" spans="1:16">
      <c r="A14" s="9"/>
    </row>
    <row r="15" spans="1:16">
      <c r="A15" s="9"/>
      <c r="B15" s="729" t="str">
        <f>A2</f>
        <v>Appalachian Power Company</v>
      </c>
      <c r="C15" s="729"/>
      <c r="D15" s="729"/>
      <c r="E15" s="729"/>
    </row>
    <row r="16" spans="1:16">
      <c r="A16" s="9"/>
      <c r="B16" s="729" t="s">
        <v>199</v>
      </c>
      <c r="C16" s="729"/>
      <c r="D16" s="729"/>
      <c r="E16" s="729"/>
    </row>
    <row r="17" spans="1:8">
      <c r="A17" s="9"/>
      <c r="B17" s="729" t="str">
        <f>A5</f>
        <v>For the Year Ending December 31, 2015</v>
      </c>
      <c r="C17" s="729"/>
      <c r="D17" s="729"/>
      <c r="E17" s="729"/>
    </row>
    <row r="18" spans="1:8">
      <c r="A18" s="9"/>
      <c r="B18" s="8"/>
      <c r="C18" s="8"/>
      <c r="D18" s="8"/>
      <c r="E18" s="8"/>
    </row>
    <row r="19" spans="1:8">
      <c r="A19" s="140" t="s">
        <v>129</v>
      </c>
      <c r="B19" s="141" t="s">
        <v>114</v>
      </c>
      <c r="C19" s="141"/>
      <c r="D19" s="141" t="s">
        <v>240</v>
      </c>
      <c r="E19" s="141"/>
      <c r="F19" s="140" t="s">
        <v>296</v>
      </c>
    </row>
    <row r="20" spans="1:8">
      <c r="A20" s="9">
        <v>1</v>
      </c>
      <c r="B20" s="8" t="s">
        <v>249</v>
      </c>
      <c r="C20" s="7" t="s">
        <v>250</v>
      </c>
      <c r="D20" s="142" t="s">
        <v>251</v>
      </c>
      <c r="F20" s="509">
        <v>10177771.85</v>
      </c>
    </row>
    <row r="21" spans="1:8">
      <c r="A21" s="506">
        <v>2</v>
      </c>
      <c r="B21" s="507" t="s">
        <v>249</v>
      </c>
      <c r="C21" s="7" t="s">
        <v>1014</v>
      </c>
      <c r="D21" s="514">
        <v>4270004</v>
      </c>
      <c r="F21" s="509">
        <v>9983942.0800000001</v>
      </c>
    </row>
    <row r="22" spans="1:8">
      <c r="A22" s="506">
        <v>3</v>
      </c>
      <c r="B22" s="507" t="s">
        <v>249</v>
      </c>
      <c r="C22" s="7" t="s">
        <v>1015</v>
      </c>
      <c r="D22" s="514">
        <v>4270005</v>
      </c>
      <c r="F22" s="509">
        <v>312637</v>
      </c>
    </row>
    <row r="23" spans="1:8">
      <c r="A23" s="9">
        <v>4</v>
      </c>
      <c r="B23" s="8" t="s">
        <v>249</v>
      </c>
      <c r="C23" s="7" t="s">
        <v>252</v>
      </c>
      <c r="D23" s="142" t="s">
        <v>253</v>
      </c>
      <c r="F23" s="509">
        <v>166921973.88999999</v>
      </c>
    </row>
    <row r="24" spans="1:8">
      <c r="A24" s="9">
        <v>5</v>
      </c>
      <c r="B24" s="8" t="s">
        <v>249</v>
      </c>
      <c r="C24" s="7" t="s">
        <v>1016</v>
      </c>
      <c r="D24" s="323">
        <v>4270012</v>
      </c>
      <c r="F24" s="510">
        <v>671874.99</v>
      </c>
    </row>
    <row r="25" spans="1:8">
      <c r="A25" s="9">
        <v>6</v>
      </c>
      <c r="B25" s="8"/>
      <c r="D25" s="144" t="s">
        <v>267</v>
      </c>
      <c r="F25" s="451">
        <f>SUM(F20:F24)</f>
        <v>188068199.81</v>
      </c>
      <c r="H25" s="39"/>
    </row>
    <row r="26" spans="1:8">
      <c r="A26" s="9"/>
      <c r="B26" s="8"/>
      <c r="D26" s="142"/>
      <c r="F26" s="451"/>
    </row>
    <row r="27" spans="1:8">
      <c r="A27" s="9">
        <v>7</v>
      </c>
      <c r="B27" s="146" t="s">
        <v>254</v>
      </c>
      <c r="D27" s="144" t="s">
        <v>265</v>
      </c>
      <c r="F27" s="509">
        <v>2916355.95</v>
      </c>
    </row>
    <row r="28" spans="1:8">
      <c r="A28" s="9">
        <v>8</v>
      </c>
      <c r="B28" s="8" t="s">
        <v>255</v>
      </c>
      <c r="D28" s="144" t="s">
        <v>266</v>
      </c>
      <c r="F28" s="509">
        <v>3960759</v>
      </c>
    </row>
    <row r="29" spans="1:8">
      <c r="A29" s="9"/>
      <c r="B29" s="8"/>
      <c r="D29" s="142"/>
      <c r="F29" s="509"/>
    </row>
    <row r="30" spans="1:8">
      <c r="A30" s="9">
        <v>9</v>
      </c>
      <c r="B30" s="8" t="s">
        <v>603</v>
      </c>
      <c r="C30" s="7" t="s">
        <v>256</v>
      </c>
      <c r="D30" s="144" t="s">
        <v>268</v>
      </c>
      <c r="F30" s="509">
        <v>0</v>
      </c>
    </row>
    <row r="31" spans="1:8">
      <c r="A31" s="9"/>
      <c r="B31" s="8"/>
      <c r="F31" s="564"/>
    </row>
    <row r="32" spans="1:8">
      <c r="A32" s="9">
        <v>10</v>
      </c>
      <c r="B32" s="8" t="s">
        <v>257</v>
      </c>
      <c r="D32" s="144" t="s">
        <v>269</v>
      </c>
      <c r="F32" s="564">
        <v>0</v>
      </c>
    </row>
    <row r="33" spans="1:11">
      <c r="A33" s="9"/>
      <c r="B33" s="8"/>
      <c r="F33" s="564"/>
    </row>
    <row r="34" spans="1:11">
      <c r="A34" s="9">
        <v>11</v>
      </c>
      <c r="B34" s="146" t="s">
        <v>258</v>
      </c>
      <c r="D34" s="144" t="s">
        <v>270</v>
      </c>
      <c r="F34" s="565">
        <v>0</v>
      </c>
    </row>
    <row r="35" spans="1:11">
      <c r="A35" s="9"/>
      <c r="B35" s="8"/>
      <c r="F35" s="147"/>
    </row>
    <row r="36" spans="1:11" ht="13.8" thickBot="1">
      <c r="A36" s="9">
        <v>12</v>
      </c>
      <c r="B36" s="7" t="s">
        <v>259</v>
      </c>
      <c r="F36" s="148">
        <f>SUM(F25,F27,F28,F30,F32,F34)</f>
        <v>194945314.75999999</v>
      </c>
    </row>
    <row r="37" spans="1:11" ht="13.8" thickTop="1">
      <c r="A37" s="9"/>
    </row>
    <row r="38" spans="1:11">
      <c r="A38" s="9">
        <v>13</v>
      </c>
      <c r="B38" s="149" t="s">
        <v>374</v>
      </c>
    </row>
    <row r="39" spans="1:11">
      <c r="A39" s="9">
        <v>14</v>
      </c>
      <c r="B39" s="21" t="s">
        <v>375</v>
      </c>
      <c r="D39" s="7" t="s">
        <v>379</v>
      </c>
      <c r="F39" s="39">
        <f>F25</f>
        <v>188068199.81</v>
      </c>
    </row>
    <row r="40" spans="1:11">
      <c r="A40" s="9">
        <v>15</v>
      </c>
      <c r="B40" s="21" t="s">
        <v>376</v>
      </c>
      <c r="D40" s="7" t="s">
        <v>380</v>
      </c>
      <c r="F40" s="39">
        <f>F30</f>
        <v>0</v>
      </c>
    </row>
    <row r="41" spans="1:11" ht="13.8" thickBot="1">
      <c r="A41" s="9">
        <v>16</v>
      </c>
      <c r="B41" s="21" t="s">
        <v>377</v>
      </c>
      <c r="F41" s="150">
        <f>SUM(F39:F40)</f>
        <v>188068199.81</v>
      </c>
      <c r="H41"/>
      <c r="I41"/>
      <c r="J41"/>
      <c r="K41"/>
    </row>
    <row r="42" spans="1:11" ht="13.8" thickTop="1">
      <c r="A42" s="9"/>
      <c r="B42" s="21"/>
      <c r="F42" s="39"/>
    </row>
    <row r="43" spans="1:11">
      <c r="A43" s="9"/>
      <c r="B43" s="21"/>
      <c r="F43" s="39"/>
    </row>
    <row r="44" spans="1:11">
      <c r="A44" s="9">
        <v>17</v>
      </c>
      <c r="B44" s="7" t="s">
        <v>373</v>
      </c>
      <c r="F44" s="451">
        <f>'WP-13a'!C19</f>
        <v>-422540</v>
      </c>
    </row>
    <row r="45" spans="1:11">
      <c r="B45" s="65" t="s">
        <v>425</v>
      </c>
    </row>
    <row r="48" spans="1:11">
      <c r="B48" s="7" t="s">
        <v>1174</v>
      </c>
    </row>
    <row r="50" spans="2:5" ht="13.8" thickBot="1"/>
    <row r="51" spans="2:5">
      <c r="B51" s="386" t="s">
        <v>752</v>
      </c>
      <c r="C51" s="375"/>
      <c r="D51" s="375"/>
      <c r="E51" s="376"/>
    </row>
    <row r="52" spans="2:5">
      <c r="B52" s="377"/>
      <c r="C52" s="21"/>
      <c r="D52" s="21"/>
      <c r="E52" s="378"/>
    </row>
    <row r="53" spans="2:5">
      <c r="B53" s="377">
        <v>4300001</v>
      </c>
      <c r="C53" s="21" t="s">
        <v>753</v>
      </c>
      <c r="D53" s="21"/>
      <c r="E53" s="576">
        <v>0</v>
      </c>
    </row>
    <row r="54" spans="2:5">
      <c r="B54" s="377">
        <v>4300003</v>
      </c>
      <c r="C54" s="21" t="s">
        <v>754</v>
      </c>
      <c r="D54" s="21"/>
      <c r="E54" s="576">
        <v>239745</v>
      </c>
    </row>
    <row r="55" spans="2:5">
      <c r="B55" s="377"/>
      <c r="C55" s="21" t="s">
        <v>755</v>
      </c>
      <c r="D55" s="21"/>
      <c r="E55" s="576">
        <f>+E53+E54</f>
        <v>239745</v>
      </c>
    </row>
    <row r="56" spans="2:5" ht="13.8" thickBot="1">
      <c r="B56" s="379"/>
      <c r="C56" s="380"/>
      <c r="D56" s="380"/>
      <c r="E56" s="381"/>
    </row>
  </sheetData>
  <mergeCells count="7">
    <mergeCell ref="B17:E17"/>
    <mergeCell ref="B15:E15"/>
    <mergeCell ref="A2:P2"/>
    <mergeCell ref="A4:P4"/>
    <mergeCell ref="A5:P5"/>
    <mergeCell ref="B16:E16"/>
    <mergeCell ref="A3:P3"/>
  </mergeCells>
  <phoneticPr fontId="2" type="noConversion"/>
  <pageMargins left="0.5" right="0.5" top="0.5" bottom="0.5" header="0.5" footer="0.25"/>
  <pageSetup scale="39" orientation="portrait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N44"/>
  <sheetViews>
    <sheetView view="pageBreakPreview" zoomScale="60" zoomScaleNormal="100" workbookViewId="0">
      <selection activeCell="J54" sqref="J54"/>
    </sheetView>
  </sheetViews>
  <sheetFormatPr defaultRowHeight="13.2"/>
  <cols>
    <col min="2" max="2" width="39" customWidth="1"/>
    <col min="3" max="3" width="17.6640625" customWidth="1"/>
    <col min="4" max="4" width="17.44140625" customWidth="1"/>
    <col min="5" max="5" width="13.6640625" customWidth="1"/>
    <col min="6" max="6" width="15.88671875" customWidth="1"/>
    <col min="7" max="7" width="12.5546875" bestFit="1" customWidth="1"/>
    <col min="8" max="8" width="9.33203125" bestFit="1" customWidth="1"/>
    <col min="10" max="10" width="91.33203125" customWidth="1"/>
  </cols>
  <sheetData>
    <row r="1" spans="1:8">
      <c r="A1" s="711" t="s">
        <v>626</v>
      </c>
      <c r="B1" s="711"/>
      <c r="C1" s="711"/>
      <c r="D1" s="711"/>
      <c r="E1" s="711"/>
      <c r="F1" s="711"/>
      <c r="G1" s="711"/>
      <c r="H1" s="310" t="s">
        <v>113</v>
      </c>
    </row>
    <row r="2" spans="1:8">
      <c r="A2" s="662" t="s">
        <v>606</v>
      </c>
      <c r="B2" s="662"/>
      <c r="C2" s="662"/>
      <c r="D2" s="662"/>
      <c r="E2" s="662"/>
      <c r="F2" s="662"/>
      <c r="G2" s="662"/>
      <c r="H2" s="206" t="s">
        <v>113</v>
      </c>
    </row>
    <row r="3" spans="1:8">
      <c r="A3" s="711" t="s">
        <v>52</v>
      </c>
      <c r="B3" s="711"/>
      <c r="C3" s="711"/>
      <c r="D3" s="711"/>
      <c r="E3" s="711"/>
      <c r="F3" s="711"/>
      <c r="G3" s="711"/>
    </row>
    <row r="4" spans="1:8">
      <c r="A4" s="721" t="s">
        <v>1117</v>
      </c>
      <c r="B4" s="721">
        <v>0</v>
      </c>
      <c r="C4" s="721">
        <v>0</v>
      </c>
      <c r="D4" s="721">
        <v>0</v>
      </c>
      <c r="E4" s="721">
        <v>0</v>
      </c>
      <c r="F4" s="721">
        <v>0</v>
      </c>
      <c r="G4" s="721"/>
    </row>
    <row r="5" spans="1:8">
      <c r="A5" s="253"/>
      <c r="B5" s="254"/>
      <c r="C5" s="254"/>
      <c r="D5" s="254"/>
      <c r="E5" s="254"/>
      <c r="F5" s="255"/>
      <c r="G5" s="730" t="s">
        <v>518</v>
      </c>
      <c r="H5" s="730"/>
    </row>
    <row r="6" spans="1:8" ht="79.2">
      <c r="A6" s="257"/>
      <c r="B6" s="258" t="s">
        <v>519</v>
      </c>
      <c r="C6" s="256" t="s">
        <v>961</v>
      </c>
      <c r="D6" s="256" t="str">
        <f>"Less Excludable Amounts (See NOTE on Line "&amp;A4&amp;")"</f>
        <v>Less Excludable Amounts (See NOTE on Line For the Year Ended December 31, 2015)</v>
      </c>
      <c r="E6" s="256" t="s">
        <v>520</v>
      </c>
      <c r="F6" s="256" t="s">
        <v>521</v>
      </c>
      <c r="G6" s="256" t="s">
        <v>522</v>
      </c>
      <c r="H6" s="256" t="s">
        <v>523</v>
      </c>
    </row>
    <row r="7" spans="1:8">
      <c r="A7" s="257"/>
      <c r="B7" s="265"/>
      <c r="C7" s="266"/>
      <c r="D7" s="266"/>
      <c r="E7" s="266"/>
      <c r="F7" s="255"/>
      <c r="G7" s="255"/>
      <c r="H7" s="264"/>
    </row>
    <row r="8" spans="1:8">
      <c r="B8" s="259" t="s">
        <v>583</v>
      </c>
      <c r="C8" s="448">
        <v>0</v>
      </c>
      <c r="D8" s="259"/>
      <c r="E8" s="369">
        <f t="shared" ref="E8:E17" si="0">+C8-D8</f>
        <v>0</v>
      </c>
      <c r="F8" s="260">
        <v>0</v>
      </c>
      <c r="G8" s="262">
        <v>38353</v>
      </c>
      <c r="H8" s="262">
        <v>41821</v>
      </c>
    </row>
    <row r="9" spans="1:8">
      <c r="B9" s="259" t="s">
        <v>665</v>
      </c>
      <c r="C9" s="448">
        <v>556802</v>
      </c>
      <c r="D9" s="259"/>
      <c r="E9" s="369">
        <f t="shared" si="0"/>
        <v>556802</v>
      </c>
      <c r="F9" s="260">
        <v>0</v>
      </c>
      <c r="G9" s="262">
        <v>38504</v>
      </c>
      <c r="H9" s="262">
        <v>42887</v>
      </c>
    </row>
    <row r="10" spans="1:8">
      <c r="B10" s="259" t="s">
        <v>666</v>
      </c>
      <c r="C10" s="448">
        <v>-179159</v>
      </c>
      <c r="D10" s="370"/>
      <c r="E10" s="369">
        <f t="shared" si="0"/>
        <v>-179159</v>
      </c>
      <c r="F10" s="260">
        <v>0</v>
      </c>
      <c r="G10" s="262">
        <v>38596</v>
      </c>
      <c r="H10" s="262">
        <v>49583</v>
      </c>
    </row>
    <row r="11" spans="1:8">
      <c r="B11" s="259" t="s">
        <v>582</v>
      </c>
      <c r="C11" s="448">
        <v>37068</v>
      </c>
      <c r="D11" s="259"/>
      <c r="E11" s="369">
        <f t="shared" si="0"/>
        <v>37068</v>
      </c>
      <c r="F11" s="260">
        <v>642612</v>
      </c>
      <c r="G11" s="262">
        <v>37742</v>
      </c>
      <c r="H11" s="262">
        <v>48700</v>
      </c>
    </row>
    <row r="12" spans="1:8">
      <c r="B12" s="259" t="s">
        <v>667</v>
      </c>
      <c r="C12" s="448">
        <v>-194198</v>
      </c>
      <c r="D12" s="259"/>
      <c r="E12" s="369">
        <f t="shared" si="0"/>
        <v>-194198</v>
      </c>
      <c r="F12" s="260">
        <v>-3932519</v>
      </c>
      <c r="G12" s="262">
        <v>38808</v>
      </c>
      <c r="H12" s="262">
        <v>49766</v>
      </c>
    </row>
    <row r="13" spans="1:8">
      <c r="B13" s="259" t="s">
        <v>668</v>
      </c>
      <c r="C13" s="448">
        <v>159672</v>
      </c>
      <c r="D13" s="259"/>
      <c r="E13" s="369">
        <f t="shared" si="0"/>
        <v>159672</v>
      </c>
      <c r="F13" s="260">
        <v>3546027</v>
      </c>
      <c r="G13" s="262">
        <v>39508</v>
      </c>
      <c r="H13" s="262">
        <v>50496</v>
      </c>
    </row>
    <row r="14" spans="1:8">
      <c r="B14" s="259" t="s">
        <v>669</v>
      </c>
      <c r="C14" s="448">
        <v>328707</v>
      </c>
      <c r="D14" s="371"/>
      <c r="E14" s="369">
        <f t="shared" si="0"/>
        <v>328707</v>
      </c>
      <c r="F14" s="260">
        <v>0</v>
      </c>
      <c r="G14" s="262">
        <v>40322</v>
      </c>
      <c r="H14" s="262">
        <v>42125</v>
      </c>
    </row>
    <row r="15" spans="1:8">
      <c r="B15" s="259" t="s">
        <v>670</v>
      </c>
      <c r="C15" s="448">
        <v>-1131432</v>
      </c>
      <c r="D15" s="261">
        <v>0</v>
      </c>
      <c r="E15" s="369">
        <f>+C15-D15</f>
        <v>-1131432</v>
      </c>
      <c r="F15" s="260">
        <v>-5908592</v>
      </c>
      <c r="G15" s="262">
        <v>40603</v>
      </c>
      <c r="H15" s="262">
        <v>44256</v>
      </c>
    </row>
    <row r="16" spans="1:8">
      <c r="B16" s="259"/>
      <c r="C16" s="448" t="s">
        <v>113</v>
      </c>
      <c r="D16" s="261">
        <v>0</v>
      </c>
      <c r="E16" s="369" t="s">
        <v>113</v>
      </c>
      <c r="F16" s="260" t="s">
        <v>113</v>
      </c>
      <c r="G16" s="262"/>
      <c r="H16" s="262"/>
    </row>
    <row r="17" spans="2:8">
      <c r="B17" s="259"/>
      <c r="C17" s="260"/>
      <c r="D17" s="261"/>
      <c r="E17" s="369">
        <f t="shared" si="0"/>
        <v>0</v>
      </c>
      <c r="F17" s="260"/>
      <c r="G17" s="262"/>
      <c r="H17" s="262"/>
    </row>
    <row r="18" spans="2:8">
      <c r="B18" s="263"/>
      <c r="C18" s="372"/>
      <c r="D18" s="372"/>
      <c r="E18" s="373"/>
      <c r="F18" s="255"/>
      <c r="G18" s="255"/>
      <c r="H18" s="264"/>
    </row>
    <row r="19" spans="2:8">
      <c r="B19" s="449" t="s">
        <v>524</v>
      </c>
      <c r="C19" s="450">
        <f>SUM(C8:C17)</f>
        <v>-422540</v>
      </c>
      <c r="D19" s="450">
        <f>SUM(D8:D16)</f>
        <v>0</v>
      </c>
      <c r="E19" s="450">
        <f>SUM(E8:E17)</f>
        <v>-422540</v>
      </c>
      <c r="F19" s="255"/>
      <c r="G19" s="255"/>
      <c r="H19" s="264"/>
    </row>
    <row r="44" spans="40:40">
      <c r="AN44">
        <v>80</v>
      </c>
    </row>
  </sheetData>
  <mergeCells count="5">
    <mergeCell ref="G5:H5"/>
    <mergeCell ref="A1:G1"/>
    <mergeCell ref="A3:G3"/>
    <mergeCell ref="A4:G4"/>
    <mergeCell ref="A2:G2"/>
  </mergeCells>
  <phoneticPr fontId="2" type="noConversion"/>
  <pageMargins left="0.5" right="0.5" top="0.5" bottom="0.5" header="0.5" footer="0.25"/>
  <pageSetup scale="67" orientation="portrait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92D050"/>
  </sheetPr>
  <dimension ref="A1:S71"/>
  <sheetViews>
    <sheetView showGridLines="0" view="pageBreakPreview" topLeftCell="A22" zoomScale="60" zoomScaleNormal="100" workbookViewId="0">
      <selection activeCell="G43" sqref="G43"/>
    </sheetView>
  </sheetViews>
  <sheetFormatPr defaultColWidth="9.109375" defaultRowHeight="13.2"/>
  <cols>
    <col min="1" max="1" width="9.109375" style="7"/>
    <col min="2" max="2" width="9.5546875" style="7" customWidth="1"/>
    <col min="3" max="3" width="8.44140625" style="7" bestFit="1" customWidth="1"/>
    <col min="4" max="4" width="3" style="7" customWidth="1"/>
    <col min="5" max="5" width="15.5546875" style="7" customWidth="1"/>
    <col min="6" max="6" width="16.88671875" style="7" customWidth="1"/>
    <col min="7" max="7" width="15" style="7" customWidth="1"/>
    <col min="8" max="8" width="5.33203125" style="7" customWidth="1"/>
    <col min="9" max="10" width="11.33203125" style="7" customWidth="1"/>
    <col min="11" max="16384" width="9.109375" style="7"/>
  </cols>
  <sheetData>
    <row r="1" spans="1:11">
      <c r="A1" s="7" t="s">
        <v>113</v>
      </c>
      <c r="G1" s="206" t="s">
        <v>113</v>
      </c>
    </row>
    <row r="2" spans="1:11">
      <c r="A2" s="731" t="s">
        <v>626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</row>
    <row r="3" spans="1:11">
      <c r="A3" s="672" t="s">
        <v>606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</row>
    <row r="4" spans="1:11">
      <c r="A4" s="731" t="s">
        <v>55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</row>
    <row r="5" spans="1:11">
      <c r="A5" s="732" t="s">
        <v>1152</v>
      </c>
      <c r="B5" s="662"/>
      <c r="C5" s="662"/>
      <c r="D5" s="662"/>
      <c r="E5" s="662"/>
      <c r="F5" s="662"/>
      <c r="G5" s="662"/>
      <c r="H5" s="662"/>
      <c r="I5" s="662"/>
      <c r="J5" s="662"/>
      <c r="K5" s="662"/>
    </row>
    <row r="7" spans="1:11">
      <c r="F7" s="9" t="s">
        <v>701</v>
      </c>
    </row>
    <row r="8" spans="1:11" s="9" customFormat="1" ht="15.6">
      <c r="B8" s="130" t="s">
        <v>203</v>
      </c>
      <c r="C8" s="130"/>
      <c r="D8" s="131"/>
      <c r="E8" s="132" t="s">
        <v>130</v>
      </c>
      <c r="F8" s="132" t="s">
        <v>941</v>
      </c>
      <c r="G8" s="133" t="s">
        <v>102</v>
      </c>
      <c r="I8" s="140" t="s">
        <v>942</v>
      </c>
    </row>
    <row r="9" spans="1:11">
      <c r="B9" s="19">
        <v>500</v>
      </c>
      <c r="C9" s="19" t="s">
        <v>106</v>
      </c>
      <c r="D9" s="19"/>
      <c r="E9" s="12">
        <f>'WP-10a'!D9</f>
        <v>18801537.760000002</v>
      </c>
      <c r="F9" s="12"/>
      <c r="G9" s="14">
        <f>+E9-F9</f>
        <v>18801537.760000002</v>
      </c>
      <c r="I9" s="7" t="s">
        <v>906</v>
      </c>
      <c r="J9" s="6"/>
    </row>
    <row r="10" spans="1:11">
      <c r="B10" s="19">
        <v>502</v>
      </c>
      <c r="C10" s="19" t="s">
        <v>106</v>
      </c>
      <c r="D10" s="19"/>
      <c r="E10" s="12">
        <f>'WP-10a'!D11</f>
        <v>48333670.189999998</v>
      </c>
      <c r="F10" s="12"/>
      <c r="G10" s="14">
        <f t="shared" ref="G10:G53" si="0">+E10-F10</f>
        <v>48333670.189999998</v>
      </c>
      <c r="I10" s="7" t="s">
        <v>766</v>
      </c>
      <c r="J10" s="6"/>
    </row>
    <row r="11" spans="1:11">
      <c r="B11" s="19">
        <v>503</v>
      </c>
      <c r="C11" s="19" t="s">
        <v>107</v>
      </c>
      <c r="D11" s="19"/>
      <c r="E11" s="12">
        <v>0</v>
      </c>
      <c r="F11" s="12"/>
      <c r="G11" s="14">
        <f t="shared" si="0"/>
        <v>0</v>
      </c>
      <c r="I11" s="7" t="s">
        <v>927</v>
      </c>
      <c r="J11" s="6"/>
    </row>
    <row r="12" spans="1:11">
      <c r="B12" s="19" t="s">
        <v>204</v>
      </c>
      <c r="C12" s="19" t="s">
        <v>107</v>
      </c>
      <c r="D12" s="19"/>
      <c r="E12" s="12">
        <v>0</v>
      </c>
      <c r="F12" s="12"/>
      <c r="G12" s="14">
        <f t="shared" si="0"/>
        <v>0</v>
      </c>
      <c r="I12" s="7" t="s">
        <v>928</v>
      </c>
    </row>
    <row r="13" spans="1:11">
      <c r="B13" s="19">
        <v>505</v>
      </c>
      <c r="C13" s="19" t="s">
        <v>106</v>
      </c>
      <c r="D13" s="19"/>
      <c r="E13" s="12">
        <f>'WP-10a'!D12</f>
        <v>879046.6</v>
      </c>
      <c r="F13" s="12"/>
      <c r="G13" s="14">
        <f t="shared" si="0"/>
        <v>879046.6</v>
      </c>
      <c r="I13" s="7" t="s">
        <v>767</v>
      </c>
      <c r="J13" s="6"/>
    </row>
    <row r="14" spans="1:11">
      <c r="B14" s="19">
        <v>506</v>
      </c>
      <c r="C14" s="19" t="s">
        <v>106</v>
      </c>
      <c r="D14" s="19"/>
      <c r="E14" s="12">
        <f>'WP-10a'!D13</f>
        <v>32379328.100000001</v>
      </c>
      <c r="F14" s="12">
        <v>0</v>
      </c>
      <c r="G14" s="14">
        <f t="shared" si="0"/>
        <v>32379328.100000001</v>
      </c>
      <c r="I14" s="7" t="s">
        <v>768</v>
      </c>
      <c r="J14" s="6"/>
    </row>
    <row r="15" spans="1:11">
      <c r="B15" s="19">
        <v>507</v>
      </c>
      <c r="C15" s="19" t="s">
        <v>106</v>
      </c>
      <c r="D15" s="19"/>
      <c r="E15" s="12">
        <f>'WP-10a'!D14</f>
        <v>9904.6200000000008</v>
      </c>
      <c r="F15" s="12"/>
      <c r="G15" s="14">
        <f t="shared" si="0"/>
        <v>9904.6200000000008</v>
      </c>
      <c r="I15" s="7" t="s">
        <v>769</v>
      </c>
      <c r="J15" s="6"/>
    </row>
    <row r="16" spans="1:11">
      <c r="B16" s="19">
        <v>509</v>
      </c>
      <c r="C16" s="19" t="s">
        <v>107</v>
      </c>
      <c r="D16" s="19"/>
      <c r="E16" s="12">
        <f>'WP-10a'!D15</f>
        <v>569863.06999999995</v>
      </c>
      <c r="F16" s="12"/>
      <c r="G16" s="14">
        <f t="shared" si="0"/>
        <v>569863.06999999995</v>
      </c>
      <c r="I16" s="7" t="s">
        <v>770</v>
      </c>
      <c r="J16" s="6"/>
    </row>
    <row r="17" spans="2:13">
      <c r="B17" s="19">
        <v>510</v>
      </c>
      <c r="C17" s="19" t="s">
        <v>107</v>
      </c>
      <c r="D17" s="19"/>
      <c r="E17" s="12">
        <f>'WP-10a'!D34</f>
        <v>4527509.72</v>
      </c>
      <c r="F17" s="12"/>
      <c r="G17" s="14">
        <f t="shared" si="0"/>
        <v>4527509.72</v>
      </c>
      <c r="I17" s="7" t="s">
        <v>785</v>
      </c>
      <c r="J17" s="13"/>
    </row>
    <row r="18" spans="2:13">
      <c r="B18" s="19">
        <v>511</v>
      </c>
      <c r="C18" s="19" t="s">
        <v>106</v>
      </c>
      <c r="D18" s="19"/>
      <c r="E18" s="12">
        <f>'WP-10a'!D35</f>
        <v>7948357.3399999999</v>
      </c>
      <c r="F18" s="12"/>
      <c r="G18" s="14">
        <f t="shared" si="0"/>
        <v>7948357.3399999999</v>
      </c>
      <c r="I18" s="7" t="s">
        <v>786</v>
      </c>
      <c r="J18" s="6"/>
    </row>
    <row r="19" spans="2:13">
      <c r="B19" s="19">
        <v>512</v>
      </c>
      <c r="C19" s="19" t="s">
        <v>107</v>
      </c>
      <c r="D19" s="19"/>
      <c r="E19" s="12">
        <f>'WP-10a'!D36</f>
        <v>64361295.240000002</v>
      </c>
      <c r="F19" s="12"/>
      <c r="G19" s="14">
        <f t="shared" si="0"/>
        <v>64361295.240000002</v>
      </c>
      <c r="I19" s="7" t="s">
        <v>787</v>
      </c>
      <c r="J19" s="6"/>
      <c r="L19" s="33"/>
      <c r="M19" s="6"/>
    </row>
    <row r="20" spans="2:13">
      <c r="B20" s="19">
        <v>513</v>
      </c>
      <c r="C20" s="19" t="s">
        <v>107</v>
      </c>
      <c r="D20" s="19"/>
      <c r="E20" s="12">
        <f>'WP-10a'!D37</f>
        <v>17674620.539999999</v>
      </c>
      <c r="F20" s="12"/>
      <c r="G20" s="14">
        <f t="shared" si="0"/>
        <v>17674620.539999999</v>
      </c>
      <c r="I20" s="7" t="s">
        <v>788</v>
      </c>
      <c r="J20" s="6"/>
      <c r="L20" s="33"/>
      <c r="M20" s="6"/>
    </row>
    <row r="21" spans="2:13">
      <c r="B21" s="19">
        <v>514</v>
      </c>
      <c r="C21" s="19" t="s">
        <v>106</v>
      </c>
      <c r="D21" s="19"/>
      <c r="E21" s="12">
        <f>'WP-10a'!D38</f>
        <v>13965263.93</v>
      </c>
      <c r="F21" s="12"/>
      <c r="G21" s="14">
        <f t="shared" si="0"/>
        <v>13965263.93</v>
      </c>
      <c r="I21" s="7" t="s">
        <v>789</v>
      </c>
      <c r="J21" s="6"/>
    </row>
    <row r="22" spans="2:13">
      <c r="B22" s="19">
        <v>517</v>
      </c>
      <c r="C22" s="19" t="s">
        <v>106</v>
      </c>
      <c r="D22" s="19"/>
      <c r="E22" s="17">
        <v>0</v>
      </c>
      <c r="F22" s="17"/>
      <c r="G22" s="14">
        <f t="shared" si="0"/>
        <v>0</v>
      </c>
      <c r="I22" s="7" t="s">
        <v>771</v>
      </c>
    </row>
    <row r="23" spans="2:13">
      <c r="B23" s="19">
        <v>519</v>
      </c>
      <c r="C23" s="19" t="s">
        <v>106</v>
      </c>
      <c r="D23" s="19"/>
      <c r="E23" s="17">
        <v>0</v>
      </c>
      <c r="F23" s="17"/>
      <c r="G23" s="14">
        <f t="shared" si="0"/>
        <v>0</v>
      </c>
      <c r="I23" s="7" t="s">
        <v>772</v>
      </c>
      <c r="J23" s="13"/>
    </row>
    <row r="24" spans="2:13">
      <c r="B24" s="19">
        <v>520</v>
      </c>
      <c r="C24" s="19" t="s">
        <v>106</v>
      </c>
      <c r="D24" s="19"/>
      <c r="E24" s="17">
        <v>0</v>
      </c>
      <c r="F24" s="17"/>
      <c r="G24" s="14">
        <f t="shared" si="0"/>
        <v>0</v>
      </c>
      <c r="I24" s="7" t="s">
        <v>773</v>
      </c>
      <c r="J24" s="13"/>
    </row>
    <row r="25" spans="2:13">
      <c r="B25" s="19">
        <v>521</v>
      </c>
      <c r="C25" s="19" t="s">
        <v>106</v>
      </c>
      <c r="D25" s="19"/>
      <c r="E25" s="17">
        <v>0</v>
      </c>
      <c r="F25" s="17"/>
      <c r="G25" s="14">
        <f t="shared" si="0"/>
        <v>0</v>
      </c>
      <c r="I25" s="7" t="s">
        <v>929</v>
      </c>
      <c r="J25" s="2"/>
    </row>
    <row r="26" spans="2:13">
      <c r="B26" s="19" t="s">
        <v>205</v>
      </c>
      <c r="C26" s="19" t="s">
        <v>106</v>
      </c>
      <c r="D26" s="19"/>
      <c r="E26" s="17">
        <v>0</v>
      </c>
      <c r="F26" s="17"/>
      <c r="G26" s="14">
        <f t="shared" si="0"/>
        <v>0</v>
      </c>
      <c r="I26" s="7" t="s">
        <v>930</v>
      </c>
    </row>
    <row r="27" spans="2:13">
      <c r="B27" s="19">
        <v>523</v>
      </c>
      <c r="C27" s="19" t="s">
        <v>106</v>
      </c>
      <c r="D27" s="19"/>
      <c r="E27" s="17">
        <v>0</v>
      </c>
      <c r="F27" s="17"/>
      <c r="G27" s="14">
        <f t="shared" si="0"/>
        <v>0</v>
      </c>
      <c r="I27" s="7" t="s">
        <v>774</v>
      </c>
    </row>
    <row r="28" spans="2:13">
      <c r="B28" s="19">
        <v>524</v>
      </c>
      <c r="C28" s="19" t="s">
        <v>106</v>
      </c>
      <c r="D28" s="19"/>
      <c r="E28" s="17">
        <v>0</v>
      </c>
      <c r="F28" s="17"/>
      <c r="G28" s="14">
        <f t="shared" si="0"/>
        <v>0</v>
      </c>
      <c r="I28" s="7" t="s">
        <v>775</v>
      </c>
    </row>
    <row r="29" spans="2:13">
      <c r="B29" s="19">
        <v>525</v>
      </c>
      <c r="C29" s="19" t="s">
        <v>106</v>
      </c>
      <c r="D29" s="19"/>
      <c r="E29" s="17">
        <v>0</v>
      </c>
      <c r="F29" s="17"/>
      <c r="G29" s="14">
        <f t="shared" si="0"/>
        <v>0</v>
      </c>
      <c r="I29" s="7" t="s">
        <v>940</v>
      </c>
    </row>
    <row r="30" spans="2:13">
      <c r="B30" s="19">
        <v>528</v>
      </c>
      <c r="C30" s="19" t="s">
        <v>107</v>
      </c>
      <c r="D30" s="19"/>
      <c r="E30" s="17">
        <v>0</v>
      </c>
      <c r="F30" s="17"/>
      <c r="G30" s="14">
        <f t="shared" si="0"/>
        <v>0</v>
      </c>
      <c r="I30" s="7" t="s">
        <v>790</v>
      </c>
    </row>
    <row r="31" spans="2:13">
      <c r="B31" s="19">
        <v>529</v>
      </c>
      <c r="C31" s="19" t="s">
        <v>106</v>
      </c>
      <c r="D31" s="19"/>
      <c r="E31" s="17">
        <v>0</v>
      </c>
      <c r="F31" s="17"/>
      <c r="G31" s="14">
        <f t="shared" si="0"/>
        <v>0</v>
      </c>
      <c r="I31" s="7" t="s">
        <v>791</v>
      </c>
    </row>
    <row r="32" spans="2:13">
      <c r="B32" s="19">
        <v>530</v>
      </c>
      <c r="C32" s="19" t="s">
        <v>107</v>
      </c>
      <c r="D32" s="19"/>
      <c r="E32" s="17">
        <v>0</v>
      </c>
      <c r="F32" s="17"/>
      <c r="G32" s="14">
        <f t="shared" si="0"/>
        <v>0</v>
      </c>
      <c r="I32" s="7" t="s">
        <v>792</v>
      </c>
    </row>
    <row r="33" spans="2:9">
      <c r="B33" s="19">
        <v>531</v>
      </c>
      <c r="C33" s="19" t="s">
        <v>107</v>
      </c>
      <c r="D33" s="19"/>
      <c r="E33" s="17">
        <v>0</v>
      </c>
      <c r="F33" s="17"/>
      <c r="G33" s="14">
        <f t="shared" si="0"/>
        <v>0</v>
      </c>
      <c r="I33" s="7" t="s">
        <v>793</v>
      </c>
    </row>
    <row r="34" spans="2:9">
      <c r="B34" s="19">
        <v>532</v>
      </c>
      <c r="C34" s="19" t="s">
        <v>107</v>
      </c>
      <c r="D34" s="19"/>
      <c r="E34" s="17">
        <v>0</v>
      </c>
      <c r="F34" s="17"/>
      <c r="G34" s="14">
        <f t="shared" si="0"/>
        <v>0</v>
      </c>
      <c r="I34" s="7" t="s">
        <v>794</v>
      </c>
    </row>
    <row r="35" spans="2:9">
      <c r="B35" s="19">
        <v>535</v>
      </c>
      <c r="C35" s="19" t="s">
        <v>106</v>
      </c>
      <c r="D35" s="19"/>
      <c r="E35" s="17">
        <f>'WP-10a'!D22</f>
        <v>1508045.99</v>
      </c>
      <c r="F35" s="17"/>
      <c r="G35" s="14">
        <f t="shared" si="0"/>
        <v>1508045.99</v>
      </c>
      <c r="I35" s="7" t="s">
        <v>776</v>
      </c>
    </row>
    <row r="36" spans="2:9">
      <c r="B36" s="19">
        <v>536</v>
      </c>
      <c r="C36" s="19" t="s">
        <v>106</v>
      </c>
      <c r="D36" s="19"/>
      <c r="E36" s="17">
        <f>'WP-10a'!D23</f>
        <v>31360.26</v>
      </c>
      <c r="F36" s="17"/>
      <c r="G36" s="14">
        <f t="shared" si="0"/>
        <v>31360.26</v>
      </c>
      <c r="I36" s="7" t="s">
        <v>777</v>
      </c>
    </row>
    <row r="37" spans="2:9">
      <c r="B37" s="19">
        <v>537</v>
      </c>
      <c r="C37" s="19" t="s">
        <v>106</v>
      </c>
      <c r="D37" s="19"/>
      <c r="E37" s="17">
        <f>'WP-10a'!D24</f>
        <v>383442.08</v>
      </c>
      <c r="F37" s="17"/>
      <c r="G37" s="14">
        <f t="shared" si="0"/>
        <v>383442.08</v>
      </c>
      <c r="I37" s="7" t="s">
        <v>778</v>
      </c>
    </row>
    <row r="38" spans="2:9">
      <c r="B38" s="19">
        <v>538</v>
      </c>
      <c r="C38" s="19" t="s">
        <v>106</v>
      </c>
      <c r="D38" s="19"/>
      <c r="E38" s="17">
        <f>'WP-10a'!D25</f>
        <v>6863.12</v>
      </c>
      <c r="F38" s="17"/>
      <c r="G38" s="14">
        <f t="shared" si="0"/>
        <v>6863.12</v>
      </c>
      <c r="I38" s="7" t="s">
        <v>779</v>
      </c>
    </row>
    <row r="39" spans="2:9">
      <c r="B39" s="19">
        <v>539</v>
      </c>
      <c r="C39" s="19" t="s">
        <v>106</v>
      </c>
      <c r="D39" s="19"/>
      <c r="E39" s="17">
        <f>'WP-10a'!D26</f>
        <v>2888351.91</v>
      </c>
      <c r="F39" s="12"/>
      <c r="G39" s="14">
        <f t="shared" si="0"/>
        <v>2888351.91</v>
      </c>
      <c r="I39" s="7" t="s">
        <v>780</v>
      </c>
    </row>
    <row r="40" spans="2:9">
      <c r="B40" s="19">
        <v>540</v>
      </c>
      <c r="C40" s="19" t="s">
        <v>106</v>
      </c>
      <c r="D40" s="19"/>
      <c r="E40" s="17">
        <f>'WP-10a'!D27</f>
        <v>350336.28</v>
      </c>
      <c r="F40" s="17"/>
      <c r="G40" s="14">
        <f t="shared" si="0"/>
        <v>350336.28</v>
      </c>
      <c r="I40" s="7" t="s">
        <v>909</v>
      </c>
    </row>
    <row r="41" spans="2:9">
      <c r="B41" s="19">
        <v>541</v>
      </c>
      <c r="C41" s="19" t="s">
        <v>106</v>
      </c>
      <c r="D41" s="19"/>
      <c r="E41" s="17">
        <f>'WP-10a'!D44</f>
        <v>162854.92000000001</v>
      </c>
      <c r="F41" s="17"/>
      <c r="G41" s="14">
        <f t="shared" si="0"/>
        <v>162854.92000000001</v>
      </c>
      <c r="I41" s="7" t="s">
        <v>795</v>
      </c>
    </row>
    <row r="42" spans="2:9">
      <c r="B42" s="19">
        <v>542</v>
      </c>
      <c r="C42" s="19" t="s">
        <v>106</v>
      </c>
      <c r="D42" s="19"/>
      <c r="E42" s="17">
        <f>'WP-10a'!D46</f>
        <v>3395768.89</v>
      </c>
      <c r="F42" s="12"/>
      <c r="G42" s="14">
        <v>1900669</v>
      </c>
      <c r="I42" s="7" t="s">
        <v>796</v>
      </c>
    </row>
    <row r="43" spans="2:9">
      <c r="B43" s="19">
        <v>543</v>
      </c>
      <c r="C43" s="19" t="s">
        <v>106</v>
      </c>
      <c r="D43" s="19"/>
      <c r="E43" s="17">
        <f>'WP-10a'!D46</f>
        <v>3395768.89</v>
      </c>
      <c r="F43" s="17"/>
      <c r="G43" s="14">
        <f t="shared" si="0"/>
        <v>3395768.89</v>
      </c>
      <c r="I43" s="7" t="s">
        <v>797</v>
      </c>
    </row>
    <row r="44" spans="2:9">
      <c r="B44" s="19">
        <v>544</v>
      </c>
      <c r="C44" s="19" t="s">
        <v>107</v>
      </c>
      <c r="D44" s="19"/>
      <c r="E44" s="17">
        <f>'WP-10a'!D47</f>
        <v>4671227.37</v>
      </c>
      <c r="F44" s="17"/>
      <c r="G44" s="14">
        <f t="shared" si="0"/>
        <v>4671227.37</v>
      </c>
      <c r="I44" s="7" t="s">
        <v>798</v>
      </c>
    </row>
    <row r="45" spans="2:9">
      <c r="B45" s="19">
        <v>545</v>
      </c>
      <c r="C45" s="19" t="s">
        <v>106</v>
      </c>
      <c r="D45" s="19"/>
      <c r="E45" s="17">
        <f>'WP-10a'!D48</f>
        <v>829573.38</v>
      </c>
      <c r="F45" s="17"/>
      <c r="G45" s="14">
        <f t="shared" si="0"/>
        <v>829573.38</v>
      </c>
      <c r="I45" s="7" t="s">
        <v>799</v>
      </c>
    </row>
    <row r="46" spans="2:9">
      <c r="B46" s="19">
        <v>546</v>
      </c>
      <c r="C46" s="19" t="s">
        <v>106</v>
      </c>
      <c r="D46" s="19"/>
      <c r="E46" s="17">
        <f>'WP-10a'!D28</f>
        <v>245832.55</v>
      </c>
      <c r="F46" s="17"/>
      <c r="G46" s="14">
        <f t="shared" si="0"/>
        <v>245832.55</v>
      </c>
      <c r="I46" s="7" t="s">
        <v>781</v>
      </c>
    </row>
    <row r="47" spans="2:9">
      <c r="B47" s="19">
        <v>548</v>
      </c>
      <c r="C47" s="19" t="s">
        <v>106</v>
      </c>
      <c r="D47" s="19"/>
      <c r="E47" s="17">
        <f>'WP-10a'!D30</f>
        <v>359395.89</v>
      </c>
      <c r="F47" s="17"/>
      <c r="G47" s="14">
        <f t="shared" si="0"/>
        <v>359395.89</v>
      </c>
      <c r="I47" s="7" t="s">
        <v>783</v>
      </c>
    </row>
    <row r="48" spans="2:9">
      <c r="B48" s="19">
        <v>549</v>
      </c>
      <c r="C48" s="19" t="s">
        <v>106</v>
      </c>
      <c r="D48" s="19"/>
      <c r="E48" s="17">
        <f>'WP-10a'!D31</f>
        <v>55591.23</v>
      </c>
      <c r="F48" s="17"/>
      <c r="G48" s="14">
        <f t="shared" si="0"/>
        <v>55591.23</v>
      </c>
      <c r="I48" s="7" t="s">
        <v>784</v>
      </c>
    </row>
    <row r="49" spans="2:19">
      <c r="B49" s="19">
        <v>550</v>
      </c>
      <c r="C49" s="19" t="s">
        <v>106</v>
      </c>
      <c r="D49" s="19"/>
      <c r="E49" s="17">
        <v>0</v>
      </c>
      <c r="F49" s="17"/>
      <c r="G49" s="14">
        <f t="shared" si="0"/>
        <v>0</v>
      </c>
      <c r="I49" s="7" t="s">
        <v>931</v>
      </c>
    </row>
    <row r="50" spans="2:19">
      <c r="B50" s="19">
        <v>551</v>
      </c>
      <c r="C50" s="19" t="s">
        <v>106</v>
      </c>
      <c r="D50" s="19"/>
      <c r="E50" s="11">
        <v>0</v>
      </c>
      <c r="F50" s="11"/>
      <c r="G50" s="14">
        <f t="shared" si="0"/>
        <v>0</v>
      </c>
      <c r="I50" s="7" t="s">
        <v>800</v>
      </c>
    </row>
    <row r="51" spans="2:19">
      <c r="B51" s="19">
        <v>552</v>
      </c>
      <c r="C51" s="19" t="s">
        <v>106</v>
      </c>
      <c r="D51" s="19"/>
      <c r="E51" s="17">
        <v>0</v>
      </c>
      <c r="F51" s="17"/>
      <c r="G51" s="14">
        <f t="shared" si="0"/>
        <v>0</v>
      </c>
      <c r="I51" s="7" t="s">
        <v>932</v>
      </c>
    </row>
    <row r="52" spans="2:19">
      <c r="B52" s="19">
        <v>553</v>
      </c>
      <c r="C52" s="19" t="s">
        <v>106</v>
      </c>
      <c r="D52" s="19"/>
      <c r="E52" s="17">
        <f>'WP-10a'!D50</f>
        <v>580071.27</v>
      </c>
      <c r="F52" s="17"/>
      <c r="G52" s="14">
        <f t="shared" si="0"/>
        <v>580071.27</v>
      </c>
      <c r="I52" s="7" t="s">
        <v>801</v>
      </c>
    </row>
    <row r="53" spans="2:19">
      <c r="B53" s="19">
        <v>554</v>
      </c>
      <c r="C53" s="19" t="s">
        <v>106</v>
      </c>
      <c r="D53" s="19"/>
      <c r="E53" s="17">
        <f>'WP-10a'!D51</f>
        <v>0</v>
      </c>
      <c r="F53" s="17"/>
      <c r="G53" s="14">
        <f t="shared" si="0"/>
        <v>0</v>
      </c>
      <c r="I53" s="7" t="s">
        <v>910</v>
      </c>
    </row>
    <row r="54" spans="2:19">
      <c r="B54" s="19"/>
      <c r="C54" s="19"/>
      <c r="D54" s="19"/>
      <c r="E54" s="17"/>
      <c r="F54" s="17"/>
      <c r="G54" s="20"/>
    </row>
    <row r="55" spans="2:19">
      <c r="B55" s="19"/>
      <c r="C55" s="19"/>
      <c r="D55" s="19"/>
      <c r="E55" s="17"/>
      <c r="F55" s="17"/>
      <c r="G55" s="20"/>
    </row>
    <row r="56" spans="2:19">
      <c r="B56" s="19"/>
      <c r="C56" s="19"/>
      <c r="D56" s="19"/>
      <c r="E56" s="17"/>
      <c r="F56" s="17"/>
      <c r="G56" s="20"/>
    </row>
    <row r="57" spans="2:19">
      <c r="B57" s="7" t="s">
        <v>102</v>
      </c>
      <c r="E57" s="134">
        <f>+E9+E10+E11-E12+E13+E14+E15+E16+E17+E18+E19+E20+E21+E22+E23+E24+E25-E26+E27+E28+E29+E30+E31+E32+E33+E34+E35+E36+E37+E38+E39+E40+E41+E42+E43+E44+E45+E46+E47+E48+E49+E50+E51+E52+E53</f>
        <v>228314881.13999999</v>
      </c>
      <c r="F57" s="134">
        <f>+F9+F10+F11-F12+F13+F14+F15+F16+F17+F18+F19+F20+F21+F22+F23+F24+F25-F26+F27+F28+F29+F30+F31+F32+F33+F34+F35+F36+F37+F38+F39+F40+F41+F42+F43+F44+F45+F46+F47+F48+F49+F50+F51+F52+F53</f>
        <v>0</v>
      </c>
      <c r="G57" s="134">
        <f>+G9+G10+G11-G12+G13+G14+G15+G16+G17+G18+G19+G20+G21+G22+G23+G24+G25-G26+G27+G28+G29+G30+G31+G32+G33+G34+G35+G36+G37+G38+G39+G40+G41+G42+G43+G44+G45+G46+G47+G48+G49+G50+G51+G52+G53</f>
        <v>226819781.25</v>
      </c>
    </row>
    <row r="58" spans="2:19">
      <c r="E58" s="16"/>
      <c r="F58" s="16"/>
      <c r="G58" s="16"/>
    </row>
    <row r="59" spans="2:19">
      <c r="E59" s="13"/>
      <c r="F59" s="13"/>
      <c r="G59" s="13"/>
    </row>
    <row r="60" spans="2:19">
      <c r="B60" s="7" t="s">
        <v>106</v>
      </c>
      <c r="E60" s="13">
        <f>+E9+E10+E13+E14+E15+E18+E21+E35+E36+E37+E38+E39+E40+E41+E42+E43+E45+E46+E47+E48+E50+E52+E53</f>
        <v>136510365.20000002</v>
      </c>
      <c r="F60" s="13">
        <f>+F9+F10+F13+F14+F15+F18+F21+F35+F36+F37+F38+F39+F40+F41+F42+F43+F45+F46+F47+F48+F50+F52+F53</f>
        <v>0</v>
      </c>
      <c r="G60" s="13">
        <f>+G9+G10+G13+G14+G15+G18+G21+G35+G36+G37+G38+G39+G40+G41+G42+G43+G45+G46+G47+G48+G50+G52+G53</f>
        <v>135015265.31</v>
      </c>
      <c r="H60" s="135"/>
      <c r="I60" s="9"/>
    </row>
    <row r="61" spans="2:19">
      <c r="B61" s="7" t="s">
        <v>206</v>
      </c>
      <c r="E61" s="22">
        <f>+E16+E17+E19+E20+E44</f>
        <v>91804515.939999998</v>
      </c>
      <c r="F61" s="22">
        <f>+F16+F17+F19+F20+F44</f>
        <v>0</v>
      </c>
      <c r="G61" s="22">
        <f>+G16+G17+G19+G20+G44</f>
        <v>91804515.939999998</v>
      </c>
      <c r="H61" s="135"/>
      <c r="I61" s="27"/>
      <c r="J61" s="13"/>
    </row>
    <row r="62" spans="2:19">
      <c r="B62" s="7" t="s">
        <v>103</v>
      </c>
      <c r="E62" s="13">
        <f>SUM(E60:E61)</f>
        <v>228314881.14000002</v>
      </c>
      <c r="F62" s="13">
        <f>SUM(F60:F61)</f>
        <v>0</v>
      </c>
      <c r="G62" s="13">
        <f>SUM(G60:G61)</f>
        <v>226819781.25</v>
      </c>
      <c r="S62" s="7" t="s">
        <v>594</v>
      </c>
    </row>
    <row r="63" spans="2:19">
      <c r="E63" s="13"/>
      <c r="F63" s="13"/>
      <c r="G63" s="13"/>
    </row>
    <row r="64" spans="2:19">
      <c r="B64" s="7" t="s">
        <v>106</v>
      </c>
      <c r="C64" s="7" t="s">
        <v>209</v>
      </c>
      <c r="E64"/>
      <c r="F64"/>
      <c r="G64" s="137">
        <f>ROUND(G60/G62,5)</f>
        <v>0.59524999999999995</v>
      </c>
    </row>
    <row r="65" spans="1:7">
      <c r="B65" s="7" t="s">
        <v>206</v>
      </c>
      <c r="C65" s="138" t="s">
        <v>209</v>
      </c>
      <c r="D65" s="65"/>
      <c r="E65"/>
      <c r="F65"/>
      <c r="G65" s="139">
        <f>ROUND(G61/G62,5)</f>
        <v>0.40475</v>
      </c>
    </row>
    <row r="66" spans="1:7">
      <c r="B66" s="7" t="s">
        <v>103</v>
      </c>
      <c r="C66" s="7" t="s">
        <v>209</v>
      </c>
      <c r="E66"/>
      <c r="F66"/>
      <c r="G66" s="137">
        <f>SUM(G64:G65)</f>
        <v>1</v>
      </c>
    </row>
    <row r="67" spans="1:7">
      <c r="E67" s="136"/>
      <c r="F67" s="136"/>
    </row>
    <row r="69" spans="1:7">
      <c r="A69" s="141" t="s">
        <v>279</v>
      </c>
      <c r="E69" s="137"/>
      <c r="F69" s="137"/>
      <c r="G69" s="13"/>
    </row>
    <row r="70" spans="1:7" ht="15.6">
      <c r="A70" s="400" t="s">
        <v>944</v>
      </c>
    </row>
    <row r="71" spans="1:7" ht="15.6">
      <c r="A71" s="7" t="s">
        <v>943</v>
      </c>
    </row>
  </sheetData>
  <mergeCells count="4">
    <mergeCell ref="A2:K2"/>
    <mergeCell ref="A3:K3"/>
    <mergeCell ref="A4:K4"/>
    <mergeCell ref="A5:K5"/>
  </mergeCells>
  <phoneticPr fontId="2" type="noConversion"/>
  <pageMargins left="0.5" right="0.5" top="0.5" bottom="0.5" header="0.5" footer="0.25"/>
  <pageSetup scale="71" orientation="portrait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FFFF00"/>
  </sheetPr>
  <dimension ref="A1:O15"/>
  <sheetViews>
    <sheetView showGridLines="0" zoomScaleNormal="100" workbookViewId="0">
      <selection activeCell="L9" sqref="L9"/>
    </sheetView>
  </sheetViews>
  <sheetFormatPr defaultColWidth="17.88671875" defaultRowHeight="13.2"/>
  <cols>
    <col min="1" max="1" width="29.33203125" style="24" customWidth="1"/>
    <col min="2" max="2" width="2.109375" style="24" customWidth="1"/>
    <col min="3" max="14" width="13.44140625" style="24" customWidth="1"/>
    <col min="15" max="15" width="15" style="24" bestFit="1" customWidth="1"/>
    <col min="16" max="16" width="9.88671875" style="24" customWidth="1"/>
    <col min="17" max="17" width="8.109375" style="24" bestFit="1" customWidth="1"/>
    <col min="18" max="16384" width="17.88671875" style="24"/>
  </cols>
  <sheetData>
    <row r="1" spans="1:15">
      <c r="A1" s="662" t="s">
        <v>626</v>
      </c>
      <c r="B1" s="662"/>
      <c r="C1" s="662"/>
      <c r="D1" s="662"/>
      <c r="E1" s="662"/>
      <c r="F1" s="662"/>
      <c r="G1" s="241"/>
      <c r="H1" s="241"/>
    </row>
    <row r="2" spans="1:15">
      <c r="A2" s="669" t="s">
        <v>606</v>
      </c>
      <c r="B2" s="662"/>
      <c r="C2" s="662"/>
      <c r="D2" s="662"/>
      <c r="E2" s="662"/>
      <c r="F2" s="662"/>
      <c r="G2" s="241"/>
      <c r="H2" s="241"/>
    </row>
    <row r="3" spans="1:15">
      <c r="A3" s="662" t="s">
        <v>621</v>
      </c>
      <c r="B3" s="662"/>
      <c r="C3" s="662"/>
      <c r="D3" s="662"/>
      <c r="E3" s="662"/>
      <c r="F3" s="662"/>
      <c r="G3" s="241"/>
      <c r="H3" s="241"/>
    </row>
    <row r="4" spans="1:15">
      <c r="A4" s="666" t="s">
        <v>113</v>
      </c>
      <c r="B4" s="666"/>
      <c r="C4" s="666"/>
      <c r="D4" s="666"/>
      <c r="E4" s="666"/>
      <c r="F4" s="666"/>
      <c r="G4" s="307"/>
    </row>
    <row r="5" spans="1:15">
      <c r="A5" s="733" t="s">
        <v>113</v>
      </c>
      <c r="B5" s="733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</row>
    <row r="6" spans="1:15">
      <c r="A6" s="666" t="s">
        <v>113</v>
      </c>
      <c r="B6" s="666"/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6"/>
    </row>
    <row r="7" spans="1:15">
      <c r="A7" s="26"/>
      <c r="B7" s="26"/>
    </row>
    <row r="8" spans="1:15">
      <c r="A8" t="s">
        <v>620</v>
      </c>
      <c r="B8" s="26"/>
    </row>
    <row r="9" spans="1:15">
      <c r="C9"/>
      <c r="D9"/>
      <c r="E9"/>
      <c r="F9"/>
      <c r="G9"/>
      <c r="H9"/>
      <c r="I9"/>
      <c r="J9"/>
      <c r="K9"/>
      <c r="L9"/>
      <c r="M9"/>
      <c r="N9"/>
      <c r="O9"/>
    </row>
    <row r="10" spans="1:15">
      <c r="A10"/>
      <c r="B10"/>
      <c r="C10"/>
      <c r="D10" s="25"/>
      <c r="E10" s="25"/>
      <c r="F10" s="25"/>
      <c r="G10" s="25"/>
      <c r="H10" s="25"/>
      <c r="I10" s="25"/>
      <c r="J10" s="25"/>
      <c r="K10" s="25"/>
      <c r="L10" s="25"/>
    </row>
    <row r="11" spans="1:15">
      <c r="A11"/>
      <c r="B11"/>
      <c r="C11"/>
      <c r="D11" s="25"/>
      <c r="E11" s="25"/>
      <c r="F11" s="25"/>
      <c r="G11" s="25"/>
      <c r="H11" s="25"/>
      <c r="I11" s="25"/>
      <c r="J11" s="25"/>
      <c r="K11" s="25"/>
      <c r="L11" s="25"/>
    </row>
    <row r="12" spans="1:15">
      <c r="A12"/>
      <c r="B12"/>
      <c r="C12"/>
      <c r="D12" s="25"/>
      <c r="E12" s="25"/>
      <c r="F12" s="25"/>
      <c r="G12" s="25"/>
      <c r="H12" s="25"/>
      <c r="I12" s="25"/>
      <c r="J12" s="25"/>
      <c r="K12" s="25"/>
      <c r="L12" s="25"/>
    </row>
    <row r="13" spans="1:15">
      <c r="A13"/>
      <c r="B13"/>
      <c r="C13"/>
      <c r="D13" s="25"/>
      <c r="E13" s="25"/>
      <c r="F13" s="25"/>
      <c r="G13" s="25"/>
      <c r="H13" s="25"/>
      <c r="I13" s="25"/>
      <c r="J13" s="25"/>
      <c r="K13" s="25"/>
      <c r="L13" s="25"/>
    </row>
    <row r="14" spans="1:15">
      <c r="A14"/>
      <c r="B14"/>
      <c r="C14"/>
      <c r="D14" s="25"/>
      <c r="E14" s="25"/>
      <c r="F14" s="25"/>
      <c r="G14" s="25"/>
      <c r="H14" s="25"/>
      <c r="I14" s="25"/>
      <c r="J14" s="25"/>
      <c r="K14" s="25"/>
      <c r="L14" s="25"/>
    </row>
    <row r="15" spans="1:15">
      <c r="A15"/>
      <c r="B15"/>
      <c r="C15"/>
      <c r="D15" s="25"/>
      <c r="E15" s="25"/>
      <c r="F15" s="25"/>
      <c r="G15" s="25"/>
      <c r="H15" s="25"/>
      <c r="I15" s="25"/>
      <c r="J15" s="25"/>
      <c r="K15" s="25"/>
      <c r="L15" s="25"/>
    </row>
  </sheetData>
  <mergeCells count="6">
    <mergeCell ref="A5:O5"/>
    <mergeCell ref="A6:O6"/>
    <mergeCell ref="A1:F1"/>
    <mergeCell ref="A2:F2"/>
    <mergeCell ref="A3:F3"/>
    <mergeCell ref="A4:F4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"/>
  <sheetViews>
    <sheetView workbookViewId="0">
      <selection activeCell="L9" sqref="L9"/>
    </sheetView>
  </sheetViews>
  <sheetFormatPr defaultRowHeight="13.2"/>
  <sheetData>
    <row r="1" spans="1:8">
      <c r="A1" s="662" t="s">
        <v>626</v>
      </c>
      <c r="B1" s="662"/>
      <c r="C1" s="662"/>
      <c r="D1" s="662"/>
      <c r="E1" s="662"/>
      <c r="F1" s="662"/>
      <c r="G1" s="662"/>
      <c r="H1" s="662"/>
    </row>
    <row r="2" spans="1:8">
      <c r="A2" s="669" t="s">
        <v>606</v>
      </c>
      <c r="B2" s="662"/>
      <c r="C2" s="662"/>
      <c r="D2" s="662"/>
      <c r="E2" s="662"/>
      <c r="F2" s="662"/>
      <c r="G2" s="662"/>
      <c r="H2" s="662"/>
    </row>
    <row r="3" spans="1:8">
      <c r="A3" s="662" t="s">
        <v>67</v>
      </c>
      <c r="B3" s="662"/>
      <c r="C3" s="662"/>
      <c r="D3" s="662"/>
      <c r="E3" s="662"/>
      <c r="F3" s="662"/>
      <c r="G3" s="662"/>
      <c r="H3" s="662"/>
    </row>
    <row r="6" spans="1:8">
      <c r="B6" t="s">
        <v>620</v>
      </c>
    </row>
  </sheetData>
  <mergeCells count="3">
    <mergeCell ref="A1:H1"/>
    <mergeCell ref="A2:H2"/>
    <mergeCell ref="A3:H3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rgb="FF92D050"/>
  </sheetPr>
  <dimension ref="A1:H20"/>
  <sheetViews>
    <sheetView showGridLines="0" view="pageBreakPreview" zoomScaleNormal="100" zoomScaleSheetLayoutView="100" workbookViewId="0">
      <selection activeCell="C10" sqref="C10"/>
    </sheetView>
  </sheetViews>
  <sheetFormatPr defaultColWidth="11" defaultRowHeight="13.2"/>
  <cols>
    <col min="1" max="1" width="16.6640625" style="124" customWidth="1"/>
    <col min="2" max="2" width="16.88671875" style="124" customWidth="1"/>
    <col min="3" max="3" width="16.44140625" style="124" customWidth="1"/>
    <col min="4" max="4" width="18" style="124" customWidth="1"/>
    <col min="5" max="5" width="20.44140625" style="124" customWidth="1"/>
    <col min="6" max="6" width="5.6640625" style="124" customWidth="1"/>
    <col min="7" max="8" width="17.88671875" style="124" customWidth="1"/>
    <col min="9" max="16384" width="11" style="124"/>
  </cols>
  <sheetData>
    <row r="1" spans="1:8">
      <c r="F1" s="314" t="s">
        <v>113</v>
      </c>
    </row>
    <row r="2" spans="1:8">
      <c r="A2" s="733" t="s">
        <v>626</v>
      </c>
      <c r="B2" s="662"/>
      <c r="C2" s="662"/>
      <c r="D2" s="662"/>
      <c r="E2" s="662"/>
      <c r="F2" s="662"/>
    </row>
    <row r="3" spans="1:8">
      <c r="A3" s="733" t="s">
        <v>56</v>
      </c>
      <c r="B3" s="662"/>
      <c r="C3" s="662"/>
      <c r="D3" s="662"/>
      <c r="E3" s="662"/>
      <c r="F3" s="662"/>
    </row>
    <row r="4" spans="1:8">
      <c r="A4" s="733" t="s">
        <v>57</v>
      </c>
      <c r="B4" s="662"/>
      <c r="C4" s="662"/>
      <c r="D4" s="662"/>
      <c r="E4" s="662"/>
      <c r="F4" s="662"/>
    </row>
    <row r="5" spans="1:8">
      <c r="A5" s="734" t="s">
        <v>1117</v>
      </c>
      <c r="B5" s="662"/>
      <c r="C5" s="662"/>
      <c r="D5" s="662"/>
      <c r="E5" s="662"/>
      <c r="F5" s="662"/>
    </row>
    <row r="7" spans="1:8">
      <c r="D7" s="109" t="s">
        <v>109</v>
      </c>
      <c r="E7" s="109" t="s">
        <v>702</v>
      </c>
    </row>
    <row r="8" spans="1:8" ht="15.6">
      <c r="A8" s="125" t="s">
        <v>108</v>
      </c>
      <c r="B8" s="270" t="s">
        <v>529</v>
      </c>
      <c r="C8" s="374" t="s">
        <v>530</v>
      </c>
      <c r="D8" s="374" t="s">
        <v>708</v>
      </c>
      <c r="E8" s="116" t="s">
        <v>703</v>
      </c>
      <c r="F8" s="109"/>
      <c r="G8" s="109"/>
    </row>
    <row r="9" spans="1:8">
      <c r="A9" s="125"/>
      <c r="B9" s="271"/>
      <c r="C9" s="116"/>
      <c r="D9" s="116"/>
      <c r="E9" s="116"/>
      <c r="F9" s="109"/>
      <c r="G9" s="109"/>
    </row>
    <row r="10" spans="1:8">
      <c r="A10" s="28">
        <v>41974</v>
      </c>
      <c r="B10" s="102">
        <v>56351848</v>
      </c>
      <c r="C10" s="102">
        <v>382840317</v>
      </c>
      <c r="D10" s="102">
        <v>0</v>
      </c>
      <c r="E10" s="103">
        <f>+B10+C10+D10</f>
        <v>439192165</v>
      </c>
      <c r="F10" s="126"/>
      <c r="G10" s="127"/>
      <c r="H10" s="128"/>
    </row>
    <row r="11" spans="1:8">
      <c r="A11" s="129" t="s">
        <v>103</v>
      </c>
      <c r="B11" s="104">
        <f>SUM(B10:B10)</f>
        <v>56351848</v>
      </c>
      <c r="C11" s="104">
        <f>SUM(C10:C10)</f>
        <v>382840317</v>
      </c>
      <c r="D11" s="104">
        <f>SUM(D10:D10)</f>
        <v>0</v>
      </c>
      <c r="E11" s="104">
        <f>SUM(E10:E10)</f>
        <v>439192165</v>
      </c>
      <c r="F11" s="128" t="s">
        <v>113</v>
      </c>
      <c r="G11" s="128"/>
      <c r="H11" s="128"/>
    </row>
    <row r="12" spans="1:8">
      <c r="C12" s="128"/>
      <c r="D12" s="128"/>
      <c r="E12" s="128" t="s">
        <v>113</v>
      </c>
    </row>
    <row r="13" spans="1:8">
      <c r="A13" s="109"/>
      <c r="B13" s="109" t="s">
        <v>913</v>
      </c>
      <c r="C13" s="109" t="s">
        <v>914</v>
      </c>
      <c r="D13" s="109" t="s">
        <v>915</v>
      </c>
      <c r="E13" s="109" t="s">
        <v>916</v>
      </c>
      <c r="G13" s="129" t="s">
        <v>113</v>
      </c>
    </row>
    <row r="16" spans="1:8">
      <c r="A16" s="193" t="s">
        <v>279</v>
      </c>
    </row>
    <row r="17" spans="1:5" ht="15.6">
      <c r="A17" s="194" t="s">
        <v>459</v>
      </c>
    </row>
    <row r="19" spans="1:5" ht="14.25" customHeight="1">
      <c r="A19" s="735" t="s">
        <v>756</v>
      </c>
      <c r="B19" s="735"/>
      <c r="C19" s="735"/>
      <c r="D19" s="735"/>
      <c r="E19" s="735"/>
    </row>
    <row r="20" spans="1:5">
      <c r="A20" s="735"/>
      <c r="B20" s="735"/>
      <c r="C20" s="735"/>
      <c r="D20" s="735"/>
      <c r="E20" s="735"/>
    </row>
  </sheetData>
  <mergeCells count="5">
    <mergeCell ref="A2:F2"/>
    <mergeCell ref="A3:F3"/>
    <mergeCell ref="A4:F4"/>
    <mergeCell ref="A5:F5"/>
    <mergeCell ref="A19:E20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92D050"/>
  </sheetPr>
  <dimension ref="A1:H19"/>
  <sheetViews>
    <sheetView showGridLines="0" view="pageBreakPreview" zoomScaleNormal="100" zoomScaleSheetLayoutView="100" workbookViewId="0">
      <selection activeCell="H45" sqref="H45"/>
    </sheetView>
  </sheetViews>
  <sheetFormatPr defaultColWidth="11" defaultRowHeight="13.2"/>
  <cols>
    <col min="1" max="1" width="17.109375" style="111" customWidth="1"/>
    <col min="2" max="2" width="16.88671875" style="111" customWidth="1"/>
    <col min="3" max="3" width="13.6640625" style="111" bestFit="1" customWidth="1"/>
    <col min="4" max="4" width="18.6640625" style="111" customWidth="1"/>
    <col min="5" max="5" width="22" style="111" customWidth="1"/>
    <col min="6" max="8" width="17.88671875" style="111" customWidth="1"/>
    <col min="9" max="16384" width="11" style="111"/>
  </cols>
  <sheetData>
    <row r="1" spans="1:8">
      <c r="F1" s="315" t="s">
        <v>113</v>
      </c>
    </row>
    <row r="2" spans="1:8">
      <c r="A2" s="736" t="s">
        <v>626</v>
      </c>
      <c r="B2" s="662"/>
      <c r="C2" s="662"/>
      <c r="D2" s="662"/>
      <c r="E2" s="662"/>
      <c r="F2" s="315" t="s">
        <v>113</v>
      </c>
    </row>
    <row r="3" spans="1:8">
      <c r="A3" s="733" t="s">
        <v>56</v>
      </c>
      <c r="B3" s="662"/>
      <c r="C3" s="662"/>
      <c r="D3" s="662"/>
      <c r="E3" s="662"/>
    </row>
    <row r="4" spans="1:8">
      <c r="A4" s="81" t="s">
        <v>58</v>
      </c>
      <c r="B4" s="112"/>
      <c r="C4" s="112"/>
      <c r="D4" s="82"/>
      <c r="E4" s="82"/>
    </row>
    <row r="5" spans="1:8">
      <c r="A5" s="113" t="s">
        <v>1117</v>
      </c>
      <c r="B5" s="114"/>
      <c r="C5" s="114"/>
      <c r="D5" s="82"/>
      <c r="E5" s="82"/>
    </row>
    <row r="6" spans="1:8">
      <c r="A6" s="113"/>
      <c r="B6" s="114"/>
      <c r="C6" s="114"/>
      <c r="D6" s="82"/>
      <c r="E6" s="82"/>
    </row>
    <row r="7" spans="1:8">
      <c r="C7" s="272" t="s">
        <v>113</v>
      </c>
    </row>
    <row r="8" spans="1:8">
      <c r="C8" s="272" t="s">
        <v>584</v>
      </c>
      <c r="H8" s="111" t="s">
        <v>113</v>
      </c>
    </row>
    <row r="9" spans="1:8" ht="15.6">
      <c r="A9" s="115" t="s">
        <v>108</v>
      </c>
      <c r="B9" s="116" t="s">
        <v>531</v>
      </c>
      <c r="C9" s="273" t="s">
        <v>600</v>
      </c>
      <c r="D9" s="116" t="s">
        <v>530</v>
      </c>
      <c r="E9" s="117" t="s">
        <v>103</v>
      </c>
      <c r="G9" s="111" t="s">
        <v>113</v>
      </c>
    </row>
    <row r="10" spans="1:8">
      <c r="A10" s="577">
        <v>42339</v>
      </c>
      <c r="B10" s="578">
        <v>1430018</v>
      </c>
      <c r="C10" s="578">
        <v>0</v>
      </c>
      <c r="D10" s="578">
        <v>117607263</v>
      </c>
      <c r="E10" s="121">
        <f>SUM(B10:D10)</f>
        <v>119037281</v>
      </c>
      <c r="F10" s="118"/>
      <c r="G10" s="119"/>
      <c r="H10" s="119"/>
    </row>
    <row r="11" spans="1:8">
      <c r="B11" s="122"/>
      <c r="C11" s="122"/>
      <c r="D11" s="122"/>
      <c r="E11" s="122"/>
      <c r="F11" s="122"/>
    </row>
    <row r="12" spans="1:8" ht="15.6">
      <c r="A12" s="115" t="s">
        <v>108</v>
      </c>
      <c r="D12" s="116" t="s">
        <v>700</v>
      </c>
      <c r="E12" s="122"/>
      <c r="F12" s="122" t="s">
        <v>113</v>
      </c>
      <c r="G12" s="120" t="s">
        <v>113</v>
      </c>
    </row>
    <row r="13" spans="1:8">
      <c r="A13" s="577">
        <v>42339</v>
      </c>
      <c r="D13" s="579">
        <v>15943577</v>
      </c>
    </row>
    <row r="15" spans="1:8" ht="15.6">
      <c r="A15" s="194" t="s">
        <v>459</v>
      </c>
    </row>
    <row r="16" spans="1:8">
      <c r="A16" s="123" t="s">
        <v>917</v>
      </c>
    </row>
    <row r="17" spans="1:1">
      <c r="A17" s="124" t="s">
        <v>113</v>
      </c>
    </row>
    <row r="18" spans="1:1" ht="15.6">
      <c r="A18" s="304" t="s">
        <v>712</v>
      </c>
    </row>
    <row r="19" spans="1:1" ht="15.6">
      <c r="A19" s="195" t="s">
        <v>113</v>
      </c>
    </row>
  </sheetData>
  <mergeCells count="2">
    <mergeCell ref="A2:E2"/>
    <mergeCell ref="A3:E3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F40"/>
  <sheetViews>
    <sheetView showGridLines="0" view="pageBreakPreview" zoomScale="60" zoomScaleNormal="100" workbookViewId="0">
      <selection activeCell="L9" sqref="L9"/>
    </sheetView>
  </sheetViews>
  <sheetFormatPr defaultColWidth="9.109375" defaultRowHeight="13.2"/>
  <cols>
    <col min="1" max="1" width="28.33203125" style="211" customWidth="1"/>
    <col min="2" max="2" width="27.33203125" style="211" customWidth="1"/>
    <col min="3" max="3" width="22.109375" style="211" customWidth="1"/>
    <col min="4" max="4" width="20" style="211" customWidth="1"/>
    <col min="5" max="5" width="24.5546875" style="211" customWidth="1"/>
    <col min="6" max="6" width="8.6640625" style="211" customWidth="1"/>
    <col min="7" max="16384" width="9.109375" style="211"/>
  </cols>
  <sheetData>
    <row r="1" spans="1:6">
      <c r="A1" s="210" t="s">
        <v>113</v>
      </c>
    </row>
    <row r="2" spans="1:6">
      <c r="A2" s="667" t="s">
        <v>626</v>
      </c>
      <c r="B2" s="667"/>
      <c r="C2" s="667"/>
      <c r="D2" s="667"/>
      <c r="E2" s="667"/>
    </row>
    <row r="3" spans="1:6">
      <c r="A3" s="666" t="s">
        <v>606</v>
      </c>
      <c r="B3" s="666"/>
      <c r="C3" s="666"/>
      <c r="D3" s="666"/>
      <c r="E3" s="666"/>
      <c r="F3" s="409"/>
    </row>
    <row r="4" spans="1:6">
      <c r="A4" s="668" t="s">
        <v>704</v>
      </c>
      <c r="B4" s="668"/>
      <c r="C4" s="668"/>
      <c r="D4" s="668"/>
      <c r="E4" s="668"/>
    </row>
    <row r="5" spans="1:6">
      <c r="A5" s="408" t="s">
        <v>113</v>
      </c>
      <c r="B5" s="408"/>
      <c r="C5" s="408"/>
      <c r="D5" s="408"/>
      <c r="E5" s="408"/>
    </row>
    <row r="6" spans="1:6" ht="13.5" customHeight="1"/>
    <row r="7" spans="1:6" ht="15.75" customHeight="1"/>
    <row r="8" spans="1:6">
      <c r="A8"/>
      <c r="B8"/>
      <c r="C8"/>
      <c r="D8"/>
      <c r="E8"/>
    </row>
    <row r="9" spans="1:6">
      <c r="C9"/>
      <c r="D9"/>
      <c r="E9"/>
    </row>
    <row r="10" spans="1:6" customFormat="1">
      <c r="A10" s="662" t="s">
        <v>620</v>
      </c>
      <c r="B10" s="662"/>
      <c r="C10" s="662"/>
      <c r="D10" s="662"/>
      <c r="E10" s="662"/>
    </row>
    <row r="11" spans="1:6" customFormat="1"/>
    <row r="12" spans="1:6" customFormat="1"/>
    <row r="13" spans="1:6" customFormat="1"/>
    <row r="14" spans="1:6" customFormat="1"/>
    <row r="15" spans="1:6" customFormat="1"/>
    <row r="16" spans="1:6" customFormat="1"/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spans="1:5" customFormat="1"/>
    <row r="34" spans="1:5" customFormat="1"/>
    <row r="35" spans="1:5" customFormat="1"/>
    <row r="36" spans="1:5" customFormat="1"/>
    <row r="37" spans="1:5" customFormat="1"/>
    <row r="38" spans="1:5" customFormat="1"/>
    <row r="39" spans="1:5" customFormat="1"/>
    <row r="40" spans="1:5">
      <c r="A40"/>
      <c r="B40"/>
      <c r="C40"/>
      <c r="D40"/>
      <c r="E40"/>
    </row>
  </sheetData>
  <mergeCells count="4">
    <mergeCell ref="A10:E10"/>
    <mergeCell ref="A2:E2"/>
    <mergeCell ref="A3:E3"/>
    <mergeCell ref="A4:E4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92D050"/>
  </sheetPr>
  <dimension ref="A2:J34"/>
  <sheetViews>
    <sheetView showGridLines="0" view="pageBreakPreview" zoomScale="60" zoomScaleNormal="100" workbookViewId="0">
      <selection activeCell="B6" sqref="B6"/>
    </sheetView>
  </sheetViews>
  <sheetFormatPr defaultColWidth="9.109375" defaultRowHeight="13.2"/>
  <cols>
    <col min="1" max="1" width="25" style="1" customWidth="1"/>
    <col min="2" max="2" width="33.33203125" style="1" customWidth="1"/>
    <col min="3" max="3" width="61" style="1" bestFit="1" customWidth="1"/>
    <col min="4" max="4" width="22.6640625" style="1" customWidth="1"/>
    <col min="5" max="5" width="22.109375" style="1" customWidth="1"/>
    <col min="6" max="6" width="7.33203125" style="1" customWidth="1"/>
    <col min="7" max="7" width="7.6640625" style="1" bestFit="1" customWidth="1"/>
    <col min="8" max="8" width="23.109375" style="1" customWidth="1"/>
    <col min="9" max="9" width="25.33203125" style="1" customWidth="1"/>
    <col min="10" max="10" width="25.5546875" style="1" customWidth="1"/>
    <col min="11" max="16384" width="9.109375" style="1"/>
  </cols>
  <sheetData>
    <row r="2" spans="1:10">
      <c r="B2" s="661" t="s">
        <v>626</v>
      </c>
      <c r="C2" s="662"/>
      <c r="D2" s="662"/>
      <c r="E2" s="662"/>
      <c r="F2" s="662"/>
      <c r="G2" s="662"/>
      <c r="H2" s="662"/>
      <c r="I2" s="662"/>
      <c r="J2" s="662"/>
    </row>
    <row r="3" spans="1:10">
      <c r="A3" s="87" t="s">
        <v>113</v>
      </c>
      <c r="B3" s="661" t="s">
        <v>606</v>
      </c>
      <c r="C3" s="661"/>
      <c r="D3" s="661"/>
      <c r="E3" s="661"/>
      <c r="F3" s="661"/>
      <c r="G3" s="661"/>
      <c r="H3" s="661"/>
      <c r="I3" s="661"/>
      <c r="J3" s="661"/>
    </row>
    <row r="4" spans="1:10">
      <c r="A4" s="87" t="s">
        <v>113</v>
      </c>
      <c r="B4" s="661" t="s">
        <v>59</v>
      </c>
      <c r="C4" s="661"/>
      <c r="D4" s="661"/>
      <c r="E4" s="661"/>
      <c r="F4" s="661"/>
      <c r="G4" s="661"/>
      <c r="H4" s="661"/>
      <c r="I4" s="661"/>
      <c r="J4" s="661"/>
    </row>
    <row r="5" spans="1:10">
      <c r="B5" s="661" t="s">
        <v>1117</v>
      </c>
      <c r="C5" s="661"/>
      <c r="D5" s="661"/>
      <c r="E5" s="661"/>
      <c r="F5" s="661"/>
      <c r="G5" s="661"/>
      <c r="H5" s="661"/>
      <c r="I5" s="661"/>
      <c r="J5" s="661"/>
    </row>
    <row r="6" spans="1:10">
      <c r="A6"/>
      <c r="B6"/>
      <c r="C6"/>
      <c r="D6"/>
      <c r="E6" s="737" t="s">
        <v>113</v>
      </c>
      <c r="F6" s="737"/>
      <c r="G6" s="737"/>
    </row>
    <row r="8" spans="1:10">
      <c r="A8"/>
      <c r="B8"/>
      <c r="C8"/>
      <c r="D8" s="413"/>
      <c r="E8"/>
      <c r="F8" s="413"/>
      <c r="G8"/>
      <c r="H8" s="424"/>
      <c r="I8" s="424"/>
      <c r="J8" s="424"/>
    </row>
    <row r="9" spans="1:10">
      <c r="A9" s="580" t="s">
        <v>512</v>
      </c>
      <c r="B9" s="580" t="s">
        <v>1006</v>
      </c>
      <c r="C9" s="580" t="s">
        <v>514</v>
      </c>
      <c r="D9" s="580" t="s">
        <v>513</v>
      </c>
      <c r="E9" s="580" t="s">
        <v>1007</v>
      </c>
      <c r="F9" s="580" t="s">
        <v>585</v>
      </c>
      <c r="G9" s="580" t="s">
        <v>586</v>
      </c>
      <c r="H9" s="581" t="s">
        <v>515</v>
      </c>
      <c r="I9" s="581" t="s">
        <v>516</v>
      </c>
      <c r="J9" s="581" t="s">
        <v>517</v>
      </c>
    </row>
    <row r="10" spans="1:10">
      <c r="A10" t="s">
        <v>671</v>
      </c>
      <c r="B10" t="s">
        <v>681</v>
      </c>
      <c r="C10" t="s">
        <v>682</v>
      </c>
      <c r="D10" t="s">
        <v>588</v>
      </c>
      <c r="E10" s="552" t="s">
        <v>998</v>
      </c>
      <c r="F10" s="552" t="s">
        <v>675</v>
      </c>
      <c r="G10" s="552" t="s">
        <v>1153</v>
      </c>
      <c r="H10" s="499">
        <v>107576</v>
      </c>
      <c r="I10" s="499">
        <v>49466.96</v>
      </c>
      <c r="J10" s="499">
        <v>58109.04</v>
      </c>
    </row>
    <row r="11" spans="1:10">
      <c r="A11" t="s">
        <v>671</v>
      </c>
      <c r="B11" t="s">
        <v>678</v>
      </c>
      <c r="C11" t="s">
        <v>679</v>
      </c>
      <c r="D11" t="s">
        <v>588</v>
      </c>
      <c r="E11" s="552" t="s">
        <v>998</v>
      </c>
      <c r="F11" s="552" t="s">
        <v>674</v>
      </c>
      <c r="G11" s="552" t="s">
        <v>1153</v>
      </c>
      <c r="H11" s="499">
        <v>132441</v>
      </c>
      <c r="I11" s="499">
        <v>101694.03</v>
      </c>
      <c r="J11" s="499">
        <v>30746.97</v>
      </c>
    </row>
    <row r="12" spans="1:10">
      <c r="A12" t="s">
        <v>671</v>
      </c>
      <c r="B12" t="s">
        <v>690</v>
      </c>
      <c r="C12" t="s">
        <v>691</v>
      </c>
      <c r="D12" t="s">
        <v>588</v>
      </c>
      <c r="E12" s="552" t="s">
        <v>998</v>
      </c>
      <c r="F12" s="552" t="s">
        <v>675</v>
      </c>
      <c r="G12" s="552" t="s">
        <v>1153</v>
      </c>
      <c r="H12" s="499">
        <v>107576</v>
      </c>
      <c r="I12" s="499">
        <v>44004.92</v>
      </c>
      <c r="J12" s="499">
        <v>63571.08</v>
      </c>
    </row>
    <row r="13" spans="1:10">
      <c r="A13" t="s">
        <v>671</v>
      </c>
      <c r="B13" t="s">
        <v>1154</v>
      </c>
      <c r="C13" t="s">
        <v>1155</v>
      </c>
      <c r="D13" t="s">
        <v>588</v>
      </c>
      <c r="E13" s="552" t="s">
        <v>998</v>
      </c>
      <c r="F13" s="552" t="s">
        <v>675</v>
      </c>
      <c r="G13" s="552" t="s">
        <v>1153</v>
      </c>
      <c r="H13" s="499">
        <v>5398124.1799999997</v>
      </c>
      <c r="I13" s="499">
        <v>1199335.68</v>
      </c>
      <c r="J13" s="499">
        <v>4198788.5</v>
      </c>
    </row>
    <row r="14" spans="1:10">
      <c r="A14" t="s">
        <v>671</v>
      </c>
      <c r="B14" t="s">
        <v>686</v>
      </c>
      <c r="C14" t="s">
        <v>687</v>
      </c>
      <c r="D14" t="s">
        <v>588</v>
      </c>
      <c r="E14" s="552" t="s">
        <v>998</v>
      </c>
      <c r="F14" s="552" t="s">
        <v>674</v>
      </c>
      <c r="G14" s="552" t="s">
        <v>1153</v>
      </c>
      <c r="H14" s="499">
        <v>673990</v>
      </c>
      <c r="I14" s="499">
        <v>310671.74</v>
      </c>
      <c r="J14" s="499">
        <v>363318.26</v>
      </c>
    </row>
    <row r="15" spans="1:10">
      <c r="A15" t="s">
        <v>671</v>
      </c>
      <c r="B15" t="s">
        <v>686</v>
      </c>
      <c r="C15" t="s">
        <v>688</v>
      </c>
      <c r="D15" t="s">
        <v>587</v>
      </c>
      <c r="E15" s="552" t="s">
        <v>999</v>
      </c>
      <c r="F15" s="552" t="s">
        <v>674</v>
      </c>
      <c r="G15" s="552" t="s">
        <v>1153</v>
      </c>
      <c r="H15" s="499">
        <v>46746</v>
      </c>
      <c r="I15" s="499">
        <v>24416.99</v>
      </c>
      <c r="J15" s="499">
        <v>22329.010000000002</v>
      </c>
    </row>
    <row r="16" spans="1:10">
      <c r="A16" t="s">
        <v>671</v>
      </c>
      <c r="B16" t="s">
        <v>672</v>
      </c>
      <c r="C16" t="s">
        <v>673</v>
      </c>
      <c r="D16" t="s">
        <v>588</v>
      </c>
      <c r="E16" s="552" t="s">
        <v>998</v>
      </c>
      <c r="F16" s="552" t="s">
        <v>674</v>
      </c>
      <c r="G16" s="552" t="s">
        <v>1153</v>
      </c>
      <c r="H16" s="499">
        <v>539626.53</v>
      </c>
      <c r="I16" s="499">
        <v>387753.66000000003</v>
      </c>
      <c r="J16" s="499">
        <v>151872.87</v>
      </c>
    </row>
    <row r="17" spans="1:10">
      <c r="A17" t="s">
        <v>671</v>
      </c>
      <c r="B17" t="s">
        <v>962</v>
      </c>
      <c r="C17" t="s">
        <v>963</v>
      </c>
      <c r="D17" t="s">
        <v>588</v>
      </c>
      <c r="E17" s="552" t="s">
        <v>1000</v>
      </c>
      <c r="F17" s="552" t="s">
        <v>964</v>
      </c>
      <c r="G17" s="552" t="s">
        <v>1153</v>
      </c>
      <c r="H17" s="499">
        <v>17759482.75</v>
      </c>
      <c r="I17" s="499">
        <v>1347822.32</v>
      </c>
      <c r="J17" s="499">
        <v>16411660.43</v>
      </c>
    </row>
    <row r="18" spans="1:10">
      <c r="A18" t="s">
        <v>671</v>
      </c>
      <c r="B18" t="s">
        <v>962</v>
      </c>
      <c r="C18" t="s">
        <v>965</v>
      </c>
      <c r="D18" t="s">
        <v>588</v>
      </c>
      <c r="E18" s="552" t="s">
        <v>1001</v>
      </c>
      <c r="F18" s="552" t="s">
        <v>964</v>
      </c>
      <c r="G18" s="552" t="s">
        <v>1153</v>
      </c>
      <c r="H18" s="499">
        <v>1628160.99</v>
      </c>
      <c r="I18" s="499">
        <v>323513.77</v>
      </c>
      <c r="J18" s="499">
        <v>1304647.22</v>
      </c>
    </row>
    <row r="19" spans="1:10">
      <c r="A19" t="s">
        <v>671</v>
      </c>
      <c r="B19" t="s">
        <v>1002</v>
      </c>
      <c r="C19" t="s">
        <v>1003</v>
      </c>
      <c r="D19" t="s">
        <v>588</v>
      </c>
      <c r="E19" s="552" t="s">
        <v>998</v>
      </c>
      <c r="F19" s="552" t="s">
        <v>675</v>
      </c>
      <c r="G19" s="552" t="s">
        <v>1153</v>
      </c>
      <c r="H19" s="499">
        <v>1166092.2</v>
      </c>
      <c r="I19" s="499">
        <v>682885.1</v>
      </c>
      <c r="J19" s="499">
        <v>483207.10000000003</v>
      </c>
    </row>
    <row r="20" spans="1:10">
      <c r="A20" t="s">
        <v>671</v>
      </c>
      <c r="B20" t="s">
        <v>1002</v>
      </c>
      <c r="C20" t="s">
        <v>966</v>
      </c>
      <c r="D20" t="s">
        <v>587</v>
      </c>
      <c r="E20" s="552" t="s">
        <v>999</v>
      </c>
      <c r="F20" s="552" t="s">
        <v>675</v>
      </c>
      <c r="G20" s="552" t="s">
        <v>1153</v>
      </c>
      <c r="H20" s="499">
        <v>24415.850000000002</v>
      </c>
      <c r="I20" s="499">
        <v>9012.31</v>
      </c>
      <c r="J20" s="499">
        <v>15403.54</v>
      </c>
    </row>
    <row r="21" spans="1:10">
      <c r="A21" t="s">
        <v>671</v>
      </c>
      <c r="B21" t="s">
        <v>1002</v>
      </c>
      <c r="C21" t="s">
        <v>966</v>
      </c>
      <c r="D21" t="s">
        <v>588</v>
      </c>
      <c r="E21" s="552" t="s">
        <v>998</v>
      </c>
      <c r="F21" s="552" t="s">
        <v>675</v>
      </c>
      <c r="G21" s="552" t="s">
        <v>1153</v>
      </c>
      <c r="H21" s="499">
        <v>13810778.4</v>
      </c>
      <c r="I21" s="499">
        <v>6505073.8499999996</v>
      </c>
      <c r="J21" s="499">
        <v>7305704.5499999998</v>
      </c>
    </row>
    <row r="22" spans="1:10">
      <c r="A22" t="s">
        <v>671</v>
      </c>
      <c r="B22" t="s">
        <v>1002</v>
      </c>
      <c r="C22" t="s">
        <v>967</v>
      </c>
      <c r="D22" t="s">
        <v>587</v>
      </c>
      <c r="E22" s="552" t="s">
        <v>999</v>
      </c>
      <c r="F22" s="552" t="s">
        <v>675</v>
      </c>
      <c r="G22" s="552" t="s">
        <v>1153</v>
      </c>
      <c r="H22" s="499">
        <v>61600</v>
      </c>
      <c r="I22" s="499">
        <v>32501.07</v>
      </c>
      <c r="J22" s="499">
        <v>29098.93</v>
      </c>
    </row>
    <row r="23" spans="1:10">
      <c r="A23" t="s">
        <v>671</v>
      </c>
      <c r="B23" t="s">
        <v>1002</v>
      </c>
      <c r="C23" t="s">
        <v>967</v>
      </c>
      <c r="D23" t="s">
        <v>588</v>
      </c>
      <c r="E23" s="552" t="s">
        <v>998</v>
      </c>
      <c r="F23" s="552" t="s">
        <v>675</v>
      </c>
      <c r="G23" s="552" t="s">
        <v>1153</v>
      </c>
      <c r="H23" s="499">
        <v>12178734.880000001</v>
      </c>
      <c r="I23" s="499">
        <v>4895012.43</v>
      </c>
      <c r="J23" s="499">
        <v>7283722.4500000002</v>
      </c>
    </row>
    <row r="24" spans="1:10">
      <c r="A24" t="s">
        <v>671</v>
      </c>
      <c r="B24" t="s">
        <v>686</v>
      </c>
      <c r="C24" t="s">
        <v>689</v>
      </c>
      <c r="D24" t="s">
        <v>588</v>
      </c>
      <c r="E24" s="552" t="s">
        <v>998</v>
      </c>
      <c r="F24" s="552" t="s">
        <v>674</v>
      </c>
      <c r="G24" s="552" t="s">
        <v>1153</v>
      </c>
      <c r="H24" s="499">
        <v>193579.48</v>
      </c>
      <c r="I24" s="499">
        <v>155829.70000000001</v>
      </c>
      <c r="J24" s="499">
        <v>37749.78</v>
      </c>
    </row>
    <row r="25" spans="1:10">
      <c r="A25" t="s">
        <v>671</v>
      </c>
      <c r="B25" t="s">
        <v>681</v>
      </c>
      <c r="C25" t="s">
        <v>683</v>
      </c>
      <c r="D25" t="s">
        <v>588</v>
      </c>
      <c r="E25" s="552" t="s">
        <v>998</v>
      </c>
      <c r="F25" s="552" t="s">
        <v>675</v>
      </c>
      <c r="G25" s="552" t="s">
        <v>1153</v>
      </c>
      <c r="H25" s="499">
        <v>366061</v>
      </c>
      <c r="I25" s="499">
        <v>217140.59</v>
      </c>
      <c r="J25" s="499">
        <v>148920.41</v>
      </c>
    </row>
    <row r="26" spans="1:10">
      <c r="A26" t="s">
        <v>671</v>
      </c>
      <c r="B26" t="s">
        <v>681</v>
      </c>
      <c r="C26" t="s">
        <v>684</v>
      </c>
      <c r="D26" t="s">
        <v>588</v>
      </c>
      <c r="E26" s="552" t="s">
        <v>998</v>
      </c>
      <c r="F26" s="552" t="s">
        <v>675</v>
      </c>
      <c r="G26" s="552" t="s">
        <v>1153</v>
      </c>
      <c r="H26" s="499">
        <v>25751</v>
      </c>
      <c r="I26" s="499">
        <v>20979.63</v>
      </c>
      <c r="J26" s="499">
        <v>4771.37</v>
      </c>
    </row>
    <row r="27" spans="1:10">
      <c r="A27" t="s">
        <v>671</v>
      </c>
      <c r="B27" t="s">
        <v>1156</v>
      </c>
      <c r="C27" t="s">
        <v>1157</v>
      </c>
      <c r="D27" t="s">
        <v>587</v>
      </c>
      <c r="E27" s="552" t="s">
        <v>999</v>
      </c>
      <c r="F27" s="552" t="s">
        <v>675</v>
      </c>
      <c r="G27" s="552" t="s">
        <v>1153</v>
      </c>
      <c r="H27" s="499">
        <v>84966.37</v>
      </c>
      <c r="I27" s="499">
        <v>35764.020000000004</v>
      </c>
      <c r="J27" s="499">
        <v>49202.35</v>
      </c>
    </row>
    <row r="28" spans="1:10">
      <c r="A28" t="s">
        <v>671</v>
      </c>
      <c r="B28" t="s">
        <v>1156</v>
      </c>
      <c r="C28" t="s">
        <v>1157</v>
      </c>
      <c r="D28" t="s">
        <v>588</v>
      </c>
      <c r="E28" s="552" t="s">
        <v>998</v>
      </c>
      <c r="F28" s="552" t="s">
        <v>675</v>
      </c>
      <c r="G28" s="552" t="s">
        <v>1153</v>
      </c>
      <c r="H28" s="499">
        <v>4941535.9800000004</v>
      </c>
      <c r="I28" s="499">
        <v>2382799.62</v>
      </c>
      <c r="J28" s="499">
        <v>2558736.36</v>
      </c>
    </row>
    <row r="29" spans="1:10">
      <c r="A29" t="s">
        <v>671</v>
      </c>
      <c r="B29" t="s">
        <v>676</v>
      </c>
      <c r="C29" t="s">
        <v>677</v>
      </c>
      <c r="D29" t="s">
        <v>587</v>
      </c>
      <c r="E29" s="552" t="s">
        <v>999</v>
      </c>
      <c r="F29" s="552" t="s">
        <v>674</v>
      </c>
      <c r="G29" s="552" t="s">
        <v>1153</v>
      </c>
      <c r="H29" s="499">
        <v>1579</v>
      </c>
      <c r="I29" s="499">
        <v>711.48</v>
      </c>
      <c r="J29" s="499">
        <v>867.52</v>
      </c>
    </row>
    <row r="30" spans="1:10">
      <c r="A30" t="s">
        <v>671</v>
      </c>
      <c r="B30" t="s">
        <v>676</v>
      </c>
      <c r="C30" t="s">
        <v>677</v>
      </c>
      <c r="D30" t="s">
        <v>588</v>
      </c>
      <c r="E30" s="552" t="s">
        <v>998</v>
      </c>
      <c r="F30" s="552" t="s">
        <v>674</v>
      </c>
      <c r="G30" s="552" t="s">
        <v>1153</v>
      </c>
      <c r="H30" s="499">
        <v>374454.12</v>
      </c>
      <c r="I30" s="499">
        <v>64765.57</v>
      </c>
      <c r="J30" s="499">
        <v>309688.55</v>
      </c>
    </row>
    <row r="31" spans="1:10">
      <c r="A31" t="s">
        <v>671</v>
      </c>
      <c r="B31" t="s">
        <v>678</v>
      </c>
      <c r="C31" t="s">
        <v>680</v>
      </c>
      <c r="D31" t="s">
        <v>588</v>
      </c>
      <c r="E31" s="552" t="s">
        <v>998</v>
      </c>
      <c r="F31" s="552" t="s">
        <v>674</v>
      </c>
      <c r="G31" s="552" t="s">
        <v>1153</v>
      </c>
      <c r="H31" s="499">
        <v>58521</v>
      </c>
      <c r="I31" s="499">
        <v>47677.71</v>
      </c>
      <c r="J31" s="499">
        <v>10843.29</v>
      </c>
    </row>
    <row r="32" spans="1:10">
      <c r="A32" t="s">
        <v>671</v>
      </c>
      <c r="B32" t="s">
        <v>1004</v>
      </c>
      <c r="C32" t="s">
        <v>1005</v>
      </c>
      <c r="D32" t="s">
        <v>588</v>
      </c>
      <c r="E32" s="552" t="s">
        <v>998</v>
      </c>
      <c r="F32" s="552" t="s">
        <v>674</v>
      </c>
      <c r="G32" s="552" t="s">
        <v>1153</v>
      </c>
      <c r="H32" s="499">
        <v>1721558.88</v>
      </c>
      <c r="I32" s="499">
        <v>814925.36</v>
      </c>
      <c r="J32" s="499">
        <v>906633.52</v>
      </c>
    </row>
    <row r="33" spans="1:10">
      <c r="A33" t="s">
        <v>671</v>
      </c>
      <c r="B33" t="s">
        <v>681</v>
      </c>
      <c r="C33" t="s">
        <v>685</v>
      </c>
      <c r="D33" t="s">
        <v>588</v>
      </c>
      <c r="E33" s="552" t="s">
        <v>998</v>
      </c>
      <c r="F33" s="552" t="s">
        <v>675</v>
      </c>
      <c r="G33" s="552" t="s">
        <v>1153</v>
      </c>
      <c r="H33" s="499">
        <v>1959926.26</v>
      </c>
      <c r="I33" s="499">
        <v>388033.06</v>
      </c>
      <c r="J33" s="499">
        <v>1571893.2000000002</v>
      </c>
    </row>
    <row r="34" spans="1:10">
      <c r="A34" s="500" t="s">
        <v>692</v>
      </c>
      <c r="B34" s="500"/>
      <c r="C34" s="500"/>
      <c r="D34" s="500"/>
      <c r="E34" s="500"/>
      <c r="F34" s="500"/>
      <c r="G34" s="500"/>
      <c r="H34" s="501">
        <f>SUBTOTAL(9,H10:H33)</f>
        <v>63363277.869999997</v>
      </c>
      <c r="I34" s="501">
        <f>SUBTOTAL(9,I10:I33)</f>
        <v>20041791.569999997</v>
      </c>
      <c r="J34" s="501">
        <f>SUBTOTAL(9,J10:J33)</f>
        <v>43321486.300000004</v>
      </c>
    </row>
  </sheetData>
  <mergeCells count="5">
    <mergeCell ref="E6:G6"/>
    <mergeCell ref="B2:J2"/>
    <mergeCell ref="B3:J3"/>
    <mergeCell ref="B4:J4"/>
    <mergeCell ref="B5:J5"/>
  </mergeCells>
  <phoneticPr fontId="2" type="noConversion"/>
  <pageMargins left="0.5" right="0.5" top="0.5" bottom="0.5" header="0.5" footer="0.25"/>
  <pageSetup scale="35" orientation="portrait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4"/>
  <sheetViews>
    <sheetView view="pageBreakPreview" zoomScale="60" zoomScaleNormal="100" workbookViewId="0">
      <selection activeCell="J11" sqref="J11"/>
    </sheetView>
  </sheetViews>
  <sheetFormatPr defaultRowHeight="13.2"/>
  <cols>
    <col min="2" max="2" width="26" customWidth="1"/>
    <col min="3" max="3" width="8.88671875" customWidth="1"/>
    <col min="4" max="4" width="26.5546875" customWidth="1"/>
    <col min="5" max="5" width="15.6640625" customWidth="1"/>
    <col min="6" max="6" width="18.109375" customWidth="1"/>
    <col min="7" max="7" width="15.88671875" customWidth="1"/>
    <col min="8" max="8" width="14" customWidth="1"/>
    <col min="9" max="9" width="11.5546875" bestFit="1" customWidth="1"/>
    <col min="10" max="10" width="21.5546875" customWidth="1"/>
    <col min="11" max="11" width="10.88671875" customWidth="1"/>
    <col min="12" max="12" width="11.5546875" customWidth="1"/>
  </cols>
  <sheetData>
    <row r="1" spans="1:14">
      <c r="L1" s="310" t="s">
        <v>113</v>
      </c>
    </row>
    <row r="2" spans="1:14"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316" t="s">
        <v>113</v>
      </c>
      <c r="M2" s="274"/>
      <c r="N2" s="1"/>
    </row>
    <row r="3" spans="1:14">
      <c r="A3" s="738" t="s">
        <v>626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320"/>
      <c r="N3" s="1"/>
    </row>
    <row r="4" spans="1:14">
      <c r="A4" s="670" t="s">
        <v>622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241"/>
      <c r="N4" s="241"/>
    </row>
    <row r="5" spans="1:14">
      <c r="A5" s="670" t="s">
        <v>606</v>
      </c>
      <c r="B5" s="662"/>
      <c r="C5" s="662"/>
      <c r="D5" s="662"/>
      <c r="E5" s="662"/>
      <c r="F5" s="662"/>
      <c r="G5" s="662"/>
      <c r="H5" s="662"/>
      <c r="I5" s="662"/>
      <c r="J5" s="662"/>
      <c r="K5" s="662"/>
      <c r="L5" s="662"/>
      <c r="M5" s="319"/>
      <c r="N5" s="1"/>
    </row>
    <row r="6" spans="1:14">
      <c r="A6" s="738" t="s">
        <v>1158</v>
      </c>
      <c r="B6" s="662"/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319"/>
      <c r="N6" s="1"/>
    </row>
    <row r="7" spans="1:14">
      <c r="A7" s="446"/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319"/>
      <c r="N7" s="445"/>
    </row>
    <row r="8" spans="1:14">
      <c r="A8" s="319" t="s">
        <v>434</v>
      </c>
      <c r="B8" s="319" t="s">
        <v>132</v>
      </c>
      <c r="C8" s="319" t="s">
        <v>435</v>
      </c>
      <c r="D8" s="319" t="s">
        <v>436</v>
      </c>
      <c r="E8" s="324" t="s">
        <v>133</v>
      </c>
      <c r="F8" s="324" t="s">
        <v>437</v>
      </c>
      <c r="G8" s="324" t="s">
        <v>438</v>
      </c>
      <c r="H8" s="324" t="s">
        <v>532</v>
      </c>
      <c r="I8" s="324" t="s">
        <v>439</v>
      </c>
      <c r="J8" s="319" t="s">
        <v>134</v>
      </c>
      <c r="K8" s="319" t="s">
        <v>135</v>
      </c>
      <c r="L8" s="319" t="s">
        <v>440</v>
      </c>
      <c r="M8" s="319"/>
      <c r="N8" s="1"/>
    </row>
    <row r="9" spans="1:14">
      <c r="A9" s="319"/>
      <c r="B9" s="319"/>
      <c r="C9" s="319"/>
      <c r="D9" s="319"/>
      <c r="E9" s="324"/>
      <c r="F9" s="324"/>
      <c r="G9" s="324"/>
      <c r="H9" s="324"/>
      <c r="I9" s="324"/>
      <c r="J9" s="319"/>
      <c r="K9" s="319"/>
      <c r="L9" s="319"/>
      <c r="M9" s="319"/>
      <c r="N9" s="1"/>
    </row>
    <row r="10" spans="1:14">
      <c r="A10" s="319"/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1"/>
    </row>
    <row r="11" spans="1:14">
      <c r="A11" s="319" t="s">
        <v>441</v>
      </c>
      <c r="B11" s="319" t="s">
        <v>443</v>
      </c>
      <c r="C11" s="319">
        <v>6</v>
      </c>
      <c r="D11" s="319" t="s">
        <v>442</v>
      </c>
      <c r="E11" s="582">
        <v>904044745</v>
      </c>
      <c r="F11" s="582">
        <v>113841140</v>
      </c>
      <c r="G11" s="582">
        <v>9821949</v>
      </c>
      <c r="H11" s="582">
        <v>5770278</v>
      </c>
      <c r="I11" s="582">
        <v>0</v>
      </c>
      <c r="J11" s="582">
        <f>+E11+F11-G11+H11+I11</f>
        <v>1013834214</v>
      </c>
      <c r="K11" s="583">
        <v>42005</v>
      </c>
      <c r="L11" s="583">
        <v>42339</v>
      </c>
      <c r="M11" s="319"/>
      <c r="N11" s="1"/>
    </row>
    <row r="12" spans="1:1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93" t="s">
        <v>279</v>
      </c>
    </row>
    <row r="14" spans="1:14" ht="15">
      <c r="A14" s="326" t="s">
        <v>44</v>
      </c>
    </row>
  </sheetData>
  <mergeCells count="4">
    <mergeCell ref="A3:L3"/>
    <mergeCell ref="A4:L4"/>
    <mergeCell ref="A5:L5"/>
    <mergeCell ref="A6:L6"/>
  </mergeCells>
  <phoneticPr fontId="2" type="noConversion"/>
  <pageMargins left="0.5" right="0.5" top="0.5" bottom="0.5" header="0.5" footer="0.25"/>
  <pageSetup scale="50" orientation="portrait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60" zoomScaleNormal="100" workbookViewId="0">
      <selection activeCell="C22" sqref="C22"/>
    </sheetView>
  </sheetViews>
  <sheetFormatPr defaultRowHeight="13.2"/>
  <cols>
    <col min="2" max="2" width="27" customWidth="1"/>
    <col min="3" max="3" width="18.6640625" customWidth="1"/>
  </cols>
  <sheetData>
    <row r="1" spans="1:15">
      <c r="B1" s="24"/>
      <c r="C1" s="24"/>
      <c r="D1" s="24"/>
      <c r="E1" s="24"/>
      <c r="F1" s="24"/>
      <c r="G1" s="24"/>
      <c r="H1" s="313" t="s">
        <v>113</v>
      </c>
      <c r="I1" s="24"/>
      <c r="J1" s="24"/>
      <c r="K1" s="24"/>
      <c r="L1" s="24"/>
      <c r="M1" s="24"/>
      <c r="N1" s="24"/>
      <c r="O1" s="24"/>
    </row>
    <row r="2" spans="1:15">
      <c r="A2" s="666" t="s">
        <v>626</v>
      </c>
      <c r="B2" s="666"/>
      <c r="C2" s="666"/>
      <c r="D2" s="666"/>
      <c r="E2" s="666"/>
      <c r="F2" s="666"/>
      <c r="G2" s="666"/>
      <c r="H2" s="313" t="s">
        <v>113</v>
      </c>
      <c r="I2" s="24"/>
      <c r="J2" s="24"/>
      <c r="K2" s="24"/>
      <c r="L2" s="24"/>
      <c r="M2" s="24"/>
      <c r="N2" s="24"/>
      <c r="O2" s="24"/>
    </row>
    <row r="3" spans="1:15">
      <c r="A3" s="666" t="s">
        <v>606</v>
      </c>
      <c r="B3" s="666"/>
      <c r="C3" s="666"/>
      <c r="D3" s="666"/>
      <c r="E3" s="666"/>
      <c r="F3" s="666"/>
      <c r="G3" s="666"/>
      <c r="H3" s="24"/>
      <c r="I3" s="24"/>
      <c r="J3" s="24"/>
      <c r="K3" s="24"/>
      <c r="L3" s="24"/>
      <c r="M3" s="24"/>
      <c r="N3" s="24"/>
      <c r="O3" s="24"/>
    </row>
    <row r="4" spans="1:15">
      <c r="A4" s="666" t="s">
        <v>60</v>
      </c>
      <c r="B4" s="666"/>
      <c r="C4" s="666"/>
      <c r="D4" s="666"/>
      <c r="E4" s="666"/>
      <c r="F4" s="666"/>
      <c r="G4" s="666"/>
      <c r="H4" s="24"/>
      <c r="I4" s="24"/>
      <c r="J4" s="24"/>
      <c r="K4" s="24"/>
      <c r="L4" s="24"/>
      <c r="M4" s="24"/>
      <c r="N4" s="24"/>
      <c r="O4" s="24"/>
    </row>
    <row r="5" spans="1:15">
      <c r="A5" s="739" t="s">
        <v>1152</v>
      </c>
      <c r="B5" s="664"/>
      <c r="C5" s="664"/>
      <c r="D5" s="664"/>
      <c r="E5" s="664"/>
      <c r="F5" s="664"/>
      <c r="G5" s="664"/>
      <c r="H5" s="109"/>
      <c r="I5" s="109"/>
      <c r="J5" s="109"/>
      <c r="K5" s="109"/>
      <c r="L5" s="109"/>
      <c r="M5" s="109"/>
      <c r="N5" s="109"/>
      <c r="O5" s="109"/>
    </row>
    <row r="6" spans="1:15">
      <c r="A6" s="666" t="s">
        <v>113</v>
      </c>
      <c r="B6" s="666"/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6"/>
    </row>
    <row r="7" spans="1:15">
      <c r="A7" s="26"/>
      <c r="B7" s="26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>
      <c r="A8" s="24"/>
      <c r="B8" s="26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>
      <c r="A9" s="24"/>
      <c r="B9" s="24"/>
    </row>
    <row r="10" spans="1:15" ht="15.6">
      <c r="A10" s="23" t="s">
        <v>113</v>
      </c>
      <c r="B10" s="23"/>
      <c r="C10" s="23"/>
      <c r="D10" s="25"/>
      <c r="E10" s="398" t="s">
        <v>922</v>
      </c>
      <c r="F10" s="1"/>
      <c r="G10" s="1"/>
      <c r="H10" s="25"/>
      <c r="I10" s="25"/>
      <c r="J10" s="25"/>
      <c r="K10" s="25"/>
      <c r="L10" s="25"/>
      <c r="M10" s="24"/>
      <c r="N10" s="24"/>
      <c r="O10" s="24"/>
    </row>
    <row r="11" spans="1:15">
      <c r="A11" s="276" t="s">
        <v>590</v>
      </c>
      <c r="B11" s="23"/>
      <c r="C11" s="23"/>
      <c r="D11" s="25"/>
      <c r="E11" s="205"/>
      <c r="F11" s="1"/>
      <c r="G11" s="1"/>
      <c r="H11" s="25"/>
      <c r="I11" s="25"/>
      <c r="J11" s="25"/>
      <c r="K11" s="25"/>
      <c r="L11" s="25"/>
      <c r="M11" s="24"/>
      <c r="N11" s="24"/>
      <c r="O11" s="24"/>
    </row>
    <row r="12" spans="1:15">
      <c r="A12" s="24" t="s">
        <v>541</v>
      </c>
      <c r="B12" s="24"/>
      <c r="C12" s="34">
        <v>639778892.19000006</v>
      </c>
      <c r="D12" s="25"/>
      <c r="E12" s="179" t="s">
        <v>542</v>
      </c>
      <c r="F12" s="1"/>
      <c r="G12" s="1"/>
      <c r="H12" s="25"/>
      <c r="I12" s="25"/>
      <c r="J12" s="25"/>
      <c r="K12" s="25"/>
      <c r="L12" s="25"/>
      <c r="M12" s="24"/>
      <c r="N12" s="24"/>
      <c r="O12" s="24"/>
    </row>
    <row r="13" spans="1:15">
      <c r="A13" s="24"/>
      <c r="B13" s="24"/>
      <c r="C13" s="34"/>
      <c r="D13" s="25"/>
      <c r="E13" s="179"/>
      <c r="F13" s="1"/>
      <c r="G13" s="1"/>
      <c r="H13" s="25"/>
      <c r="I13" s="25"/>
      <c r="J13" s="25"/>
      <c r="K13" s="25"/>
      <c r="L13" s="25"/>
      <c r="M13" s="24"/>
      <c r="N13" s="24"/>
      <c r="O13" s="24"/>
    </row>
    <row r="14" spans="1:15">
      <c r="A14" s="24" t="s">
        <v>591</v>
      </c>
      <c r="B14" s="24"/>
      <c r="C14" s="34">
        <v>0</v>
      </c>
      <c r="D14" s="25"/>
      <c r="E14" s="179" t="s">
        <v>593</v>
      </c>
      <c r="F14" s="1"/>
      <c r="G14" s="1"/>
      <c r="H14" s="25"/>
      <c r="I14" s="25"/>
      <c r="J14" s="25"/>
      <c r="K14" s="25"/>
      <c r="L14" s="25"/>
      <c r="M14" s="24"/>
      <c r="N14" s="24"/>
      <c r="O14" s="24"/>
    </row>
    <row r="15" spans="1:15">
      <c r="A15" s="24"/>
      <c r="B15" s="24"/>
      <c r="C15" s="34"/>
      <c r="D15" s="25"/>
      <c r="E15" s="179"/>
      <c r="F15" s="1"/>
      <c r="G15" s="1"/>
      <c r="H15" s="25"/>
      <c r="I15" s="25"/>
      <c r="J15" s="25"/>
      <c r="K15" s="25"/>
      <c r="L15" s="25"/>
      <c r="M15" s="24"/>
      <c r="N15" s="24"/>
      <c r="O15" s="24"/>
    </row>
    <row r="16" spans="1:15">
      <c r="A16" s="24" t="s">
        <v>693</v>
      </c>
      <c r="B16" s="24"/>
      <c r="C16" s="34">
        <v>3870682.26</v>
      </c>
      <c r="D16" s="25"/>
      <c r="E16" s="179" t="s">
        <v>694</v>
      </c>
      <c r="F16" s="1"/>
      <c r="G16" s="1"/>
      <c r="H16" s="25"/>
      <c r="I16" s="25"/>
      <c r="J16" s="25"/>
      <c r="K16" s="25"/>
      <c r="L16" s="25"/>
      <c r="M16" s="24"/>
      <c r="N16" s="24"/>
      <c r="O16" s="24"/>
    </row>
    <row r="17" spans="1:15">
      <c r="A17" s="24" t="s">
        <v>592</v>
      </c>
      <c r="B17" s="24"/>
      <c r="C17" s="34">
        <f>+C12+C14+C16</f>
        <v>643649574.45000005</v>
      </c>
      <c r="D17" s="25"/>
      <c r="E17" s="179"/>
      <c r="F17" s="1"/>
      <c r="G17" s="1"/>
      <c r="H17" s="25"/>
      <c r="I17" s="25"/>
      <c r="J17" s="25"/>
      <c r="K17" s="25"/>
      <c r="L17" s="25"/>
      <c r="M17" s="24"/>
      <c r="N17" s="24"/>
      <c r="O17" s="24"/>
    </row>
    <row r="18" spans="1:15">
      <c r="A18" s="24"/>
      <c r="B18" s="24"/>
      <c r="C18" s="34"/>
      <c r="D18" s="25"/>
      <c r="E18" s="179"/>
      <c r="F18" s="1"/>
      <c r="G18" s="1"/>
      <c r="H18" s="25"/>
      <c r="I18" s="25"/>
      <c r="J18" s="25"/>
      <c r="K18" s="25"/>
      <c r="L18" s="25"/>
      <c r="M18" s="24"/>
      <c r="N18" s="24"/>
      <c r="O18" s="24"/>
    </row>
    <row r="19" spans="1:15">
      <c r="A19" s="277" t="s">
        <v>109</v>
      </c>
      <c r="B19" s="24"/>
      <c r="C19" s="34"/>
      <c r="D19" s="25"/>
      <c r="E19" s="179"/>
      <c r="F19" s="1"/>
      <c r="G19" s="1"/>
      <c r="H19" s="25"/>
      <c r="I19" s="25"/>
      <c r="J19" s="25"/>
      <c r="K19" s="25"/>
      <c r="L19" s="25"/>
      <c r="M19" s="24"/>
      <c r="N19" s="24"/>
      <c r="O19" s="24"/>
    </row>
    <row r="20" spans="1:15">
      <c r="A20" s="291" t="s">
        <v>543</v>
      </c>
      <c r="B20" s="292"/>
      <c r="C20" s="293">
        <v>24266397.34</v>
      </c>
      <c r="D20" s="293"/>
      <c r="E20" s="294" t="s">
        <v>545</v>
      </c>
      <c r="F20" s="25"/>
      <c r="G20" s="25"/>
      <c r="H20" s="25"/>
      <c r="I20" s="25"/>
      <c r="J20" s="25"/>
      <c r="K20" s="25"/>
      <c r="L20" s="25"/>
      <c r="M20" s="24"/>
      <c r="N20" s="24"/>
      <c r="O20" s="24"/>
    </row>
    <row r="21" spans="1:15">
      <c r="A21" s="291" t="s">
        <v>544</v>
      </c>
      <c r="B21" s="292"/>
      <c r="C21" s="293">
        <v>-87771.19</v>
      </c>
      <c r="D21" s="293"/>
      <c r="E21" s="294" t="s">
        <v>545</v>
      </c>
      <c r="F21" s="25"/>
      <c r="G21" s="25"/>
      <c r="H21" s="25"/>
      <c r="I21" s="25"/>
      <c r="J21" s="25"/>
      <c r="K21" s="25"/>
      <c r="L21" s="25"/>
      <c r="M21" s="24"/>
      <c r="N21" s="24"/>
      <c r="O21" s="24"/>
    </row>
    <row r="22" spans="1:15">
      <c r="A22" s="23" t="s">
        <v>113</v>
      </c>
      <c r="B22" s="23"/>
      <c r="C22" s="23" t="s">
        <v>113</v>
      </c>
      <c r="D22" s="25"/>
      <c r="E22" s="25"/>
      <c r="F22" s="25"/>
      <c r="G22" s="25"/>
      <c r="H22" s="25"/>
      <c r="I22" s="25"/>
      <c r="J22" s="25"/>
      <c r="K22" s="25"/>
      <c r="L22" s="25"/>
      <c r="M22" s="24"/>
      <c r="N22" s="24"/>
      <c r="O22" s="24"/>
    </row>
    <row r="26" spans="1:15">
      <c r="A26" s="193" t="s">
        <v>279</v>
      </c>
    </row>
    <row r="27" spans="1:15" ht="15.6">
      <c r="A27" s="194" t="s">
        <v>459</v>
      </c>
    </row>
    <row r="28" spans="1:15" ht="15.6">
      <c r="A28" s="397" t="s">
        <v>921</v>
      </c>
    </row>
    <row r="30" spans="1:15">
      <c r="A30" t="s">
        <v>113</v>
      </c>
    </row>
  </sheetData>
  <mergeCells count="5">
    <mergeCell ref="A6:O6"/>
    <mergeCell ref="A2:G2"/>
    <mergeCell ref="A3:G3"/>
    <mergeCell ref="A4:G4"/>
    <mergeCell ref="A5:G5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  <colBreaks count="1" manualBreakCount="1">
    <brk id="11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5"/>
  <sheetViews>
    <sheetView showGridLines="0" view="pageBreakPreview" zoomScaleNormal="100" zoomScaleSheetLayoutView="100" workbookViewId="0">
      <selection activeCell="C18" sqref="C18"/>
    </sheetView>
  </sheetViews>
  <sheetFormatPr defaultRowHeight="13.2"/>
  <cols>
    <col min="1" max="1" width="23.88671875" customWidth="1"/>
    <col min="2" max="2" width="2.33203125" customWidth="1"/>
    <col min="3" max="3" width="13.33203125" customWidth="1"/>
    <col min="4" max="4" width="9" bestFit="1" customWidth="1"/>
    <col min="5" max="5" width="11" customWidth="1"/>
    <col min="6" max="6" width="3.109375" customWidth="1"/>
    <col min="7" max="7" width="12.88671875" customWidth="1"/>
    <col min="8" max="8" width="11.109375" customWidth="1"/>
    <col min="9" max="9" width="10.88671875" customWidth="1"/>
    <col min="10" max="10" width="2.6640625" customWidth="1"/>
    <col min="11" max="11" width="10.5546875" customWidth="1"/>
    <col min="12" max="12" width="10.88671875" customWidth="1"/>
    <col min="13" max="13" width="10.44140625" customWidth="1"/>
  </cols>
  <sheetData>
    <row r="1" spans="1:13">
      <c r="G1" s="310" t="s">
        <v>113</v>
      </c>
    </row>
    <row r="2" spans="1:13">
      <c r="A2" s="740" t="s">
        <v>626</v>
      </c>
      <c r="B2" s="740"/>
      <c r="C2" s="740"/>
      <c r="D2" s="740"/>
      <c r="E2" s="740"/>
      <c r="F2" s="740"/>
      <c r="G2" s="740"/>
      <c r="H2" s="740"/>
    </row>
    <row r="3" spans="1:13">
      <c r="A3" s="662" t="s">
        <v>606</v>
      </c>
      <c r="B3" s="662"/>
      <c r="C3" s="662"/>
      <c r="D3" s="662"/>
      <c r="E3" s="662"/>
      <c r="F3" s="662"/>
      <c r="G3" s="662"/>
      <c r="H3" s="662"/>
    </row>
    <row r="4" spans="1:13">
      <c r="A4" s="740" t="s">
        <v>623</v>
      </c>
      <c r="B4" s="740"/>
      <c r="C4" s="740"/>
      <c r="D4" s="740"/>
      <c r="E4" s="740"/>
      <c r="F4" s="740"/>
      <c r="G4" s="740"/>
      <c r="H4" s="740"/>
    </row>
    <row r="5" spans="1:13">
      <c r="A5" s="740" t="s">
        <v>1152</v>
      </c>
      <c r="B5" s="740"/>
      <c r="C5" s="740"/>
      <c r="D5" s="740"/>
      <c r="E5" s="740"/>
      <c r="F5" s="740"/>
      <c r="G5" s="740"/>
      <c r="H5" s="740"/>
    </row>
    <row r="6" spans="1:13">
      <c r="A6" s="410" t="s">
        <v>113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</row>
    <row r="7" spans="1:13">
      <c r="A7" s="410"/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</row>
    <row r="8" spans="1:13">
      <c r="A8" s="410"/>
      <c r="B8" s="410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</row>
    <row r="9" spans="1:13">
      <c r="A9" s="410"/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"/>
      <c r="B11" s="1"/>
      <c r="J11" s="1"/>
    </row>
    <row r="12" spans="1:13">
      <c r="A12" s="1"/>
      <c r="B12" s="1"/>
      <c r="C12" s="741" t="s">
        <v>427</v>
      </c>
      <c r="D12" s="741"/>
      <c r="E12" s="741"/>
      <c r="F12" s="1"/>
      <c r="J12" s="1"/>
    </row>
    <row r="13" spans="1:13" ht="15.6">
      <c r="A13" s="1"/>
      <c r="B13" s="1"/>
      <c r="C13" s="107" t="s">
        <v>102</v>
      </c>
      <c r="D13" s="107" t="s">
        <v>604</v>
      </c>
      <c r="E13" s="107" t="s">
        <v>107</v>
      </c>
      <c r="F13" s="107"/>
      <c r="J13" s="107"/>
    </row>
    <row r="14" spans="1:13">
      <c r="A14" s="1" t="s">
        <v>105</v>
      </c>
      <c r="B14" s="1"/>
      <c r="C14" s="3">
        <v>428415</v>
      </c>
      <c r="D14" s="417">
        <f>+C14</f>
        <v>428415</v>
      </c>
      <c r="E14" s="417">
        <v>0</v>
      </c>
      <c r="F14" s="6"/>
      <c r="J14" s="6"/>
    </row>
    <row r="15" spans="1:13">
      <c r="A15" s="1"/>
      <c r="B15" s="1"/>
      <c r="C15" s="6"/>
      <c r="D15" s="3"/>
      <c r="E15" s="3"/>
      <c r="F15" s="6"/>
      <c r="J15" s="6"/>
    </row>
    <row r="16" spans="1:13">
      <c r="A16" s="1" t="s">
        <v>110</v>
      </c>
      <c r="B16" s="1"/>
      <c r="C16" s="3">
        <v>1874155.76</v>
      </c>
      <c r="D16" s="391"/>
      <c r="E16" s="391"/>
      <c r="F16" s="1"/>
      <c r="J16" s="1"/>
    </row>
    <row r="17" spans="1:13">
      <c r="A17" s="1" t="s">
        <v>111</v>
      </c>
      <c r="B17" s="1"/>
      <c r="C17" s="3">
        <f>2438645.68-C18</f>
        <v>2403259.6800000002</v>
      </c>
      <c r="D17" s="391"/>
      <c r="E17" s="391"/>
      <c r="F17" s="1"/>
      <c r="J17" s="1"/>
    </row>
    <row r="18" spans="1:13" ht="13.8" thickBot="1">
      <c r="A18" s="1" t="s">
        <v>131</v>
      </c>
      <c r="B18" s="1"/>
      <c r="C18" s="502">
        <f>3719+31667</f>
        <v>35386</v>
      </c>
      <c r="D18" s="503"/>
      <c r="E18" s="503"/>
      <c r="F18" s="1"/>
      <c r="J18" s="1"/>
    </row>
    <row r="19" spans="1:13">
      <c r="A19" s="1" t="s">
        <v>103</v>
      </c>
      <c r="B19" s="1"/>
      <c r="C19" s="6">
        <f>C14+C16+C17+C18</f>
        <v>4741216.4399999995</v>
      </c>
      <c r="D19" s="6">
        <f>D14+D16+D17+D18</f>
        <v>428415</v>
      </c>
      <c r="E19" s="6">
        <f>E14+E16+E17+E18</f>
        <v>0</v>
      </c>
      <c r="F19" s="6"/>
      <c r="J19" s="6"/>
    </row>
    <row r="20" spans="1:13">
      <c r="A20" s="1"/>
      <c r="B20" s="1"/>
      <c r="C20" s="6"/>
      <c r="D20" s="6"/>
      <c r="E20" s="6"/>
      <c r="F20" s="6"/>
      <c r="J20" s="6"/>
    </row>
    <row r="21" spans="1:13">
      <c r="A21" s="1"/>
      <c r="B21" s="1"/>
      <c r="C21" s="231" t="s">
        <v>431</v>
      </c>
      <c r="D21" s="124"/>
      <c r="E21" s="6"/>
      <c r="F21" s="6"/>
      <c r="J21" s="6"/>
      <c r="K21" s="6"/>
      <c r="L21" s="6"/>
      <c r="M21" s="6"/>
    </row>
    <row r="22" spans="1:13">
      <c r="A22" s="1"/>
      <c r="B22" s="1"/>
      <c r="C22" s="231"/>
      <c r="D22" s="231"/>
      <c r="E22" s="6"/>
      <c r="F22" s="6"/>
      <c r="G22" s="231"/>
      <c r="H22" s="124"/>
      <c r="I22" s="6"/>
      <c r="J22" s="6"/>
      <c r="K22" s="6"/>
      <c r="L22" s="6"/>
      <c r="M22" s="6"/>
    </row>
    <row r="23" spans="1:13">
      <c r="A23" s="193" t="s">
        <v>279</v>
      </c>
      <c r="L23" s="230"/>
    </row>
    <row r="24" spans="1:13" ht="15.6">
      <c r="A24" s="195" t="s">
        <v>605</v>
      </c>
    </row>
    <row r="25" spans="1:13">
      <c r="A25" s="210" t="s">
        <v>528</v>
      </c>
    </row>
  </sheetData>
  <mergeCells count="5">
    <mergeCell ref="A2:H2"/>
    <mergeCell ref="A4:H4"/>
    <mergeCell ref="A5:H5"/>
    <mergeCell ref="C12:E12"/>
    <mergeCell ref="A3:H3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"/>
  <sheetViews>
    <sheetView view="pageBreakPreview" zoomScale="60" zoomScaleNormal="100" workbookViewId="0">
      <selection activeCell="L9" sqref="L9"/>
    </sheetView>
  </sheetViews>
  <sheetFormatPr defaultRowHeight="13.2"/>
  <sheetData>
    <row r="1" spans="1:8">
      <c r="A1" s="210" t="s">
        <v>113</v>
      </c>
      <c r="H1" s="297" t="s">
        <v>113</v>
      </c>
    </row>
    <row r="2" spans="1:8">
      <c r="A2" s="662" t="s">
        <v>626</v>
      </c>
      <c r="B2" s="662"/>
      <c r="C2" s="662"/>
      <c r="D2" s="662"/>
      <c r="E2" s="662"/>
      <c r="F2" s="662"/>
      <c r="G2" s="662"/>
      <c r="H2" s="662"/>
    </row>
    <row r="3" spans="1:8">
      <c r="A3" s="669" t="s">
        <v>606</v>
      </c>
      <c r="B3" s="662"/>
      <c r="C3" s="662"/>
      <c r="D3" s="662"/>
      <c r="E3" s="662"/>
      <c r="F3" s="662"/>
      <c r="G3" s="662"/>
      <c r="H3" s="662"/>
    </row>
    <row r="4" spans="1:8">
      <c r="A4" s="662" t="s">
        <v>619</v>
      </c>
      <c r="B4" s="662"/>
      <c r="C4" s="662"/>
      <c r="D4" s="662"/>
      <c r="E4" s="662"/>
      <c r="F4" s="662"/>
      <c r="G4" s="662"/>
      <c r="H4" s="662"/>
    </row>
    <row r="7" spans="1:8">
      <c r="B7" t="s">
        <v>620</v>
      </c>
    </row>
  </sheetData>
  <mergeCells count="3">
    <mergeCell ref="A2:H2"/>
    <mergeCell ref="A3:H3"/>
    <mergeCell ref="A4:H4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O43"/>
  <sheetViews>
    <sheetView showGridLines="0" view="pageBreakPreview" zoomScale="60" zoomScaleNormal="100" workbookViewId="0">
      <selection activeCell="C12" sqref="C12"/>
    </sheetView>
  </sheetViews>
  <sheetFormatPr defaultColWidth="9.109375" defaultRowHeight="13.2"/>
  <cols>
    <col min="1" max="1" width="19.33203125" style="7" customWidth="1"/>
    <col min="2" max="2" width="15.6640625" style="7" customWidth="1"/>
    <col min="3" max="3" width="16.6640625" style="7" customWidth="1"/>
    <col min="4" max="4" width="21.109375" style="7" customWidth="1"/>
    <col min="5" max="5" width="16" style="7" customWidth="1"/>
    <col min="6" max="6" width="16.44140625" style="7" customWidth="1"/>
    <col min="7" max="7" width="13.6640625" style="7" bestFit="1" customWidth="1"/>
    <col min="8" max="8" width="21.33203125" style="7" customWidth="1"/>
    <col min="9" max="9" width="16.109375" style="7" customWidth="1"/>
    <col min="10" max="10" width="11" style="7" bestFit="1" customWidth="1"/>
    <col min="11" max="11" width="16.109375" style="7" customWidth="1"/>
    <col min="12" max="12" width="13.109375" style="7" customWidth="1"/>
    <col min="13" max="15" width="15.6640625" style="7" customWidth="1"/>
    <col min="16" max="16384" width="9.109375" style="7"/>
  </cols>
  <sheetData>
    <row r="1" spans="1:15">
      <c r="A1" s="7" t="s">
        <v>113</v>
      </c>
      <c r="L1" s="297" t="s">
        <v>113</v>
      </c>
    </row>
    <row r="2" spans="1:15">
      <c r="A2" s="662" t="s">
        <v>626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</row>
    <row r="3" spans="1:15">
      <c r="A3" s="666" t="s">
        <v>610</v>
      </c>
      <c r="B3" s="666"/>
      <c r="C3" s="671"/>
      <c r="D3" s="671"/>
      <c r="E3" s="671"/>
      <c r="F3" s="671"/>
      <c r="G3" s="671"/>
      <c r="H3" s="671"/>
      <c r="I3" s="671"/>
      <c r="J3" s="671"/>
      <c r="K3" s="671"/>
      <c r="M3"/>
      <c r="N3"/>
      <c r="O3"/>
    </row>
    <row r="4" spans="1:15">
      <c r="A4" s="662" t="s">
        <v>611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/>
      <c r="N4"/>
      <c r="O4"/>
    </row>
    <row r="5" spans="1:15">
      <c r="A5" s="670" t="s">
        <v>1115</v>
      </c>
      <c r="B5" s="662"/>
      <c r="C5" s="662"/>
      <c r="D5" s="662"/>
      <c r="E5" s="662"/>
      <c r="F5" s="662"/>
      <c r="G5" s="662"/>
      <c r="H5" s="662"/>
      <c r="I5" s="662"/>
      <c r="J5" s="662"/>
      <c r="K5" s="662"/>
      <c r="L5" s="662"/>
      <c r="M5"/>
      <c r="N5"/>
      <c r="O5"/>
    </row>
    <row r="7" spans="1:15">
      <c r="C7" s="9" t="s">
        <v>281</v>
      </c>
      <c r="D7" s="9" t="s">
        <v>282</v>
      </c>
      <c r="E7" s="9">
        <v>1540006</v>
      </c>
      <c r="F7" s="9">
        <v>1540012</v>
      </c>
      <c r="G7" s="9">
        <v>1540013</v>
      </c>
      <c r="H7" s="9">
        <v>1540022</v>
      </c>
      <c r="I7" s="9">
        <v>1540023</v>
      </c>
      <c r="J7" s="9" t="s">
        <v>283</v>
      </c>
      <c r="K7" s="9"/>
    </row>
    <row r="8" spans="1:15">
      <c r="C8" s="9" t="s">
        <v>284</v>
      </c>
      <c r="D8" s="9" t="s">
        <v>284</v>
      </c>
      <c r="E8" s="9" t="s">
        <v>627</v>
      </c>
      <c r="F8" s="9" t="s">
        <v>460</v>
      </c>
      <c r="G8" s="9" t="s">
        <v>122</v>
      </c>
      <c r="H8" s="9" t="s">
        <v>284</v>
      </c>
      <c r="I8" s="9" t="s">
        <v>284</v>
      </c>
      <c r="J8" s="9" t="s">
        <v>284</v>
      </c>
      <c r="K8" s="9" t="s">
        <v>284</v>
      </c>
    </row>
    <row r="9" spans="1:15" ht="15.6">
      <c r="A9" s="18" t="s">
        <v>272</v>
      </c>
      <c r="B9" s="18" t="s">
        <v>722</v>
      </c>
      <c r="C9" s="205" t="s">
        <v>285</v>
      </c>
      <c r="D9" s="205" t="s">
        <v>286</v>
      </c>
      <c r="E9" s="205" t="s">
        <v>628</v>
      </c>
      <c r="F9" s="205" t="s">
        <v>563</v>
      </c>
      <c r="G9" s="205" t="s">
        <v>629</v>
      </c>
      <c r="H9" s="205" t="s">
        <v>461</v>
      </c>
      <c r="I9" s="205" t="s">
        <v>460</v>
      </c>
      <c r="J9" s="205" t="s">
        <v>287</v>
      </c>
      <c r="K9" s="205" t="s">
        <v>103</v>
      </c>
      <c r="L9" s="205" t="s">
        <v>277</v>
      </c>
    </row>
    <row r="10" spans="1:15">
      <c r="A10" s="209">
        <v>42369</v>
      </c>
      <c r="B10" s="209" t="s">
        <v>105</v>
      </c>
      <c r="C10" s="382">
        <v>62973437</v>
      </c>
      <c r="D10" s="42">
        <v>674733</v>
      </c>
      <c r="E10" s="42">
        <v>3848039</v>
      </c>
      <c r="F10" s="42">
        <v>755226</v>
      </c>
      <c r="G10" s="42">
        <v>0</v>
      </c>
      <c r="H10" s="42">
        <v>309066</v>
      </c>
      <c r="I10" s="42">
        <v>3964382</v>
      </c>
      <c r="J10" s="42">
        <v>0</v>
      </c>
      <c r="K10" s="43">
        <f>SUM(C10:J10)</f>
        <v>72524883</v>
      </c>
    </row>
    <row r="11" spans="1:15">
      <c r="B11" s="7" t="s">
        <v>110</v>
      </c>
      <c r="C11" s="382">
        <v>14698556</v>
      </c>
      <c r="D11" s="42">
        <v>0</v>
      </c>
      <c r="E11" s="42">
        <v>0</v>
      </c>
      <c r="F11" s="42">
        <v>0</v>
      </c>
      <c r="G11" s="420">
        <v>0</v>
      </c>
      <c r="H11" s="42">
        <v>0</v>
      </c>
      <c r="I11" s="42">
        <v>0</v>
      </c>
      <c r="J11" s="42">
        <v>0</v>
      </c>
      <c r="K11" s="43">
        <f>SUM(C11:J11)</f>
        <v>14698556</v>
      </c>
      <c r="L11" s="27"/>
    </row>
    <row r="12" spans="1:15">
      <c r="B12" s="7" t="s">
        <v>111</v>
      </c>
      <c r="C12" s="384">
        <v>15437981</v>
      </c>
      <c r="D12" s="95">
        <v>0</v>
      </c>
      <c r="E12" s="95">
        <v>0</v>
      </c>
      <c r="F12" s="95">
        <v>0</v>
      </c>
      <c r="G12" s="95">
        <v>793068</v>
      </c>
      <c r="H12" s="95">
        <v>0</v>
      </c>
      <c r="I12" s="95">
        <v>0</v>
      </c>
      <c r="J12" s="95">
        <v>0</v>
      </c>
      <c r="K12" s="385">
        <f>SUM(C12:J12)</f>
        <v>16231049</v>
      </c>
      <c r="L12" s="27"/>
    </row>
    <row r="13" spans="1:15">
      <c r="B13" s="7" t="s">
        <v>103</v>
      </c>
      <c r="C13" s="383">
        <f t="shared" ref="C13:K13" si="0">SUM(C10:C12)</f>
        <v>93109974</v>
      </c>
      <c r="D13" s="383">
        <f t="shared" si="0"/>
        <v>674733</v>
      </c>
      <c r="E13" s="383">
        <f t="shared" si="0"/>
        <v>3848039</v>
      </c>
      <c r="F13" s="383">
        <f t="shared" si="0"/>
        <v>755226</v>
      </c>
      <c r="G13" s="383">
        <f t="shared" si="0"/>
        <v>793068</v>
      </c>
      <c r="H13" s="383">
        <f t="shared" si="0"/>
        <v>309066</v>
      </c>
      <c r="I13" s="383">
        <f t="shared" si="0"/>
        <v>3964382</v>
      </c>
      <c r="J13" s="383">
        <f t="shared" si="0"/>
        <v>0</v>
      </c>
      <c r="K13" s="43">
        <f t="shared" si="0"/>
        <v>103454488</v>
      </c>
      <c r="L13" s="27" t="s">
        <v>288</v>
      </c>
    </row>
    <row r="14" spans="1:15">
      <c r="D14" s="27"/>
      <c r="E14" s="27"/>
      <c r="F14" s="27"/>
      <c r="G14" s="27"/>
      <c r="H14" s="27"/>
      <c r="I14" s="27"/>
      <c r="J14" s="27"/>
      <c r="K14" s="27"/>
      <c r="L14" s="27"/>
    </row>
    <row r="15" spans="1:15">
      <c r="D15" s="27"/>
      <c r="E15" s="27"/>
      <c r="F15" s="27"/>
      <c r="G15" s="27"/>
      <c r="H15" s="27"/>
      <c r="I15" s="27"/>
      <c r="J15" s="27"/>
      <c r="K15" s="27"/>
      <c r="L15" s="27"/>
    </row>
    <row r="16" spans="1:15">
      <c r="C16" s="9">
        <v>158</v>
      </c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5.6">
      <c r="A17" s="18" t="s">
        <v>272</v>
      </c>
      <c r="B17" s="18" t="s">
        <v>723</v>
      </c>
      <c r="C17" s="205" t="s">
        <v>148</v>
      </c>
      <c r="D17" s="27"/>
      <c r="E17" s="27"/>
      <c r="F17" s="27"/>
      <c r="G17" s="27"/>
      <c r="H17" s="27"/>
      <c r="I17" s="27"/>
      <c r="J17" s="27"/>
      <c r="K17" s="27"/>
      <c r="L17" s="205" t="s">
        <v>277</v>
      </c>
    </row>
    <row r="18" spans="1:12">
      <c r="A18" s="209">
        <v>42369</v>
      </c>
      <c r="B18" s="209" t="s">
        <v>105</v>
      </c>
      <c r="C18" s="42">
        <v>23517647</v>
      </c>
      <c r="D18" s="27"/>
      <c r="E18" s="27"/>
      <c r="F18" s="27"/>
      <c r="G18" s="27"/>
      <c r="H18" s="27"/>
      <c r="I18" s="27"/>
    </row>
    <row r="19" spans="1:12">
      <c r="A19" s="209"/>
      <c r="B19" s="7" t="s">
        <v>110</v>
      </c>
      <c r="C19" s="42">
        <v>0</v>
      </c>
      <c r="D19" s="27"/>
      <c r="E19" s="27"/>
      <c r="F19" s="27"/>
      <c r="G19" s="27"/>
      <c r="H19" s="27"/>
      <c r="I19" s="27"/>
      <c r="L19" s="27"/>
    </row>
    <row r="20" spans="1:12">
      <c r="A20" s="209"/>
      <c r="B20" s="7" t="s">
        <v>111</v>
      </c>
      <c r="C20" s="95">
        <v>0</v>
      </c>
      <c r="D20" s="27"/>
      <c r="E20" s="27"/>
      <c r="F20" s="27"/>
      <c r="G20" s="27"/>
      <c r="H20" s="27"/>
      <c r="I20" s="27"/>
      <c r="L20" s="27"/>
    </row>
    <row r="21" spans="1:12">
      <c r="A21" s="209"/>
      <c r="B21" s="7" t="s">
        <v>103</v>
      </c>
      <c r="C21" s="43">
        <f>SUM(C18:C20)</f>
        <v>23517647</v>
      </c>
      <c r="D21" s="27"/>
      <c r="E21" s="27"/>
      <c r="F21" s="27"/>
      <c r="G21" s="27"/>
      <c r="H21" s="27"/>
      <c r="I21" s="27"/>
      <c r="L21" s="27" t="s">
        <v>599</v>
      </c>
    </row>
    <row r="22" spans="1:12">
      <c r="A22" s="209"/>
      <c r="B22" s="209"/>
      <c r="C22" s="42"/>
      <c r="D22" s="27"/>
      <c r="E22" s="27"/>
      <c r="F22" s="27"/>
      <c r="G22" s="27"/>
      <c r="H22" s="27"/>
      <c r="I22" s="27"/>
      <c r="L22" s="27"/>
    </row>
    <row r="23" spans="1:12">
      <c r="A23" s="18" t="s">
        <v>1116</v>
      </c>
      <c r="B23" s="18"/>
      <c r="C23" s="42"/>
      <c r="D23" s="27"/>
      <c r="E23" s="27"/>
      <c r="F23" s="27"/>
      <c r="G23" s="27"/>
      <c r="H23" s="27"/>
      <c r="I23" s="27"/>
      <c r="L23" s="27"/>
    </row>
    <row r="24" spans="1:12">
      <c r="A24" s="209">
        <v>42369</v>
      </c>
      <c r="B24" s="209" t="s">
        <v>105</v>
      </c>
      <c r="C24" s="447">
        <f>+K10/K13</f>
        <v>0.70103177157476237</v>
      </c>
      <c r="D24" s="27"/>
      <c r="E24" s="27"/>
      <c r="F24" s="27"/>
      <c r="G24" s="27"/>
      <c r="H24" s="27"/>
      <c r="I24" s="27"/>
      <c r="L24" s="27"/>
    </row>
    <row r="25" spans="1:12">
      <c r="A25" s="209"/>
      <c r="B25" s="7" t="s">
        <v>110</v>
      </c>
      <c r="C25" s="447">
        <f>+K11/K13</f>
        <v>0.14207750948417047</v>
      </c>
      <c r="D25" s="27"/>
      <c r="E25" s="27"/>
      <c r="F25" s="27"/>
      <c r="G25" s="27"/>
      <c r="H25" s="27"/>
      <c r="I25" s="27"/>
      <c r="L25" s="27"/>
    </row>
    <row r="26" spans="1:12">
      <c r="A26" s="209"/>
      <c r="B26" s="7" t="s">
        <v>111</v>
      </c>
      <c r="C26" s="406">
        <f>+K12/K13</f>
        <v>0.1568907189410671</v>
      </c>
    </row>
    <row r="27" spans="1:12">
      <c r="A27" s="209"/>
      <c r="B27" s="7" t="s">
        <v>103</v>
      </c>
      <c r="C27" s="407">
        <f>SUM(C24:C26)</f>
        <v>1</v>
      </c>
      <c r="G27"/>
    </row>
    <row r="29" spans="1:12">
      <c r="A29" s="193" t="s">
        <v>279</v>
      </c>
      <c r="B29" s="193"/>
    </row>
    <row r="30" spans="1:12" ht="15.6">
      <c r="A30" s="194" t="s">
        <v>459</v>
      </c>
      <c r="B30" s="194"/>
    </row>
    <row r="31" spans="1:12" ht="15.6">
      <c r="A31" s="195" t="s">
        <v>68</v>
      </c>
      <c r="B31" s="195"/>
    </row>
    <row r="34" spans="3:10">
      <c r="G34" s="319"/>
      <c r="H34" s="319"/>
      <c r="I34" s="319"/>
      <c r="J34" s="319"/>
    </row>
    <row r="36" spans="3:10">
      <c r="C36" s="421"/>
      <c r="D36" s="422"/>
      <c r="G36" s="423"/>
      <c r="H36" s="423"/>
      <c r="I36" s="423"/>
      <c r="J36" s="423"/>
    </row>
    <row r="37" spans="3:10">
      <c r="C37" s="421"/>
      <c r="D37" s="422"/>
      <c r="G37" s="423"/>
      <c r="H37" s="423"/>
      <c r="I37" s="423"/>
      <c r="J37" s="423"/>
    </row>
    <row r="38" spans="3:10">
      <c r="C38" s="421"/>
      <c r="D38" s="422"/>
      <c r="G38" s="423"/>
      <c r="H38" s="423"/>
      <c r="I38" s="423"/>
      <c r="J38" s="423"/>
    </row>
    <row r="39" spans="3:10">
      <c r="C39" s="421"/>
      <c r="D39" s="422"/>
      <c r="G39" s="423"/>
      <c r="H39" s="423"/>
      <c r="I39" s="423"/>
      <c r="J39" s="423"/>
    </row>
    <row r="40" spans="3:10">
      <c r="C40" s="421"/>
      <c r="D40" s="422"/>
      <c r="G40" s="423"/>
      <c r="H40" s="423"/>
      <c r="I40" s="423"/>
      <c r="J40" s="423"/>
    </row>
    <row r="41" spans="3:10">
      <c r="C41" s="421"/>
      <c r="D41" s="422"/>
      <c r="G41" s="423"/>
      <c r="H41" s="423"/>
      <c r="I41" s="423"/>
      <c r="J41" s="423"/>
    </row>
    <row r="42" spans="3:10">
      <c r="C42" s="421"/>
      <c r="D42" s="422"/>
      <c r="G42" s="423"/>
      <c r="H42" s="423"/>
      <c r="I42" s="423"/>
      <c r="J42" s="423"/>
    </row>
    <row r="43" spans="3:10">
      <c r="C43" s="421"/>
      <c r="D43" s="422"/>
      <c r="G43" s="423"/>
      <c r="H43" s="423"/>
      <c r="I43" s="423"/>
      <c r="J43" s="423"/>
    </row>
  </sheetData>
  <mergeCells count="4">
    <mergeCell ref="A2:L2"/>
    <mergeCell ref="A4:L4"/>
    <mergeCell ref="A5:L5"/>
    <mergeCell ref="A3:K3"/>
  </mergeCells>
  <phoneticPr fontId="2" type="noConversion"/>
  <pageMargins left="0.5" right="0.5" top="0.5" bottom="0.5" header="0.5" footer="0.25"/>
  <pageSetup scale="48" orientation="portrait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1:M33"/>
  <sheetViews>
    <sheetView showGridLines="0" view="pageBreakPreview" zoomScale="60" zoomScaleNormal="100" workbookViewId="0">
      <selection activeCell="B11" sqref="B11"/>
    </sheetView>
  </sheetViews>
  <sheetFormatPr defaultColWidth="17.88671875" defaultRowHeight="13.2"/>
  <cols>
    <col min="1" max="1" width="9.33203125" style="7" customWidth="1"/>
    <col min="2" max="2" width="19" style="7" customWidth="1"/>
    <col min="3" max="3" width="16.5546875" style="7" customWidth="1"/>
    <col min="4" max="6" width="10.33203125" style="7" bestFit="1" customWidth="1"/>
    <col min="7" max="7" width="16.33203125" style="7" customWidth="1"/>
    <col min="8" max="8" width="2.88671875" style="7" customWidth="1"/>
    <col min="9" max="9" width="17.44140625" style="7" customWidth="1"/>
    <col min="10" max="10" width="8.33203125" style="7" bestFit="1" customWidth="1"/>
    <col min="11" max="11" width="1.5546875" style="7" customWidth="1"/>
    <col min="12" max="12" width="5.44140625" style="7" bestFit="1" customWidth="1"/>
    <col min="13" max="13" width="20" style="7" customWidth="1"/>
    <col min="14" max="14" width="16.109375" style="7" customWidth="1"/>
    <col min="15" max="15" width="15.5546875" style="7" customWidth="1"/>
    <col min="16" max="17" width="14.44140625" style="7" customWidth="1"/>
    <col min="18" max="18" width="16.6640625" style="7" customWidth="1"/>
    <col min="19" max="19" width="15" style="7" customWidth="1"/>
    <col min="20" max="16384" width="17.88671875" style="7"/>
  </cols>
  <sheetData>
    <row r="1" spans="1:13">
      <c r="A1" s="7" t="s">
        <v>113</v>
      </c>
      <c r="M1" s="297" t="s">
        <v>113</v>
      </c>
    </row>
    <row r="2" spans="1:13">
      <c r="A2" s="672" t="s">
        <v>630</v>
      </c>
      <c r="B2" s="672"/>
      <c r="C2" s="672"/>
      <c r="D2" s="672"/>
      <c r="E2" s="672"/>
      <c r="F2" s="672"/>
      <c r="G2" s="672"/>
      <c r="H2" s="672"/>
      <c r="I2" s="672"/>
      <c r="J2" s="672"/>
      <c r="M2" s="297" t="s">
        <v>113</v>
      </c>
    </row>
    <row r="3" spans="1:13">
      <c r="A3" s="666" t="s">
        <v>612</v>
      </c>
      <c r="B3" s="671"/>
      <c r="C3" s="671"/>
      <c r="D3" s="671"/>
      <c r="E3" s="671"/>
      <c r="F3" s="671"/>
      <c r="G3" s="671"/>
      <c r="H3" s="671"/>
      <c r="I3" s="671"/>
      <c r="J3" s="671"/>
    </row>
    <row r="4" spans="1:13">
      <c r="A4" s="672" t="s">
        <v>613</v>
      </c>
      <c r="B4" s="672"/>
      <c r="C4" s="672"/>
      <c r="D4" s="672"/>
      <c r="E4" s="672"/>
      <c r="F4" s="672"/>
      <c r="G4" s="672"/>
      <c r="H4" s="672"/>
      <c r="I4" s="672"/>
      <c r="J4" s="672"/>
      <c r="M4" s="8" t="s">
        <v>113</v>
      </c>
    </row>
    <row r="5" spans="1:13">
      <c r="A5" s="673" t="s">
        <v>1117</v>
      </c>
      <c r="B5" s="673"/>
      <c r="C5" s="673"/>
      <c r="D5" s="673"/>
      <c r="E5" s="673"/>
      <c r="F5" s="673"/>
      <c r="G5" s="673"/>
      <c r="H5" s="673"/>
      <c r="I5" s="673"/>
      <c r="J5" s="673"/>
    </row>
    <row r="8" spans="1:13">
      <c r="B8" s="40">
        <v>1510001</v>
      </c>
      <c r="C8" s="40">
        <v>1510002</v>
      </c>
      <c r="D8" s="40">
        <v>1510003</v>
      </c>
      <c r="E8" s="40">
        <v>1510004</v>
      </c>
      <c r="F8" s="40">
        <v>1510019</v>
      </c>
      <c r="G8" s="40">
        <v>1510020</v>
      </c>
      <c r="H8"/>
      <c r="L8" s="108"/>
    </row>
    <row r="9" spans="1:13">
      <c r="B9" s="9" t="s">
        <v>271</v>
      </c>
      <c r="C9" s="9" t="s">
        <v>271</v>
      </c>
      <c r="D9" s="9" t="s">
        <v>271</v>
      </c>
      <c r="E9" s="9" t="s">
        <v>271</v>
      </c>
      <c r="F9" s="9" t="s">
        <v>271</v>
      </c>
      <c r="G9" s="9" t="s">
        <v>271</v>
      </c>
      <c r="H9"/>
      <c r="I9" s="9" t="s">
        <v>271</v>
      </c>
      <c r="L9"/>
      <c r="M9"/>
    </row>
    <row r="10" spans="1:13" ht="15.6">
      <c r="A10" s="110" t="s">
        <v>272</v>
      </c>
      <c r="B10" s="18" t="s">
        <v>273</v>
      </c>
      <c r="C10" s="18" t="s">
        <v>274</v>
      </c>
      <c r="D10" s="18" t="s">
        <v>275</v>
      </c>
      <c r="E10" s="18" t="s">
        <v>276</v>
      </c>
      <c r="F10" s="18" t="s">
        <v>631</v>
      </c>
      <c r="G10" s="18" t="s">
        <v>565</v>
      </c>
      <c r="H10"/>
      <c r="I10" s="18" t="s">
        <v>103</v>
      </c>
      <c r="J10" s="205" t="s">
        <v>277</v>
      </c>
      <c r="L10"/>
      <c r="M10"/>
    </row>
    <row r="11" spans="1:13">
      <c r="A11" s="209">
        <v>41974</v>
      </c>
      <c r="B11" s="38">
        <v>102857651</v>
      </c>
      <c r="C11" s="38">
        <v>3929104</v>
      </c>
      <c r="D11" s="38">
        <v>68207</v>
      </c>
      <c r="E11" s="38">
        <v>0</v>
      </c>
      <c r="F11" s="38">
        <v>0</v>
      </c>
      <c r="G11" s="38">
        <v>7431374</v>
      </c>
      <c r="H11"/>
      <c r="I11" s="37">
        <f>SUM(B11:H11)</f>
        <v>114286336</v>
      </c>
      <c r="J11" s="207" t="s">
        <v>564</v>
      </c>
      <c r="L11"/>
      <c r="M11"/>
    </row>
    <row r="12" spans="1:13">
      <c r="B12" s="208"/>
      <c r="C12" s="208"/>
      <c r="D12" s="208"/>
      <c r="E12" s="208"/>
      <c r="F12" s="208"/>
      <c r="G12" s="208"/>
      <c r="H12" s="208"/>
      <c r="I12" s="208"/>
      <c r="L12"/>
      <c r="M12"/>
    </row>
    <row r="13" spans="1:13">
      <c r="I13" s="13"/>
      <c r="L13" s="206" t="s">
        <v>103</v>
      </c>
      <c r="M13" s="13">
        <f>+I11</f>
        <v>114286336</v>
      </c>
    </row>
    <row r="14" spans="1:13">
      <c r="B14" s="40">
        <v>1520000</v>
      </c>
      <c r="E14"/>
      <c r="F14"/>
      <c r="I14" s="13"/>
      <c r="L14" s="206"/>
      <c r="M14" s="13"/>
    </row>
    <row r="15" spans="1:13">
      <c r="B15" s="9" t="s">
        <v>271</v>
      </c>
      <c r="E15"/>
      <c r="F15"/>
      <c r="I15" s="13"/>
      <c r="L15" s="206"/>
      <c r="M15" s="13"/>
    </row>
    <row r="16" spans="1:13" ht="15.6">
      <c r="A16" s="110" t="s">
        <v>272</v>
      </c>
      <c r="B16" s="18" t="s">
        <v>597</v>
      </c>
      <c r="C16" s="205" t="s">
        <v>277</v>
      </c>
      <c r="E16"/>
      <c r="F16"/>
      <c r="I16" s="13"/>
      <c r="L16" s="206"/>
      <c r="M16" s="13"/>
    </row>
    <row r="17" spans="1:13">
      <c r="A17" s="209">
        <v>41974</v>
      </c>
      <c r="B17" s="38">
        <v>5055842</v>
      </c>
      <c r="C17" s="207" t="s">
        <v>598</v>
      </c>
      <c r="E17"/>
      <c r="F17"/>
      <c r="I17" s="13"/>
      <c r="L17" s="206"/>
      <c r="M17" s="13"/>
    </row>
    <row r="18" spans="1:13">
      <c r="A18" s="209"/>
      <c r="B18" s="38" t="s">
        <v>113</v>
      </c>
      <c r="I18" s="13"/>
      <c r="L18" s="206"/>
      <c r="M18" s="13"/>
    </row>
    <row r="19" spans="1:13">
      <c r="A19" s="193" t="s">
        <v>279</v>
      </c>
    </row>
    <row r="20" spans="1:13" ht="15.6">
      <c r="A20" s="194" t="s">
        <v>459</v>
      </c>
    </row>
    <row r="22" spans="1:13" ht="15.6">
      <c r="A22" s="194" t="s">
        <v>113</v>
      </c>
    </row>
    <row r="29" spans="1:13">
      <c r="C29" s="418"/>
      <c r="D29" s="419"/>
      <c r="E29" s="414"/>
      <c r="F29" s="414"/>
      <c r="G29" s="414"/>
      <c r="H29" s="414"/>
      <c r="I29" s="414"/>
      <c r="J29"/>
    </row>
    <row r="30" spans="1:13">
      <c r="C30" s="418"/>
      <c r="D30" s="419"/>
      <c r="E30" s="414"/>
      <c r="F30" s="414"/>
      <c r="G30" s="414"/>
      <c r="H30" s="414"/>
      <c r="I30" s="414"/>
      <c r="J30"/>
    </row>
    <row r="31" spans="1:13">
      <c r="C31" s="418"/>
      <c r="D31" s="419"/>
      <c r="E31" s="414"/>
      <c r="F31" s="414"/>
      <c r="G31" s="414"/>
      <c r="H31" s="414"/>
      <c r="I31" s="414"/>
      <c r="J31"/>
    </row>
    <row r="32" spans="1:13">
      <c r="C32" s="418"/>
      <c r="D32" s="419"/>
      <c r="E32" s="414"/>
      <c r="F32" s="414"/>
      <c r="G32" s="414"/>
      <c r="H32" s="414"/>
      <c r="I32" s="414"/>
      <c r="J32"/>
    </row>
    <row r="33" spans="3:10">
      <c r="C33" s="418"/>
      <c r="D33" s="419"/>
      <c r="E33" s="414"/>
      <c r="F33" s="414"/>
      <c r="G33" s="414"/>
      <c r="H33" s="414"/>
      <c r="I33" s="414"/>
      <c r="J33"/>
    </row>
  </sheetData>
  <mergeCells count="4">
    <mergeCell ref="A2:J2"/>
    <mergeCell ref="A4:J4"/>
    <mergeCell ref="A5:J5"/>
    <mergeCell ref="A3:J3"/>
  </mergeCells>
  <phoneticPr fontId="2" type="noConversion"/>
  <conditionalFormatting sqref="C29:I33">
    <cfRule type="expression" dxfId="9" priority="1" stopIfTrue="1">
      <formula>AND((#REF!&gt;1000000),(#REF!&gt;0.1))</formula>
    </cfRule>
    <cfRule type="expression" dxfId="8" priority="2" stopIfTrue="1">
      <formula>AND((#REF!&lt;-1000000),(#REF!&lt;-0.1))</formula>
    </cfRule>
    <cfRule type="expression" dxfId="7" priority="3" stopIfTrue="1">
      <formula>AND((#REF!&lt;-1000000),(#REF!&gt;0.1))</formula>
    </cfRule>
  </conditionalFormatting>
  <pageMargins left="0.5" right="0.5" top="0.5" bottom="0.5" header="0.5" footer="0.25"/>
  <pageSetup scale="61" orientation="portrait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45"/>
  <sheetViews>
    <sheetView showGridLines="0" view="pageBreakPreview" zoomScale="60" zoomScaleNormal="100" workbookViewId="0">
      <selection activeCell="C17" sqref="C17:F17"/>
    </sheetView>
  </sheetViews>
  <sheetFormatPr defaultColWidth="9.109375" defaultRowHeight="13.2"/>
  <cols>
    <col min="1" max="1" width="13.109375" style="7" customWidth="1"/>
    <col min="2" max="2" width="19.6640625" style="7" customWidth="1"/>
    <col min="3" max="3" width="28.5546875" style="7" customWidth="1"/>
    <col min="4" max="4" width="19.5546875" style="7" bestFit="1" customWidth="1"/>
    <col min="5" max="5" width="24.33203125" style="7" customWidth="1"/>
    <col min="6" max="6" width="23.88671875" style="7" customWidth="1"/>
    <col min="7" max="7" width="21.44140625" style="7" customWidth="1"/>
    <col min="8" max="8" width="24" style="7" customWidth="1"/>
    <col min="9" max="9" width="20.44140625" style="7" customWidth="1"/>
    <col min="10" max="10" width="11.109375" style="7" customWidth="1"/>
    <col min="11" max="11" width="12.5546875" style="7" bestFit="1" customWidth="1"/>
    <col min="12" max="12" width="8.33203125" style="7" bestFit="1" customWidth="1"/>
    <col min="13" max="13" width="10.88671875" style="7" customWidth="1"/>
    <col min="14" max="14" width="15.6640625" style="7" customWidth="1"/>
    <col min="15" max="18" width="14.6640625" style="7" customWidth="1"/>
    <col min="19" max="16384" width="9.109375" style="7"/>
  </cols>
  <sheetData>
    <row r="1" spans="1:18">
      <c r="A1" s="7" t="s">
        <v>113</v>
      </c>
      <c r="L1" s="297" t="s">
        <v>113</v>
      </c>
    </row>
    <row r="2" spans="1:18">
      <c r="A2" s="672" t="s">
        <v>626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</row>
    <row r="3" spans="1:18">
      <c r="A3" s="666" t="s">
        <v>606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</row>
    <row r="4" spans="1:18">
      <c r="A4" s="672" t="s">
        <v>614</v>
      </c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</row>
    <row r="5" spans="1:18">
      <c r="A5" s="674" t="s">
        <v>1117</v>
      </c>
      <c r="B5" s="662"/>
      <c r="C5" s="662"/>
      <c r="D5" s="662"/>
      <c r="E5" s="662"/>
      <c r="F5" s="662"/>
      <c r="G5" s="662"/>
      <c r="H5" s="662"/>
      <c r="I5" s="662"/>
      <c r="J5" s="662"/>
      <c r="K5" s="662"/>
      <c r="L5" s="662"/>
      <c r="M5" s="662"/>
    </row>
    <row r="9" spans="1:18">
      <c r="B9" s="9" t="s">
        <v>289</v>
      </c>
      <c r="C9" s="9">
        <v>1650004</v>
      </c>
      <c r="D9" s="9">
        <v>1650005</v>
      </c>
      <c r="E9" s="9" t="s">
        <v>290</v>
      </c>
      <c r="F9" s="9" t="s">
        <v>291</v>
      </c>
      <c r="G9" s="9" t="s">
        <v>566</v>
      </c>
      <c r="H9" s="443" t="s">
        <v>991</v>
      </c>
      <c r="I9" s="412">
        <v>165000215</v>
      </c>
      <c r="J9"/>
      <c r="K9" s="9"/>
      <c r="O9" s="236"/>
      <c r="P9" s="236"/>
      <c r="Q9" s="236"/>
      <c r="R9" s="236"/>
    </row>
    <row r="10" spans="1:18">
      <c r="B10" s="9" t="s">
        <v>116</v>
      </c>
      <c r="C10" s="9" t="s">
        <v>116</v>
      </c>
      <c r="D10" s="9" t="s">
        <v>116</v>
      </c>
      <c r="E10" s="9" t="s">
        <v>116</v>
      </c>
      <c r="F10" s="9" t="s">
        <v>116</v>
      </c>
      <c r="G10" s="9" t="s">
        <v>116</v>
      </c>
      <c r="H10" s="443" t="s">
        <v>116</v>
      </c>
      <c r="I10" s="9" t="s">
        <v>116</v>
      </c>
      <c r="J10"/>
      <c r="K10" s="9" t="s">
        <v>116</v>
      </c>
    </row>
    <row r="11" spans="1:18" ht="15.6">
      <c r="A11" s="110" t="s">
        <v>272</v>
      </c>
      <c r="B11" s="18" t="s">
        <v>292</v>
      </c>
      <c r="C11" s="18" t="s">
        <v>249</v>
      </c>
      <c r="D11" s="18" t="s">
        <v>462</v>
      </c>
      <c r="E11" s="18" t="s">
        <v>109</v>
      </c>
      <c r="F11" s="18" t="s">
        <v>293</v>
      </c>
      <c r="G11" s="18" t="s">
        <v>567</v>
      </c>
      <c r="H11" s="18" t="s">
        <v>992</v>
      </c>
      <c r="I11" s="18" t="s">
        <v>568</v>
      </c>
      <c r="J11"/>
      <c r="K11" s="18" t="s">
        <v>103</v>
      </c>
      <c r="L11" s="205" t="s">
        <v>277</v>
      </c>
    </row>
    <row r="12" spans="1:18">
      <c r="A12" s="209">
        <v>42339</v>
      </c>
      <c r="B12" s="38">
        <v>2081320</v>
      </c>
      <c r="C12" s="584">
        <v>25818</v>
      </c>
      <c r="D12" s="38">
        <v>213500</v>
      </c>
      <c r="E12" s="38">
        <v>116848</v>
      </c>
      <c r="F12" s="38">
        <v>91198</v>
      </c>
      <c r="G12" s="38">
        <f>1015824+743362</f>
        <v>1759186</v>
      </c>
      <c r="H12" s="38">
        <v>0</v>
      </c>
      <c r="I12" s="38">
        <v>2045305</v>
      </c>
      <c r="J12"/>
      <c r="K12" s="37">
        <f>SUM(B12:J12)+SUM(B17:J17)</f>
        <v>8230780</v>
      </c>
      <c r="L12" s="9" t="s">
        <v>294</v>
      </c>
    </row>
    <row r="14" spans="1:18">
      <c r="B14" s="504" t="s">
        <v>113</v>
      </c>
    </row>
    <row r="15" spans="1:18">
      <c r="B15" s="504">
        <v>165001215</v>
      </c>
      <c r="C15" s="569">
        <v>16500031</v>
      </c>
      <c r="D15" s="569">
        <v>16500033</v>
      </c>
      <c r="E15" s="505">
        <v>1650032</v>
      </c>
      <c r="F15" s="505">
        <v>1650034</v>
      </c>
      <c r="H15" s="570"/>
    </row>
    <row r="16" spans="1:18">
      <c r="A16" s="110" t="s">
        <v>272</v>
      </c>
      <c r="B16" s="140" t="s">
        <v>1008</v>
      </c>
      <c r="C16" s="140" t="s">
        <v>992</v>
      </c>
      <c r="D16" s="140" t="s">
        <v>1118</v>
      </c>
      <c r="E16" s="508" t="s">
        <v>1009</v>
      </c>
      <c r="F16" s="508" t="s">
        <v>1010</v>
      </c>
      <c r="H16" s="570"/>
    </row>
    <row r="17" spans="1:10">
      <c r="A17" s="209">
        <f>A12</f>
        <v>42339</v>
      </c>
      <c r="B17" s="38">
        <v>10392</v>
      </c>
      <c r="C17" s="571">
        <v>590006</v>
      </c>
      <c r="D17" s="571">
        <v>603350</v>
      </c>
      <c r="E17" s="571">
        <v>333415</v>
      </c>
      <c r="F17" s="571">
        <v>360442</v>
      </c>
      <c r="H17" s="38"/>
    </row>
    <row r="18" spans="1:10">
      <c r="C18" s="7" t="s">
        <v>113</v>
      </c>
    </row>
    <row r="21" spans="1:10">
      <c r="H21"/>
      <c r="I21"/>
      <c r="J21"/>
    </row>
    <row r="22" spans="1:10">
      <c r="B22" s="241" t="s">
        <v>698</v>
      </c>
      <c r="D22" s="241" t="s">
        <v>525</v>
      </c>
      <c r="E22" s="9"/>
      <c r="F22" s="241" t="s">
        <v>424</v>
      </c>
      <c r="G22" s="9"/>
      <c r="H22"/>
      <c r="I22"/>
      <c r="J22"/>
    </row>
    <row r="23" spans="1:10" ht="15.6">
      <c r="A23" s="110" t="s">
        <v>272</v>
      </c>
      <c r="B23" s="244" t="s">
        <v>950</v>
      </c>
      <c r="D23" s="244" t="s">
        <v>61</v>
      </c>
      <c r="E23" s="9"/>
      <c r="F23" s="244" t="s">
        <v>61</v>
      </c>
      <c r="G23" s="9"/>
      <c r="H23"/>
      <c r="I23"/>
      <c r="J23"/>
    </row>
    <row r="24" spans="1:10">
      <c r="A24" s="209">
        <f>A12</f>
        <v>42339</v>
      </c>
      <c r="B24" s="237">
        <f>H12+C17+D17+E17+F17</f>
        <v>1887213</v>
      </c>
      <c r="D24" s="243">
        <f>+B12+C12+F12+G12+I12+J12+E12+B17</f>
        <v>6130067</v>
      </c>
      <c r="F24" s="243">
        <f>+D12</f>
        <v>213500</v>
      </c>
      <c r="H24"/>
      <c r="I24"/>
      <c r="J24"/>
    </row>
    <row r="25" spans="1:10">
      <c r="B25" s="236"/>
      <c r="C25"/>
      <c r="D25"/>
      <c r="E25"/>
      <c r="F25"/>
    </row>
    <row r="26" spans="1:10">
      <c r="B26" s="238"/>
      <c r="C26"/>
      <c r="D26"/>
      <c r="E26"/>
      <c r="F26"/>
    </row>
    <row r="30" spans="1:10">
      <c r="A30" s="193" t="s">
        <v>279</v>
      </c>
    </row>
    <row r="31" spans="1:10" ht="15.6">
      <c r="A31" s="194" t="s">
        <v>459</v>
      </c>
    </row>
    <row r="32" spans="1:10" ht="15.6">
      <c r="A32" s="194" t="s">
        <v>62</v>
      </c>
    </row>
    <row r="33" spans="1:1">
      <c r="A33" s="7" t="s">
        <v>499</v>
      </c>
    </row>
    <row r="34" spans="1:1">
      <c r="A34" s="7" t="s">
        <v>632</v>
      </c>
    </row>
    <row r="35" spans="1:1">
      <c r="A35" s="7" t="s">
        <v>500</v>
      </c>
    </row>
    <row r="36" spans="1:1">
      <c r="A36" s="7" t="s">
        <v>711</v>
      </c>
    </row>
    <row r="37" spans="1:1">
      <c r="A37" s="7" t="s">
        <v>501</v>
      </c>
    </row>
    <row r="38" spans="1:1">
      <c r="A38" s="7" t="s">
        <v>595</v>
      </c>
    </row>
    <row r="39" spans="1:1">
      <c r="A39" s="301" t="s">
        <v>596</v>
      </c>
    </row>
    <row r="40" spans="1:1">
      <c r="A40" s="138" t="s">
        <v>1119</v>
      </c>
    </row>
    <row r="41" spans="1:1">
      <c r="A41" s="138" t="s">
        <v>1120</v>
      </c>
    </row>
    <row r="42" spans="1:1">
      <c r="A42" s="138" t="s">
        <v>1121</v>
      </c>
    </row>
    <row r="43" spans="1:1">
      <c r="A43" s="138" t="s">
        <v>1159</v>
      </c>
    </row>
    <row r="44" spans="1:1">
      <c r="A44" s="138" t="s">
        <v>1160</v>
      </c>
    </row>
    <row r="45" spans="1:1">
      <c r="A45" s="442" t="s">
        <v>1011</v>
      </c>
    </row>
  </sheetData>
  <mergeCells count="4">
    <mergeCell ref="A2:M2"/>
    <mergeCell ref="A4:M4"/>
    <mergeCell ref="A5:M5"/>
    <mergeCell ref="A3:M3"/>
  </mergeCells>
  <phoneticPr fontId="2" type="noConversion"/>
  <pageMargins left="0.5" right="0.5" top="0.5" bottom="0.5" header="0.5" footer="0.25"/>
  <pageSetup scale="42" orientation="portrait" r:id="rId1"/>
  <headerFooter alignWithMargins="0">
    <oddFooter>&amp;C&amp;A</oddFooter>
  </headerFooter>
  <colBreaks count="1" manualBreakCount="1">
    <brk id="13" max="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3"/>
  <sheetViews>
    <sheetView showGridLines="0" view="pageBreakPreview" zoomScale="60" zoomScaleNormal="100" workbookViewId="0">
      <selection activeCell="G11" sqref="G11"/>
    </sheetView>
  </sheetViews>
  <sheetFormatPr defaultColWidth="11" defaultRowHeight="13.2"/>
  <cols>
    <col min="1" max="1" width="6.109375" style="189" customWidth="1"/>
    <col min="2" max="2" width="12.109375" style="45" customWidth="1"/>
    <col min="3" max="3" width="20.5546875" style="45" customWidth="1"/>
    <col min="4" max="4" width="11.5546875" style="45" customWidth="1"/>
    <col min="5" max="5" width="14.109375" style="45" customWidth="1"/>
    <col min="6" max="6" width="19" style="45" customWidth="1"/>
    <col min="7" max="7" width="22.109375" style="45" customWidth="1"/>
    <col min="8" max="8" width="10.6640625" style="45" customWidth="1"/>
    <col min="9" max="16384" width="11" style="45"/>
  </cols>
  <sheetData>
    <row r="1" spans="1:8">
      <c r="A1" s="189" t="s">
        <v>113</v>
      </c>
      <c r="G1" s="297" t="s">
        <v>113</v>
      </c>
    </row>
    <row r="2" spans="1:8">
      <c r="A2" s="667" t="s">
        <v>626</v>
      </c>
      <c r="B2" s="667"/>
      <c r="C2" s="667"/>
      <c r="D2" s="667"/>
      <c r="E2" s="667"/>
      <c r="F2" s="667"/>
      <c r="G2" s="667"/>
    </row>
    <row r="3" spans="1:8">
      <c r="A3" s="680" t="s">
        <v>615</v>
      </c>
      <c r="B3" s="664"/>
      <c r="C3" s="664"/>
      <c r="D3" s="664"/>
      <c r="E3" s="664"/>
      <c r="F3" s="664"/>
      <c r="G3" s="664"/>
      <c r="H3" s="308"/>
    </row>
    <row r="4" spans="1:8">
      <c r="A4" s="668" t="s">
        <v>616</v>
      </c>
      <c r="B4" s="668"/>
      <c r="C4" s="668"/>
      <c r="D4" s="668"/>
      <c r="E4" s="668"/>
      <c r="F4" s="668"/>
      <c r="G4" s="668"/>
    </row>
    <row r="5" spans="1:8">
      <c r="A5" s="675" t="s">
        <v>1117</v>
      </c>
      <c r="B5" s="676">
        <v>0</v>
      </c>
      <c r="C5" s="676">
        <v>0</v>
      </c>
      <c r="D5" s="676">
        <v>0</v>
      </c>
      <c r="E5" s="676">
        <v>0</v>
      </c>
      <c r="F5" s="676">
        <v>0</v>
      </c>
      <c r="G5" s="676">
        <v>0</v>
      </c>
    </row>
    <row r="6" spans="1:8">
      <c r="A6" s="106"/>
    </row>
    <row r="8" spans="1:8">
      <c r="A8" s="105" t="s">
        <v>129</v>
      </c>
      <c r="C8" s="677" t="s">
        <v>105</v>
      </c>
      <c r="D8" s="678"/>
      <c r="E8" s="678"/>
      <c r="F8" s="678"/>
      <c r="G8" s="679"/>
      <c r="H8" s="105"/>
    </row>
    <row r="9" spans="1:8">
      <c r="A9" s="105"/>
      <c r="C9" s="677" t="s">
        <v>103</v>
      </c>
      <c r="D9" s="679"/>
      <c r="E9" s="677" t="s">
        <v>295</v>
      </c>
      <c r="F9" s="679"/>
      <c r="G9" s="196"/>
      <c r="H9" s="105"/>
    </row>
    <row r="10" spans="1:8" ht="15.6">
      <c r="A10" s="192"/>
      <c r="B10" s="191" t="s">
        <v>108</v>
      </c>
      <c r="C10" s="46" t="s">
        <v>296</v>
      </c>
      <c r="D10" s="197" t="s">
        <v>299</v>
      </c>
      <c r="E10" s="46" t="s">
        <v>296</v>
      </c>
      <c r="F10" s="197" t="s">
        <v>299</v>
      </c>
      <c r="G10" s="317" t="s">
        <v>705</v>
      </c>
      <c r="H10" s="105"/>
    </row>
    <row r="11" spans="1:8">
      <c r="A11" s="105">
        <v>1</v>
      </c>
      <c r="B11" s="209">
        <v>42339</v>
      </c>
      <c r="C11" s="322">
        <v>6156912069</v>
      </c>
      <c r="D11" s="200" t="s">
        <v>444</v>
      </c>
      <c r="E11" s="47">
        <f>69784100+2764392</f>
        <v>72548492</v>
      </c>
      <c r="F11" s="200" t="s">
        <v>918</v>
      </c>
      <c r="G11" s="321">
        <f>+C11-E11</f>
        <v>6084363577</v>
      </c>
      <c r="H11" s="199"/>
    </row>
    <row r="12" spans="1:8">
      <c r="A12" s="105">
        <f>+A11+1</f>
        <v>2</v>
      </c>
      <c r="B12" s="190" t="s">
        <v>103</v>
      </c>
      <c r="C12" s="48"/>
      <c r="D12" s="48"/>
      <c r="E12" s="48"/>
      <c r="F12" s="48"/>
      <c r="G12" s="49">
        <f>+G11</f>
        <v>6084363577</v>
      </c>
      <c r="H12" s="48"/>
    </row>
    <row r="13" spans="1:8">
      <c r="A13" s="105"/>
      <c r="B13" s="201"/>
      <c r="C13" s="48"/>
      <c r="D13" s="48"/>
      <c r="E13" s="48"/>
      <c r="F13" s="48"/>
      <c r="G13" s="48"/>
      <c r="H13" s="48"/>
    </row>
    <row r="14" spans="1:8">
      <c r="A14" s="105"/>
      <c r="B14" s="201"/>
      <c r="C14" s="681" t="s">
        <v>110</v>
      </c>
      <c r="D14" s="682"/>
      <c r="E14" s="682"/>
      <c r="F14" s="682"/>
      <c r="G14" s="683"/>
      <c r="H14" s="48"/>
    </row>
    <row r="15" spans="1:8">
      <c r="C15" s="684" t="s">
        <v>103</v>
      </c>
      <c r="D15" s="685"/>
      <c r="E15" s="686" t="s">
        <v>295</v>
      </c>
      <c r="F15" s="687"/>
      <c r="G15" s="196"/>
      <c r="H15" s="48"/>
    </row>
    <row r="16" spans="1:8" ht="15.6">
      <c r="C16" s="46" t="s">
        <v>296</v>
      </c>
      <c r="D16" s="197" t="s">
        <v>299</v>
      </c>
      <c r="E16" s="46" t="s">
        <v>296</v>
      </c>
      <c r="F16" s="197" t="s">
        <v>299</v>
      </c>
      <c r="G16" s="198" t="s">
        <v>298</v>
      </c>
    </row>
    <row r="17" spans="1:7">
      <c r="A17" s="189">
        <f>+A12+1</f>
        <v>3</v>
      </c>
      <c r="B17" s="209">
        <v>42339</v>
      </c>
      <c r="C17" s="55">
        <v>2406274556</v>
      </c>
      <c r="D17" s="83" t="s">
        <v>445</v>
      </c>
      <c r="E17" s="55">
        <v>0</v>
      </c>
      <c r="F17" s="84" t="s">
        <v>446</v>
      </c>
      <c r="G17" s="321">
        <f>+C17-E17</f>
        <v>2406274556</v>
      </c>
    </row>
    <row r="18" spans="1:7">
      <c r="A18" s="189">
        <f>+A17+1</f>
        <v>4</v>
      </c>
      <c r="B18" s="190" t="s">
        <v>103</v>
      </c>
      <c r="C18" s="54"/>
      <c r="D18" s="51"/>
      <c r="E18" s="54"/>
      <c r="F18" s="51"/>
      <c r="G18" s="50">
        <f>+G17</f>
        <v>2406274556</v>
      </c>
    </row>
    <row r="19" spans="1:7" ht="12" customHeight="1"/>
    <row r="20" spans="1:7" ht="12" customHeight="1">
      <c r="C20" s="688" t="s">
        <v>111</v>
      </c>
      <c r="D20" s="689"/>
      <c r="E20" s="689"/>
      <c r="F20" s="689"/>
      <c r="G20" s="690"/>
    </row>
    <row r="21" spans="1:7" ht="12" customHeight="1">
      <c r="C21" s="684" t="s">
        <v>103</v>
      </c>
      <c r="D21" s="685"/>
      <c r="E21" s="686" t="s">
        <v>295</v>
      </c>
      <c r="F21" s="687"/>
      <c r="G21" s="196"/>
    </row>
    <row r="22" spans="1:7" ht="12" customHeight="1">
      <c r="C22" s="46" t="s">
        <v>296</v>
      </c>
      <c r="D22" s="197" t="s">
        <v>299</v>
      </c>
      <c r="E22" s="46" t="s">
        <v>296</v>
      </c>
      <c r="F22" s="197" t="s">
        <v>299</v>
      </c>
      <c r="G22" s="198" t="s">
        <v>298</v>
      </c>
    </row>
    <row r="23" spans="1:7" ht="12" customHeight="1">
      <c r="A23" s="189">
        <f>+A18+1</f>
        <v>5</v>
      </c>
      <c r="B23" s="209">
        <v>42339</v>
      </c>
      <c r="C23" s="55">
        <v>3400127773</v>
      </c>
      <c r="D23" s="84" t="s">
        <v>447</v>
      </c>
      <c r="E23" s="55">
        <v>3069</v>
      </c>
      <c r="F23" s="84" t="s">
        <v>448</v>
      </c>
      <c r="G23" s="321">
        <f>+C23-E23</f>
        <v>3400124704</v>
      </c>
    </row>
    <row r="24" spans="1:7" ht="12" customHeight="1">
      <c r="A24" s="189">
        <f>+A23+1</f>
        <v>6</v>
      </c>
      <c r="B24" s="190" t="s">
        <v>103</v>
      </c>
      <c r="C24" s="51"/>
      <c r="D24" s="51"/>
      <c r="G24" s="52">
        <f>+G23</f>
        <v>3400124704</v>
      </c>
    </row>
    <row r="25" spans="1:7" ht="12" customHeight="1">
      <c r="C25" s="54"/>
      <c r="D25" s="51"/>
    </row>
    <row r="26" spans="1:7">
      <c r="C26" s="688" t="s">
        <v>131</v>
      </c>
      <c r="D26" s="689"/>
      <c r="E26" s="689"/>
      <c r="F26" s="689"/>
      <c r="G26" s="690"/>
    </row>
    <row r="27" spans="1:7">
      <c r="C27" s="684" t="s">
        <v>103</v>
      </c>
      <c r="D27" s="685"/>
      <c r="E27" s="684" t="s">
        <v>295</v>
      </c>
      <c r="F27" s="685"/>
      <c r="G27" s="53"/>
    </row>
    <row r="28" spans="1:7" ht="15.6">
      <c r="C28" s="46" t="s">
        <v>296</v>
      </c>
      <c r="D28" s="202" t="s">
        <v>299</v>
      </c>
      <c r="E28" s="46" t="s">
        <v>296</v>
      </c>
      <c r="F28" s="202" t="s">
        <v>299</v>
      </c>
      <c r="G28" s="198" t="s">
        <v>298</v>
      </c>
    </row>
    <row r="29" spans="1:7">
      <c r="A29" s="189">
        <f>+A24+1</f>
        <v>7</v>
      </c>
      <c r="B29" s="209">
        <v>42339</v>
      </c>
      <c r="C29" s="55">
        <v>209277271</v>
      </c>
      <c r="D29" s="83" t="s">
        <v>449</v>
      </c>
      <c r="E29" s="55">
        <v>811747</v>
      </c>
      <c r="F29" s="84" t="s">
        <v>450</v>
      </c>
      <c r="G29" s="321">
        <f>+C29-E29</f>
        <v>208465524</v>
      </c>
    </row>
    <row r="30" spans="1:7">
      <c r="A30" s="189">
        <f>+A29+1</f>
        <v>8</v>
      </c>
      <c r="B30" s="190" t="s">
        <v>103</v>
      </c>
      <c r="G30" s="50">
        <f>+G29</f>
        <v>208465524</v>
      </c>
    </row>
    <row r="31" spans="1:7">
      <c r="B31" s="201"/>
      <c r="G31" s="54"/>
    </row>
    <row r="32" spans="1:7">
      <c r="C32" s="688" t="s">
        <v>118</v>
      </c>
      <c r="D32" s="689"/>
      <c r="E32" s="689"/>
      <c r="F32" s="689"/>
      <c r="G32" s="690"/>
    </row>
    <row r="33" spans="1:10">
      <c r="C33" s="684" t="s">
        <v>103</v>
      </c>
      <c r="D33" s="685"/>
      <c r="E33" s="684" t="s">
        <v>295</v>
      </c>
      <c r="F33" s="685"/>
      <c r="G33" s="53"/>
    </row>
    <row r="34" spans="1:10" ht="15.6">
      <c r="C34" s="46" t="s">
        <v>296</v>
      </c>
      <c r="D34" s="197" t="s">
        <v>299</v>
      </c>
      <c r="E34" s="46" t="s">
        <v>296</v>
      </c>
      <c r="F34" s="202" t="s">
        <v>299</v>
      </c>
      <c r="G34" s="198" t="s">
        <v>298</v>
      </c>
    </row>
    <row r="35" spans="1:10">
      <c r="A35" s="189">
        <f>+A30+1</f>
        <v>9</v>
      </c>
      <c r="B35" s="209">
        <v>42339</v>
      </c>
      <c r="C35" s="55">
        <v>83036453</v>
      </c>
      <c r="D35" s="83" t="s">
        <v>451</v>
      </c>
      <c r="E35" s="56">
        <v>0</v>
      </c>
      <c r="F35" s="83" t="s">
        <v>278</v>
      </c>
      <c r="G35" s="321">
        <f>+C35-E35</f>
        <v>83036453</v>
      </c>
    </row>
    <row r="36" spans="1:10">
      <c r="A36" s="189">
        <f>+A35+1</f>
        <v>10</v>
      </c>
      <c r="B36" s="190" t="s">
        <v>103</v>
      </c>
      <c r="C36" s="51"/>
      <c r="D36" s="51"/>
      <c r="G36" s="52">
        <f>+G35</f>
        <v>83036453</v>
      </c>
    </row>
    <row r="38" spans="1:10">
      <c r="A38" s="189">
        <f>+A36+1</f>
        <v>11</v>
      </c>
      <c r="B38" s="411" t="s">
        <v>1122</v>
      </c>
      <c r="G38" s="239">
        <f>+G12+G18+G24+G30+G36</f>
        <v>12182264814</v>
      </c>
    </row>
    <row r="40" spans="1:10">
      <c r="A40" s="203" t="s">
        <v>279</v>
      </c>
    </row>
    <row r="41" spans="1:10" ht="15.6">
      <c r="A41" s="204" t="s">
        <v>551</v>
      </c>
    </row>
    <row r="42" spans="1:10" ht="15.6">
      <c r="A42" s="204" t="s">
        <v>358</v>
      </c>
    </row>
    <row r="43" spans="1:10" ht="15.6">
      <c r="A43" s="304" t="s">
        <v>63</v>
      </c>
      <c r="B43"/>
      <c r="C43"/>
      <c r="D43"/>
      <c r="E43"/>
      <c r="F43"/>
      <c r="G43"/>
      <c r="H43"/>
    </row>
    <row r="44" spans="1:10">
      <c r="A44"/>
      <c r="B44"/>
      <c r="C44"/>
      <c r="D44"/>
      <c r="E44"/>
      <c r="F44"/>
      <c r="G44"/>
      <c r="H44"/>
      <c r="I44"/>
      <c r="J44"/>
    </row>
    <row r="45" spans="1:10">
      <c r="A45"/>
      <c r="B45"/>
      <c r="C45"/>
      <c r="D45"/>
      <c r="E45"/>
      <c r="F45"/>
      <c r="G45"/>
      <c r="H45"/>
      <c r="I45"/>
      <c r="J45"/>
    </row>
    <row r="46" spans="1:10">
      <c r="B46"/>
      <c r="C46"/>
      <c r="D46"/>
      <c r="E46"/>
      <c r="F46"/>
      <c r="G46"/>
      <c r="H46"/>
      <c r="I46"/>
      <c r="J46"/>
    </row>
    <row r="47" spans="1:10">
      <c r="G47"/>
      <c r="H47"/>
      <c r="I47"/>
      <c r="J47"/>
    </row>
    <row r="48" spans="1:10">
      <c r="A48" s="303"/>
      <c r="G48"/>
      <c r="H48"/>
      <c r="I48"/>
      <c r="J48"/>
    </row>
    <row r="49" spans="1:10">
      <c r="A49"/>
      <c r="B49"/>
      <c r="C49"/>
      <c r="D49"/>
      <c r="E49"/>
      <c r="F49"/>
      <c r="G49"/>
      <c r="H49"/>
      <c r="I49"/>
      <c r="J49"/>
    </row>
    <row r="50" spans="1:10">
      <c r="A50"/>
      <c r="B50"/>
      <c r="C50"/>
      <c r="D50"/>
      <c r="E50"/>
      <c r="F50"/>
      <c r="G50"/>
      <c r="H50"/>
      <c r="I50"/>
      <c r="J50"/>
    </row>
    <row r="51" spans="1:10">
      <c r="A51"/>
      <c r="B51"/>
      <c r="C51"/>
      <c r="D51"/>
      <c r="E51"/>
      <c r="F51"/>
      <c r="G51"/>
      <c r="H51"/>
      <c r="I51"/>
      <c r="J51"/>
    </row>
    <row r="52" spans="1:10">
      <c r="A52"/>
      <c r="B52"/>
      <c r="C52"/>
      <c r="D52"/>
      <c r="E52"/>
      <c r="F52"/>
      <c r="G52"/>
      <c r="H52"/>
      <c r="I52"/>
      <c r="J52"/>
    </row>
    <row r="53" spans="1:10">
      <c r="A53"/>
      <c r="B53"/>
      <c r="C53"/>
      <c r="D53"/>
      <c r="E53"/>
      <c r="F53"/>
      <c r="G53"/>
      <c r="H53"/>
      <c r="I53"/>
      <c r="J53"/>
    </row>
    <row r="54" spans="1:10">
      <c r="A54"/>
      <c r="B54"/>
      <c r="C54"/>
      <c r="D54"/>
      <c r="E54"/>
      <c r="F54"/>
      <c r="G54"/>
      <c r="H54"/>
      <c r="I54"/>
      <c r="J54"/>
    </row>
    <row r="55" spans="1:10">
      <c r="A55" s="303"/>
      <c r="B55"/>
      <c r="C55"/>
      <c r="D55"/>
      <c r="E55"/>
      <c r="F55"/>
      <c r="G55"/>
      <c r="H55"/>
      <c r="I55"/>
      <c r="J55"/>
    </row>
    <row r="56" spans="1:10">
      <c r="A56"/>
      <c r="B56"/>
      <c r="C56"/>
      <c r="D56"/>
      <c r="E56"/>
      <c r="F56"/>
      <c r="G56"/>
      <c r="H56"/>
      <c r="I56"/>
      <c r="J56"/>
    </row>
    <row r="57" spans="1:10">
      <c r="A57"/>
      <c r="B57"/>
      <c r="C57"/>
      <c r="D57"/>
      <c r="E57"/>
      <c r="F57"/>
      <c r="G57"/>
      <c r="H57"/>
      <c r="I57"/>
      <c r="J57"/>
    </row>
    <row r="58" spans="1:10">
      <c r="A58"/>
      <c r="B58"/>
      <c r="C58"/>
      <c r="D58"/>
      <c r="E58"/>
      <c r="F58"/>
      <c r="G58"/>
      <c r="H58"/>
      <c r="I58"/>
      <c r="J58"/>
    </row>
    <row r="59" spans="1:10">
      <c r="A59"/>
      <c r="B59"/>
      <c r="C59"/>
      <c r="D59"/>
      <c r="E59"/>
      <c r="F59"/>
      <c r="G59"/>
      <c r="H59"/>
      <c r="I59"/>
      <c r="J59"/>
    </row>
    <row r="60" spans="1:10">
      <c r="A60"/>
      <c r="B60"/>
      <c r="C60"/>
      <c r="D60"/>
      <c r="E60"/>
      <c r="F60"/>
      <c r="G60"/>
      <c r="H60"/>
      <c r="I60"/>
      <c r="J60"/>
    </row>
    <row r="61" spans="1:10">
      <c r="A61"/>
      <c r="B61"/>
      <c r="C61"/>
      <c r="D61"/>
      <c r="E61"/>
      <c r="F61"/>
    </row>
    <row r="62" spans="1:10">
      <c r="A62"/>
      <c r="B62"/>
      <c r="C62"/>
      <c r="D62"/>
      <c r="E62"/>
      <c r="F62"/>
    </row>
    <row r="63" spans="1:10">
      <c r="A63" s="305"/>
    </row>
  </sheetData>
  <mergeCells count="19">
    <mergeCell ref="C32:G32"/>
    <mergeCell ref="C33:D33"/>
    <mergeCell ref="E33:F33"/>
    <mergeCell ref="C20:G20"/>
    <mergeCell ref="C21:D21"/>
    <mergeCell ref="E21:F21"/>
    <mergeCell ref="C26:G26"/>
    <mergeCell ref="C27:D27"/>
    <mergeCell ref="E27:F27"/>
    <mergeCell ref="C9:D9"/>
    <mergeCell ref="E9:F9"/>
    <mergeCell ref="C14:G14"/>
    <mergeCell ref="C15:D15"/>
    <mergeCell ref="E15:F15"/>
    <mergeCell ref="A2:G2"/>
    <mergeCell ref="A4:G4"/>
    <mergeCell ref="A5:G5"/>
    <mergeCell ref="C8:G8"/>
    <mergeCell ref="A3:G3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J29"/>
  <sheetViews>
    <sheetView showGridLines="0" view="pageBreakPreview" zoomScale="60" zoomScaleNormal="100" workbookViewId="0">
      <selection activeCell="B6" sqref="B6"/>
    </sheetView>
  </sheetViews>
  <sheetFormatPr defaultColWidth="10.33203125" defaultRowHeight="13.2"/>
  <cols>
    <col min="1" max="1" width="4.88671875" style="45" bestFit="1" customWidth="1"/>
    <col min="2" max="2" width="40.6640625" style="45" customWidth="1"/>
    <col min="3" max="3" width="22.88671875" style="45" bestFit="1" customWidth="1"/>
    <col min="4" max="4" width="23.6640625" style="45" customWidth="1"/>
    <col min="5" max="5" width="22" style="45" customWidth="1"/>
    <col min="6" max="6" width="21.6640625" style="45" customWidth="1"/>
    <col min="7" max="7" width="16.5546875" style="45" bestFit="1" customWidth="1"/>
    <col min="8" max="8" width="19.109375" style="45" customWidth="1"/>
    <col min="9" max="9" width="19" style="45" bestFit="1" customWidth="1"/>
    <col min="10" max="16384" width="10.33203125" style="45"/>
  </cols>
  <sheetData>
    <row r="1" spans="1:10">
      <c r="A1" s="643"/>
      <c r="B1" s="643"/>
      <c r="C1" s="643"/>
      <c r="D1" s="643"/>
      <c r="E1" s="643"/>
      <c r="F1" s="643"/>
      <c r="G1" s="643"/>
      <c r="H1" s="644" t="s">
        <v>113</v>
      </c>
      <c r="I1" s="643"/>
    </row>
    <row r="2" spans="1:10">
      <c r="A2" s="643"/>
      <c r="B2" s="691" t="s">
        <v>633</v>
      </c>
      <c r="C2" s="691"/>
      <c r="D2" s="691"/>
      <c r="E2" s="691"/>
      <c r="F2" s="691"/>
      <c r="G2" s="691"/>
      <c r="H2" s="691"/>
      <c r="I2" s="692"/>
    </row>
    <row r="3" spans="1:10">
      <c r="A3" s="643"/>
      <c r="B3" s="695" t="s">
        <v>615</v>
      </c>
      <c r="C3" s="696"/>
      <c r="D3" s="696"/>
      <c r="E3" s="696"/>
      <c r="F3" s="696"/>
      <c r="G3" s="696"/>
      <c r="H3" s="696"/>
      <c r="I3" s="696"/>
      <c r="J3" s="308"/>
    </row>
    <row r="4" spans="1:10">
      <c r="A4" s="643"/>
      <c r="B4" s="693" t="s">
        <v>617</v>
      </c>
      <c r="C4" s="693"/>
      <c r="D4" s="693"/>
      <c r="E4" s="693"/>
      <c r="F4" s="693"/>
      <c r="G4" s="693"/>
      <c r="H4" s="693"/>
      <c r="I4" s="692"/>
    </row>
    <row r="5" spans="1:10">
      <c r="A5" s="643"/>
      <c r="B5" s="694" t="s">
        <v>1152</v>
      </c>
      <c r="C5" s="694">
        <v>0</v>
      </c>
      <c r="D5" s="694">
        <v>0</v>
      </c>
      <c r="E5" s="694">
        <v>0</v>
      </c>
      <c r="F5" s="694">
        <v>0</v>
      </c>
      <c r="G5" s="694">
        <v>0</v>
      </c>
      <c r="H5" s="694">
        <v>0</v>
      </c>
      <c r="I5" s="692"/>
    </row>
    <row r="6" spans="1:10">
      <c r="A6" s="643"/>
      <c r="B6" s="645"/>
      <c r="C6" s="645"/>
      <c r="D6" s="645"/>
      <c r="E6" s="645"/>
      <c r="F6" s="645"/>
      <c r="G6" s="645"/>
      <c r="H6" s="645"/>
      <c r="I6" s="643"/>
    </row>
    <row r="7" spans="1:10">
      <c r="A7" s="643"/>
      <c r="B7" s="646"/>
      <c r="C7" s="647"/>
      <c r="D7" s="648"/>
      <c r="E7" s="648"/>
      <c r="F7" s="649"/>
      <c r="G7" s="648"/>
      <c r="H7" s="648"/>
      <c r="I7" s="554"/>
    </row>
    <row r="8" spans="1:10" ht="13.8">
      <c r="A8" s="650" t="s">
        <v>129</v>
      </c>
      <c r="B8" s="651"/>
      <c r="C8" s="554" t="s">
        <v>1227</v>
      </c>
      <c r="D8" s="652" t="s">
        <v>1228</v>
      </c>
      <c r="E8" s="652" t="s">
        <v>105</v>
      </c>
      <c r="F8" s="652" t="s">
        <v>110</v>
      </c>
      <c r="G8" s="652" t="s">
        <v>111</v>
      </c>
      <c r="H8" s="652" t="s">
        <v>131</v>
      </c>
      <c r="I8" s="554"/>
    </row>
    <row r="9" spans="1:10" ht="13.8">
      <c r="A9" s="651">
        <v>1</v>
      </c>
      <c r="B9" s="651"/>
      <c r="C9" s="600">
        <v>1080005</v>
      </c>
      <c r="D9" s="653">
        <v>38555986</v>
      </c>
      <c r="E9" s="653">
        <v>21304120</v>
      </c>
      <c r="F9" s="653">
        <v>11114983</v>
      </c>
      <c r="G9" s="653">
        <v>5949996</v>
      </c>
      <c r="H9" s="653">
        <v>186887</v>
      </c>
      <c r="I9" s="554"/>
    </row>
    <row r="10" spans="1:10" ht="13.8">
      <c r="A10" s="651">
        <v>2</v>
      </c>
      <c r="B10" s="651"/>
      <c r="C10" s="600" t="s">
        <v>526</v>
      </c>
      <c r="D10" s="653">
        <v>-27312477</v>
      </c>
      <c r="E10" s="653">
        <v>-26667676</v>
      </c>
      <c r="F10" s="653">
        <v>0</v>
      </c>
      <c r="G10" s="653">
        <v>-1723</v>
      </c>
      <c r="H10" s="653">
        <v>-643078</v>
      </c>
      <c r="I10" s="554"/>
    </row>
    <row r="11" spans="1:10" ht="13.8">
      <c r="A11" s="651">
        <v>3</v>
      </c>
      <c r="B11" s="651"/>
      <c r="C11" s="600" t="s">
        <v>589</v>
      </c>
      <c r="D11" s="653">
        <v>-3950905088</v>
      </c>
      <c r="E11" s="653">
        <v>-2035591666</v>
      </c>
      <c r="F11" s="653">
        <v>-716658453</v>
      </c>
      <c r="G11" s="653">
        <v>-1126196522</v>
      </c>
      <c r="H11" s="653">
        <v>-72458447</v>
      </c>
      <c r="I11" s="554"/>
    </row>
    <row r="12" spans="1:10" ht="13.8">
      <c r="A12" s="651">
        <v>4</v>
      </c>
      <c r="B12" s="651"/>
      <c r="C12" s="600">
        <v>1110001</v>
      </c>
      <c r="D12" s="653">
        <v>-52947650</v>
      </c>
      <c r="E12" s="653"/>
      <c r="F12" s="653"/>
      <c r="G12" s="653"/>
      <c r="H12" s="653">
        <v>-52947650</v>
      </c>
      <c r="I12" s="554"/>
    </row>
    <row r="13" spans="1:10" ht="13.8">
      <c r="A13" s="651">
        <v>5</v>
      </c>
      <c r="B13" s="651"/>
      <c r="C13" s="600">
        <v>1080013</v>
      </c>
      <c r="D13" s="653">
        <v>0</v>
      </c>
      <c r="E13" s="653">
        <v>0</v>
      </c>
      <c r="F13" s="653">
        <v>0</v>
      </c>
      <c r="G13" s="653">
        <v>0</v>
      </c>
      <c r="H13" s="653">
        <v>0</v>
      </c>
      <c r="I13" s="554"/>
    </row>
    <row r="14" spans="1:10" ht="14.4" thickBot="1">
      <c r="A14" s="651">
        <v>6</v>
      </c>
      <c r="B14" s="651" t="s">
        <v>1229</v>
      </c>
      <c r="C14" s="654" t="s">
        <v>1230</v>
      </c>
      <c r="D14" s="655">
        <f>SUM(D9:D13)</f>
        <v>-3992609229</v>
      </c>
      <c r="E14" s="655">
        <f>SUM(E9:E13)</f>
        <v>-2040955222</v>
      </c>
      <c r="F14" s="655">
        <f>SUM(F9:F13)</f>
        <v>-705543470</v>
      </c>
      <c r="G14" s="655">
        <f>SUM(G9:G13)</f>
        <v>-1120248249</v>
      </c>
      <c r="H14" s="655">
        <f>SUM(H9:H13)</f>
        <v>-125862288</v>
      </c>
      <c r="I14" s="554"/>
    </row>
    <row r="15" spans="1:10" ht="14.4" thickTop="1">
      <c r="A15" s="651"/>
      <c r="B15" s="651"/>
      <c r="C15" s="554"/>
      <c r="D15" s="653"/>
      <c r="E15" s="653"/>
      <c r="F15" s="653"/>
      <c r="G15" s="653"/>
      <c r="H15" s="653"/>
      <c r="I15" s="554"/>
    </row>
    <row r="16" spans="1:10" ht="13.8">
      <c r="A16" s="651">
        <v>7</v>
      </c>
      <c r="B16" s="651" t="s">
        <v>1231</v>
      </c>
      <c r="C16" s="600" t="s">
        <v>1232</v>
      </c>
      <c r="D16" s="653">
        <f>+D14-D10</f>
        <v>-3965296752</v>
      </c>
      <c r="E16" s="653">
        <f>+E14-E10</f>
        <v>-2014287546</v>
      </c>
      <c r="F16" s="653">
        <f>+F14-F10</f>
        <v>-705543470</v>
      </c>
      <c r="G16" s="653">
        <f>+G14-G10</f>
        <v>-1120246526</v>
      </c>
      <c r="H16" s="653">
        <f>+H14-H10</f>
        <v>-125219210</v>
      </c>
      <c r="I16" s="554"/>
    </row>
    <row r="17" spans="1:9" ht="13.8">
      <c r="A17" s="651"/>
      <c r="B17" s="651"/>
      <c r="C17" s="600"/>
      <c r="D17" s="653"/>
      <c r="E17" s="653"/>
      <c r="F17" s="653"/>
      <c r="G17" s="653"/>
      <c r="H17" s="653"/>
      <c r="I17" s="554"/>
    </row>
    <row r="18" spans="1:9" ht="13.8">
      <c r="A18" s="651">
        <v>8</v>
      </c>
      <c r="B18" s="651" t="s">
        <v>1233</v>
      </c>
      <c r="C18" s="600" t="s">
        <v>1234</v>
      </c>
      <c r="D18" s="653">
        <f>+D14-D12</f>
        <v>-3939661579</v>
      </c>
      <c r="E18" s="653">
        <f>+E14-E12</f>
        <v>-2040955222</v>
      </c>
      <c r="F18" s="653">
        <f>+F14-F12</f>
        <v>-705543470</v>
      </c>
      <c r="G18" s="653">
        <f>+G14-G12</f>
        <v>-1120248249</v>
      </c>
      <c r="H18" s="653">
        <f>+H14-H12</f>
        <v>-72914638</v>
      </c>
      <c r="I18" s="648"/>
    </row>
    <row r="19" spans="1:9" ht="13.8">
      <c r="A19" s="651"/>
      <c r="B19" s="651"/>
      <c r="C19" s="554"/>
      <c r="D19" s="653"/>
      <c r="E19" s="653"/>
      <c r="F19" s="653"/>
      <c r="G19" s="653"/>
      <c r="H19" s="653"/>
      <c r="I19" s="648"/>
    </row>
    <row r="20" spans="1:9" ht="13.8">
      <c r="A20" s="651">
        <v>9</v>
      </c>
      <c r="B20" s="651" t="s">
        <v>1235</v>
      </c>
      <c r="C20" s="554"/>
      <c r="D20" s="653">
        <f>+D12</f>
        <v>-52947650</v>
      </c>
      <c r="E20" s="653"/>
      <c r="F20" s="653"/>
      <c r="G20" s="653"/>
      <c r="H20" s="653"/>
      <c r="I20" s="648"/>
    </row>
    <row r="21" spans="1:9" ht="13.8">
      <c r="A21" s="651">
        <v>10</v>
      </c>
      <c r="B21" s="656" t="s">
        <v>1236</v>
      </c>
      <c r="C21" s="554"/>
      <c r="D21" s="653">
        <f>+D18+D20</f>
        <v>-3992609229</v>
      </c>
      <c r="E21" s="653"/>
      <c r="F21" s="653"/>
      <c r="G21" s="653"/>
      <c r="H21" s="653"/>
      <c r="I21" s="648"/>
    </row>
    <row r="22" spans="1:9">
      <c r="A22" s="643"/>
      <c r="B22" s="643"/>
      <c r="C22" s="657"/>
      <c r="D22" s="643"/>
      <c r="E22" s="643"/>
      <c r="F22" s="643"/>
      <c r="G22" s="643"/>
      <c r="H22" s="643"/>
      <c r="I22" s="643"/>
    </row>
    <row r="23" spans="1:9">
      <c r="A23" s="643"/>
      <c r="B23" s="643" t="s">
        <v>113</v>
      </c>
      <c r="C23" s="643"/>
      <c r="D23" s="658"/>
      <c r="E23" s="658"/>
      <c r="F23" s="658"/>
      <c r="G23" s="658"/>
      <c r="H23" s="658"/>
      <c r="I23" s="658"/>
    </row>
    <row r="24" spans="1:9">
      <c r="A24" s="643"/>
      <c r="B24" s="643"/>
      <c r="C24" s="643"/>
      <c r="D24" s="643"/>
      <c r="E24" s="643"/>
      <c r="F24" s="643"/>
      <c r="G24" s="643"/>
      <c r="H24" s="643"/>
      <c r="I24" s="643"/>
    </row>
    <row r="25" spans="1:9">
      <c r="A25" s="643"/>
      <c r="B25" s="643"/>
      <c r="C25" s="643"/>
      <c r="D25" s="643"/>
      <c r="E25" s="643"/>
      <c r="F25" s="643"/>
      <c r="G25" s="643"/>
      <c r="H25" s="643"/>
      <c r="I25" s="643"/>
    </row>
    <row r="26" spans="1:9">
      <c r="A26" s="643"/>
      <c r="B26" s="597" t="s">
        <v>279</v>
      </c>
      <c r="C26" s="643"/>
      <c r="D26" s="643"/>
      <c r="E26" s="643"/>
      <c r="F26" s="643"/>
      <c r="G26" s="643"/>
      <c r="H26" s="643"/>
      <c r="I26" s="643"/>
    </row>
    <row r="27" spans="1:9" ht="15.6">
      <c r="A27" s="643"/>
      <c r="B27" s="598" t="s">
        <v>763</v>
      </c>
      <c r="C27" s="643"/>
      <c r="D27" s="643"/>
      <c r="E27" s="643"/>
      <c r="F27" s="643"/>
      <c r="G27" s="643"/>
      <c r="H27" s="643"/>
      <c r="I27" s="643"/>
    </row>
    <row r="28" spans="1:9" ht="15.6">
      <c r="A28" s="643"/>
      <c r="B28" s="659" t="s">
        <v>764</v>
      </c>
      <c r="C28" s="643"/>
      <c r="D28" s="643"/>
      <c r="E28" s="643"/>
      <c r="F28" s="643"/>
      <c r="G28" s="643"/>
      <c r="H28" s="643"/>
      <c r="I28" s="643"/>
    </row>
    <row r="29" spans="1:9" ht="15.6">
      <c r="A29" s="643"/>
      <c r="B29" s="659" t="s">
        <v>765</v>
      </c>
      <c r="C29" s="643"/>
      <c r="D29" s="643"/>
      <c r="E29" s="643"/>
      <c r="F29" s="643"/>
      <c r="G29" s="643"/>
      <c r="H29" s="643"/>
      <c r="I29" s="643"/>
    </row>
  </sheetData>
  <mergeCells count="4">
    <mergeCell ref="B2:I2"/>
    <mergeCell ref="B4:I4"/>
    <mergeCell ref="B5:I5"/>
    <mergeCell ref="B3:I3"/>
  </mergeCells>
  <phoneticPr fontId="2" type="noConversion"/>
  <pageMargins left="0.5" right="0.5" top="0.5" bottom="0.5" header="0.5" footer="0.25"/>
  <pageSetup scale="50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34</vt:i4>
      </vt:variant>
    </vt:vector>
  </HeadingPairs>
  <TitlesOfParts>
    <vt:vector size="67" baseType="lpstr">
      <vt:lpstr>WP-1</vt:lpstr>
      <vt:lpstr>WP-2</vt:lpstr>
      <vt:lpstr>WP-3</vt:lpstr>
      <vt:lpstr>WP-4</vt:lpstr>
      <vt:lpstr>WP-5a</vt:lpstr>
      <vt:lpstr>WP-5b</vt:lpstr>
      <vt:lpstr>WP-5c</vt:lpstr>
      <vt:lpstr>WP-6a</vt:lpstr>
      <vt:lpstr>WP-6b</vt:lpstr>
      <vt:lpstr>WP-6c</vt:lpstr>
      <vt:lpstr>WP-6d</vt:lpstr>
      <vt:lpstr>WP-7</vt:lpstr>
      <vt:lpstr>WP-8a</vt:lpstr>
      <vt:lpstr>WP-8ai</vt:lpstr>
      <vt:lpstr>WP-8b</vt:lpstr>
      <vt:lpstr>WP-8c</vt:lpstr>
      <vt:lpstr>WP-9a</vt:lpstr>
      <vt:lpstr>WP-9b</vt:lpstr>
      <vt:lpstr>WP-10a</vt:lpstr>
      <vt:lpstr>WP-11</vt:lpstr>
      <vt:lpstr>WP-12a</vt:lpstr>
      <vt:lpstr>WP-12b</vt:lpstr>
      <vt:lpstr>WP-13</vt:lpstr>
      <vt:lpstr>WP-13a</vt:lpstr>
      <vt:lpstr>WP-14</vt:lpstr>
      <vt:lpstr>WP-15a</vt:lpstr>
      <vt:lpstr>WP-15B</vt:lpstr>
      <vt:lpstr>WP-15c</vt:lpstr>
      <vt:lpstr>WP-15d</vt:lpstr>
      <vt:lpstr>WP-16</vt:lpstr>
      <vt:lpstr>WP-17</vt:lpstr>
      <vt:lpstr>WP-18</vt:lpstr>
      <vt:lpstr>WP-19</vt:lpstr>
      <vt:lpstr>HEADA</vt:lpstr>
      <vt:lpstr>'WP-8ai'!HEADB</vt:lpstr>
      <vt:lpstr>'WP-1'!Print_Area</vt:lpstr>
      <vt:lpstr>'WP-11'!Print_Area</vt:lpstr>
      <vt:lpstr>'WP-12b'!Print_Area</vt:lpstr>
      <vt:lpstr>'WP-13'!Print_Area</vt:lpstr>
      <vt:lpstr>'WP-13a'!Print_Area</vt:lpstr>
      <vt:lpstr>'WP-14'!Print_Area</vt:lpstr>
      <vt:lpstr>'WP-15a'!Print_Area</vt:lpstr>
      <vt:lpstr>'WP-15c'!Print_Area</vt:lpstr>
      <vt:lpstr>'WP-15d'!Print_Area</vt:lpstr>
      <vt:lpstr>'WP-16'!Print_Area</vt:lpstr>
      <vt:lpstr>'WP-17'!Print_Area</vt:lpstr>
      <vt:lpstr>'WP-18'!Print_Area</vt:lpstr>
      <vt:lpstr>'WP-19'!Print_Area</vt:lpstr>
      <vt:lpstr>'WP-2'!Print_Area</vt:lpstr>
      <vt:lpstr>'WP-3'!Print_Area</vt:lpstr>
      <vt:lpstr>'WP-5a'!Print_Area</vt:lpstr>
      <vt:lpstr>'WP-5c'!Print_Area</vt:lpstr>
      <vt:lpstr>'WP-6a'!Print_Area</vt:lpstr>
      <vt:lpstr>'WP-6b'!Print_Area</vt:lpstr>
      <vt:lpstr>'WP-6c'!Print_Area</vt:lpstr>
      <vt:lpstr>'WP-6d'!Print_Area</vt:lpstr>
      <vt:lpstr>'WP-8a'!Print_Area</vt:lpstr>
      <vt:lpstr>'WP-8ai'!Print_Area</vt:lpstr>
      <vt:lpstr>'WP-8c'!Print_Area</vt:lpstr>
      <vt:lpstr>'WP-9b'!Print_Area</vt:lpstr>
      <vt:lpstr>'WP-13'!Print_Titles</vt:lpstr>
      <vt:lpstr>'WP-14'!Print_Titles</vt:lpstr>
      <vt:lpstr>'WP-3'!Print_Titles</vt:lpstr>
      <vt:lpstr>'WP-6a'!Print_Titles</vt:lpstr>
      <vt:lpstr>'WP-6b'!Print_Titles</vt:lpstr>
      <vt:lpstr>'WP-8a'!Print_Titles</vt:lpstr>
      <vt:lpstr>'WP-8ai'!Print_Titles</vt:lpstr>
    </vt:vector>
  </TitlesOfParts>
  <Company>AEP-IT-CPS 4/30/3-(8-835-3050)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s632389</cp:lastModifiedBy>
  <cp:lastPrinted>2016-04-26T14:24:49Z</cp:lastPrinted>
  <dcterms:created xsi:type="dcterms:W3CDTF">2009-06-23T20:32:53Z</dcterms:created>
  <dcterms:modified xsi:type="dcterms:W3CDTF">2016-05-25T20:28:57Z</dcterms:modified>
</cp:coreProperties>
</file>