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1605" yWindow="6375" windowWidth="20730" windowHeight="5610" tabRatio="650" activeTab="2"/>
  </bookViews>
  <sheets>
    <sheet name="Print" sheetId="49" r:id="rId1"/>
    <sheet name="INPUT" sheetId="67" r:id="rId2"/>
    <sheet name="DE Ohio &amp; Kentucky" sheetId="4" r:id="rId3"/>
    <sheet name="DEO" sheetId="2" r:id="rId4"/>
    <sheet name="DEK" sheetId="1" r:id="rId5"/>
    <sheet name="Sch 1A - Appx A" sheetId="50" r:id="rId6"/>
    <sheet name="Appx B - DEOK(RTEP)" sheetId="42" r:id="rId7"/>
    <sheet name="Appx B - DEO(RTEP)" sheetId="40" r:id="rId8"/>
    <sheet name="Appx B - DEK(RTEP)" sheetId="41" r:id="rId9"/>
    <sheet name="Appx C - DEOK(MTEP)" sheetId="52" r:id="rId10"/>
    <sheet name="Appx C - DEO(MTEP)" sheetId="53" r:id="rId11"/>
    <sheet name="Appx C - DEK(MTEP)" sheetId="54" r:id="rId12"/>
    <sheet name="Appx D DEO" sheetId="63" r:id="rId13"/>
    <sheet name="Appx D DEK" sheetId="64" r:id="rId14"/>
    <sheet name="Appx E" sheetId="61" r:id="rId15"/>
    <sheet name="Appx E - Workpaper" sheetId="62" r:id="rId16"/>
    <sheet name="P1 ADIT 190 &amp; 282" sheetId="22" r:id="rId17"/>
    <sheet name="P2 Allocate M&amp;S" sheetId="12" r:id="rId18"/>
    <sheet name="P3 Land Held for Future Use" sheetId="32" r:id="rId19"/>
    <sheet name="P4 Advertising - EPRI Adj." sheetId="19" r:id="rId20"/>
    <sheet name="P5 Schedule 1 Charges acct 561" sheetId="9" r:id="rId21"/>
    <sheet name="P6 Statetax" sheetId="5" r:id="rId22"/>
    <sheet name="P7 Trans Plant In OATT" sheetId="37" r:id="rId23"/>
    <sheet name="P8 Rev Cred Support" sheetId="20" r:id="rId24"/>
    <sheet name="P9 Capital Structure - Confiden" sheetId="26" r:id="rId25"/>
    <sheet name="P10 Partner KW" sheetId="13" r:id="rId26"/>
    <sheet name="P11 Salaries and Wages" sheetId="68" r:id="rId27"/>
  </sheets>
  <definedNames>
    <definedName name="Appendix_A">'Sch 1A - Appx A'!$A$1:$H$38</definedName>
    <definedName name="AppxB_DEK_Pg1_RTEP">'Appx B - DEK(RTEP)'!$A$1:$I$45</definedName>
    <definedName name="AppxB_DEK_Pg2_RTEP">'Appx B - DEK(RTEP)'!$K$49:$X$100</definedName>
    <definedName name="AppxB_DEM_Pg1_RTEP">'Appx B - DEOK(RTEP)'!$A$1:$I$46</definedName>
    <definedName name="AppxB_DEM_Pg2_RTEP">'Appx B - DEOK(RTEP)'!$K$49:$X$100</definedName>
    <definedName name="AppxB_DEO_Pg1_RTEP">'Appx B - DEO(RTEP)'!$A$1:$I$45</definedName>
    <definedName name="AppxB_DEO_Pg2_RTEP">'Appx B - DEO(RTEP)'!$K$49:$X$100</definedName>
    <definedName name="AppxC_DEK_Pg1_MTEP">'Appx C - DEK(MTEP)'!$A$1:$I$45</definedName>
    <definedName name="AppxC_DEK_Pg2_MTEP">'Appx C - DEK(MTEP)'!$K$49:$X$100</definedName>
    <definedName name="AppxC_DEM_Pg1_MTEP">'Appx C - DEOK(MTEP)'!$A$1:$I$45</definedName>
    <definedName name="AppxC_DEM_Pg2_MTEP">'Appx C - DEOK(MTEP)'!$K$49:$X$100</definedName>
    <definedName name="AppxC_DEO_Pg1_MTEP">'Appx C - DEO(MTEP)'!$A$1:$I$45</definedName>
    <definedName name="AppxC_DEO_Pg2_MTEP">'Appx C - DEO(MTEP)'!$K$49:$X$100</definedName>
    <definedName name="AppxD_DEK">'Appx D DEK'!$A$1:$G$30</definedName>
    <definedName name="AppxD_DEO">'Appx D DEO'!$A$1:$G$67</definedName>
    <definedName name="AppxE_DEOK">'Appx E'!$A$1:$G$48</definedName>
    <definedName name="AppxE_DEOK_WP">'Appx E - Workpaper'!$A$1:$M$66</definedName>
    <definedName name="DEK_1of6">DEK!$A$1:$J$56</definedName>
    <definedName name="DEK_2of6">DEK!$A$57:$J$116</definedName>
    <definedName name="DEK_3of6">DEK!$A$117:$J$186</definedName>
    <definedName name="DEK_4of6">DEK!$A$187:$L$262</definedName>
    <definedName name="DEK_5of6">DEK!$A$263:$L$324</definedName>
    <definedName name="DEK_6of6">DEK!$A$325:$L$351</definedName>
    <definedName name="DEO_1of6">DEO!$A$1:$J$56</definedName>
    <definedName name="DEO_2of6">DEO!$A$57:$J$116</definedName>
    <definedName name="DEO_3of6">DEO!$A$117:$J$186</definedName>
    <definedName name="DEO_4of6">DEO!$A$187:$L$262</definedName>
    <definedName name="DEO_5of6">DEO!$A$263:$L$324</definedName>
    <definedName name="DEO_6of6">DEO!$A$325:$L$351</definedName>
    <definedName name="DEOK_1of6">'DE Ohio &amp; Kentucky'!$A$1:$J$57</definedName>
    <definedName name="DEOK_2of6">'DE Ohio &amp; Kentucky'!$A$58:$J$116</definedName>
    <definedName name="DEOK_3of6">'DE Ohio &amp; Kentucky'!$A$118:$J$187</definedName>
    <definedName name="DEOK_4of6">'DE Ohio &amp; Kentucky'!$A$188:$L$263</definedName>
    <definedName name="DEOK_5of6">'DE Ohio &amp; Kentucky'!$A$264:$L$324</definedName>
    <definedName name="DEOK_6of6">'DE Ohio &amp; Kentucky'!$A$326:$L$351</definedName>
    <definedName name="FERCrefund">'Appx E'!$G$33</definedName>
    <definedName name="FIT">INPUT!$C$86</definedName>
    <definedName name="PeakKW_DEK">'P10 Partner KW'!$B$16:$M$16</definedName>
    <definedName name="PeakKW_DEO">'P10 Partner KW'!$B$18:$M$18</definedName>
    <definedName name="PeakKW_DEOK">'P10 Partner KW'!$B$13:$M$13</definedName>
    <definedName name="PG1_Support_Corrections" localSheetId="26">#REF!</definedName>
    <definedName name="PG1_Support_Corrections">'P11 Salaries and Wages'!$A$1:$E$45</definedName>
    <definedName name="PG1_Support_KW">'P10 Partner KW'!$A$1:$O$22</definedName>
    <definedName name="PG2_Support_FAS106">'P1 ADIT 190 &amp; 282'!$A$1:$F$45</definedName>
    <definedName name="PG2_Support_LandHeld">'P3 Land Held for Future Use'!$A$1:$D$34</definedName>
    <definedName name="PG2_Support_MS">'P2 Allocate M&amp;S'!$A$1:$H$39</definedName>
    <definedName name="PG3_Support_Adv">'P4 Advertising - EPRI Adj.'!$A$1:$E$30</definedName>
    <definedName name="PG3_Support_BAcosts" localSheetId="26">'P11 Salaries and Wages'!$A$1:$E$35</definedName>
    <definedName name="PG3_Support_BAcosts">'P5 Schedule 1 Charges acct 561'!$A$1:$E$42</definedName>
    <definedName name="PG3_Support_StateTax">'P6 Statetax'!$A$1:$E$18</definedName>
    <definedName name="PG4_Support_Ancillary">'P7 Trans Plant In OATT'!$A$1:$D$18</definedName>
    <definedName name="PG4_Support_CapStructure">'P9 Capital Structure - Confiden'!$A$1:$J$56</definedName>
    <definedName name="PG4_Support_RevCr">'P8 Rev Cred Support'!$A$1:$F$51</definedName>
    <definedName name="_xlnm.Print_Area" localSheetId="8">'Appx B - DEK(RTEP)'!$K$49:$X$100</definedName>
    <definedName name="_xlnm.Print_Area" localSheetId="7">'Appx B - DEO(RTEP)'!$K$49:$X$100</definedName>
    <definedName name="_xlnm.Print_Area" localSheetId="6">'Appx B - DEOK(RTEP)'!$K$49:$X$100</definedName>
    <definedName name="_xlnm.Print_Area" localSheetId="11">'Appx C - DEK(MTEP)'!$K$49:$X$100</definedName>
    <definedName name="_xlnm.Print_Area" localSheetId="10">'Appx C - DEO(MTEP)'!$K$49:$X$100</definedName>
    <definedName name="_xlnm.Print_Area" localSheetId="9">'Appx C - DEOK(MTEP)'!$K$49:$X$100</definedName>
    <definedName name="_xlnm.Print_Area" localSheetId="13">'Appx D DEK'!$A$1:$G$30</definedName>
    <definedName name="_xlnm.Print_Area" localSheetId="12">'Appx D DEO'!$A$1:$G$67</definedName>
    <definedName name="_xlnm.Print_Area" localSheetId="14">'Appx E'!$A$1:$G$48</definedName>
    <definedName name="_xlnm.Print_Area" localSheetId="15">'Appx E - Workpaper'!$A$1:$M$66</definedName>
    <definedName name="_xlnm.Print_Area" localSheetId="2">'DE Ohio &amp; Kentucky'!$A$326:$L$351</definedName>
    <definedName name="_xlnm.Print_Area" localSheetId="4">DEK!$A$325:$L$351</definedName>
    <definedName name="_xlnm.Print_Area" localSheetId="3">DEO!$A$325:$L$351</definedName>
    <definedName name="_xlnm.Print_Area" localSheetId="1">INPUT!$A$1:$F$161</definedName>
    <definedName name="_xlnm.Print_Area" localSheetId="16">'P1 ADIT 190 &amp; 282'!$A$1:$F$45</definedName>
    <definedName name="_xlnm.Print_Area" localSheetId="25">'P10 Partner KW'!$A$1:$O$22</definedName>
    <definedName name="_xlnm.Print_Area" localSheetId="26">'P11 Salaries and Wages'!$A$1:$E$45</definedName>
    <definedName name="_xlnm.Print_Area" localSheetId="17">'P2 Allocate M&amp;S'!$A$1:$H$39</definedName>
    <definedName name="_xlnm.Print_Area" localSheetId="18">'P3 Land Held for Future Use'!$A$1:$D$34</definedName>
    <definedName name="_xlnm.Print_Area" localSheetId="19">'P4 Advertising - EPRI Adj.'!$A$1:$E$30</definedName>
    <definedName name="_xlnm.Print_Area" localSheetId="20">'P5 Schedule 1 Charges acct 561'!$A$1:$E$42</definedName>
    <definedName name="_xlnm.Print_Area" localSheetId="21">'P6 Statetax'!$A$1:$E$18</definedName>
    <definedName name="_xlnm.Print_Area" localSheetId="22">'P7 Trans Plant In OATT'!$A$1:$D$18</definedName>
    <definedName name="_xlnm.Print_Area" localSheetId="23">'P8 Rev Cred Support'!$A$1:$F$51</definedName>
    <definedName name="_xlnm.Print_Area" localSheetId="24">'P9 Capital Structure - Confiden'!$A$1:$J$56</definedName>
    <definedName name="_xlnm.Print_Area" localSheetId="5">'Sch 1A - Appx A'!$A$1:$H$40</definedName>
    <definedName name="_xlnm.Print_Titles" localSheetId="1">INPUT!$A:$B,INPUT!$1:$6</definedName>
    <definedName name="ROE">INPUT!$C$146</definedName>
    <definedName name="SCH_1A">'Sch 1A - Appx A'!$A$1:$H$40</definedName>
    <definedName name="Workpaper">INPUT!$E$1</definedName>
  </definedNames>
  <calcPr calcId="145621"/>
</workbook>
</file>

<file path=xl/calcChain.xml><?xml version="1.0" encoding="utf-8"?>
<calcChain xmlns="http://schemas.openxmlformats.org/spreadsheetml/2006/main">
  <c r="D107" i="67" l="1"/>
  <c r="C107" i="67"/>
  <c r="D106" i="67"/>
  <c r="C106" i="67"/>
  <c r="D105" i="67"/>
  <c r="C105" i="67"/>
  <c r="D108" i="67"/>
  <c r="C108" i="67"/>
  <c r="D42" i="68"/>
  <c r="D34" i="68"/>
  <c r="D25" i="68"/>
  <c r="C42" i="68"/>
  <c r="C34" i="68"/>
  <c r="C25" i="68"/>
  <c r="D40" i="68"/>
  <c r="C40" i="68"/>
  <c r="E40" i="68" s="1"/>
  <c r="E38" i="68"/>
  <c r="E42" i="68" l="1"/>
  <c r="E4" i="68"/>
  <c r="E32" i="68"/>
  <c r="E23" i="68"/>
  <c r="E14" i="68"/>
  <c r="D16" i="68"/>
  <c r="A1" i="68"/>
  <c r="D14" i="9"/>
  <c r="C14" i="9"/>
  <c r="C16" i="68" l="1"/>
  <c r="E21" i="68"/>
  <c r="E30" i="68"/>
  <c r="E12" i="68"/>
  <c r="E25" i="68" l="1"/>
  <c r="E16" i="68"/>
  <c r="E34" i="68"/>
  <c r="E39" i="20"/>
  <c r="C29" i="20" l="1"/>
  <c r="E29" i="20"/>
  <c r="G21" i="61" l="1"/>
  <c r="H21" i="26" l="1"/>
  <c r="D39" i="22" l="1"/>
  <c r="D27" i="22"/>
  <c r="D14" i="22"/>
  <c r="C130" i="67" l="1"/>
  <c r="C119" i="67"/>
  <c r="C100" i="67" l="1"/>
  <c r="C75" i="67"/>
  <c r="C69" i="67"/>
  <c r="C52" i="67"/>
  <c r="C20" i="67"/>
  <c r="C13" i="67"/>
  <c r="C12" i="67"/>
  <c r="D119" i="67" l="1"/>
  <c r="D130" i="67"/>
  <c r="D100" i="67"/>
  <c r="D78" i="67"/>
  <c r="D75" i="67"/>
  <c r="D70" i="67"/>
  <c r="D69" i="67"/>
  <c r="D13" i="67" l="1"/>
  <c r="D17" i="67"/>
  <c r="D12" i="67"/>
  <c r="D20" i="67"/>
  <c r="C15" i="9" l="1"/>
  <c r="E15" i="9" s="1"/>
  <c r="C56" i="67" l="1"/>
  <c r="D56" i="67"/>
  <c r="E39" i="22" l="1"/>
  <c r="E27" i="22"/>
  <c r="E14" i="22"/>
  <c r="H41" i="26" l="1"/>
  <c r="H31" i="26"/>
  <c r="H32" i="26"/>
  <c r="H33" i="26"/>
  <c r="H34" i="26"/>
  <c r="H35" i="26"/>
  <c r="H36" i="26"/>
  <c r="H37" i="26"/>
  <c r="H38" i="26"/>
  <c r="H39" i="26"/>
  <c r="H45" i="26"/>
  <c r="H44" i="26"/>
  <c r="H43" i="26"/>
  <c r="H42" i="26"/>
  <c r="H30" i="26"/>
  <c r="H28" i="26"/>
  <c r="H23" i="26"/>
  <c r="H22" i="26"/>
  <c r="H20" i="26"/>
  <c r="H17" i="26"/>
  <c r="F46" i="26"/>
  <c r="D46" i="26"/>
  <c r="B46" i="26"/>
  <c r="H46" i="26" l="1"/>
  <c r="C124" i="67" s="1"/>
  <c r="B24" i="26" l="1"/>
  <c r="D24" i="26"/>
  <c r="F24" i="26"/>
  <c r="H24" i="26"/>
  <c r="D17" i="22"/>
  <c r="D26" i="26" l="1"/>
  <c r="D50" i="26" s="1"/>
  <c r="D49" i="26"/>
  <c r="H26" i="26"/>
  <c r="H50" i="26" s="1"/>
  <c r="H49" i="26"/>
  <c r="F49" i="26"/>
  <c r="F26" i="26"/>
  <c r="F50" i="26" s="1"/>
  <c r="B26" i="26"/>
  <c r="B50" i="26" s="1"/>
  <c r="B49" i="26"/>
  <c r="I24" i="26" l="1"/>
  <c r="I46" i="26"/>
  <c r="I26" i="26"/>
  <c r="I47" i="26"/>
  <c r="C24" i="26"/>
  <c r="C46" i="26"/>
  <c r="C26" i="26"/>
  <c r="C47" i="26"/>
  <c r="E30" i="22"/>
  <c r="D30" i="22"/>
  <c r="C13" i="37" l="1"/>
  <c r="C16" i="9" l="1"/>
  <c r="D16" i="9"/>
  <c r="E17" i="9" l="1"/>
  <c r="C24" i="19" l="1"/>
  <c r="F46" i="20" l="1"/>
  <c r="I57" i="62" l="1"/>
  <c r="E51" i="62" l="1"/>
  <c r="C51" i="62"/>
  <c r="F43" i="22" l="1"/>
  <c r="F42" i="22"/>
  <c r="E45" i="22"/>
  <c r="D35" i="67" s="1"/>
  <c r="E33" i="22"/>
  <c r="E21" i="22"/>
  <c r="F18" i="22"/>
  <c r="F17" i="22"/>
  <c r="D33" i="22"/>
  <c r="F30" i="22"/>
  <c r="D21" i="22"/>
  <c r="D45" i="22" l="1"/>
  <c r="F39" i="22"/>
  <c r="F45" i="22" s="1"/>
  <c r="G40" i="62"/>
  <c r="G41" i="62"/>
  <c r="G42" i="62"/>
  <c r="G43" i="62"/>
  <c r="G39" i="62"/>
  <c r="G30" i="62"/>
  <c r="G31" i="62"/>
  <c r="G32" i="62"/>
  <c r="G33" i="62"/>
  <c r="G34" i="62"/>
  <c r="G35" i="62"/>
  <c r="G36" i="62"/>
  <c r="C35" i="67" l="1"/>
  <c r="G51" i="62"/>
  <c r="E19" i="9" l="1"/>
  <c r="E16" i="9" l="1"/>
  <c r="E18" i="9"/>
  <c r="E20" i="9"/>
  <c r="I31" i="62" l="1"/>
  <c r="I43" i="62"/>
  <c r="I42" i="62"/>
  <c r="I41" i="62"/>
  <c r="I40" i="62"/>
  <c r="I39" i="62"/>
  <c r="D141" i="2" l="1"/>
  <c r="E59" i="67" l="1"/>
  <c r="J33" i="4" l="1"/>
  <c r="E48" i="20" l="1"/>
  <c r="F36" i="20"/>
  <c r="F37" i="20"/>
  <c r="F38" i="20"/>
  <c r="F39" i="20"/>
  <c r="F40" i="20"/>
  <c r="F41" i="20"/>
  <c r="F42" i="20"/>
  <c r="F43" i="20"/>
  <c r="F44" i="20"/>
  <c r="F45" i="20"/>
  <c r="F47" i="20"/>
  <c r="C48" i="20"/>
  <c r="E32" i="20"/>
  <c r="C32" i="20"/>
  <c r="D24" i="19"/>
  <c r="D26" i="19" s="1"/>
  <c r="C26" i="19"/>
  <c r="E23" i="19"/>
  <c r="E22" i="19"/>
  <c r="E21" i="19"/>
  <c r="E20" i="19"/>
  <c r="C30" i="19" l="1"/>
  <c r="C50" i="20"/>
  <c r="C144" i="67" s="1"/>
  <c r="E24" i="19"/>
  <c r="E50" i="20"/>
  <c r="D144" i="67" s="1"/>
  <c r="I32" i="62" l="1"/>
  <c r="I33" i="62"/>
  <c r="I34" i="62"/>
  <c r="I35" i="62"/>
  <c r="I36" i="62"/>
  <c r="I30" i="62"/>
  <c r="K29" i="62"/>
  <c r="G29" i="62"/>
  <c r="G28" i="62"/>
  <c r="K28" i="62" s="1"/>
  <c r="G27" i="62"/>
  <c r="K27" i="62" s="1"/>
  <c r="G26" i="62"/>
  <c r="K26" i="62" s="1"/>
  <c r="K25" i="62"/>
  <c r="G25" i="62"/>
  <c r="G22" i="62"/>
  <c r="K22" i="62" s="1"/>
  <c r="K21" i="62"/>
  <c r="G21" i="62"/>
  <c r="G20" i="62"/>
  <c r="K20" i="62" s="1"/>
  <c r="K19" i="62"/>
  <c r="G19" i="62"/>
  <c r="G18" i="62"/>
  <c r="K18" i="62" s="1"/>
  <c r="K17" i="62"/>
  <c r="G17" i="62"/>
  <c r="G16" i="62"/>
  <c r="K16" i="62" s="1"/>
  <c r="K15" i="62"/>
  <c r="G15" i="62"/>
  <c r="G14" i="62"/>
  <c r="K14" i="62" s="1"/>
  <c r="K13" i="62"/>
  <c r="G13" i="62"/>
  <c r="G12" i="62"/>
  <c r="K12" i="62" s="1"/>
  <c r="K11" i="62"/>
  <c r="M11" i="62" s="1"/>
  <c r="M12" i="62" s="1"/>
  <c r="M13" i="62" s="1"/>
  <c r="M14" i="62" s="1"/>
  <c r="M15" i="62" s="1"/>
  <c r="M16" i="62" s="1"/>
  <c r="M17" i="62" s="1"/>
  <c r="M18" i="62" s="1"/>
  <c r="M19" i="62" s="1"/>
  <c r="M20" i="62" s="1"/>
  <c r="M21" i="62" s="1"/>
  <c r="M22" i="62" s="1"/>
  <c r="G11" i="62"/>
  <c r="M25" i="62" l="1"/>
  <c r="M26" i="62" s="1"/>
  <c r="M27" i="62" s="1"/>
  <c r="M28" i="62" s="1"/>
  <c r="M29" i="62" s="1"/>
  <c r="K42" i="62"/>
  <c r="K31" i="62"/>
  <c r="K35" i="62"/>
  <c r="K36" i="62"/>
  <c r="K40" i="62"/>
  <c r="K33" i="62"/>
  <c r="K30" i="62"/>
  <c r="K43" i="62"/>
  <c r="K39" i="62"/>
  <c r="K34" i="62"/>
  <c r="K41" i="62"/>
  <c r="K32" i="62"/>
  <c r="J25" i="4"/>
  <c r="M30" i="62" l="1"/>
  <c r="M31" i="62" s="1"/>
  <c r="M32" i="62" s="1"/>
  <c r="M33" i="62" s="1"/>
  <c r="M34" i="62" s="1"/>
  <c r="M35" i="62" s="1"/>
  <c r="M36" i="62" s="1"/>
  <c r="D13" i="37"/>
  <c r="M39" i="62" l="1"/>
  <c r="M40" i="62" s="1"/>
  <c r="M41" i="62" s="1"/>
  <c r="M42" i="62" s="1"/>
  <c r="M43" i="62" s="1"/>
  <c r="I45" i="62" l="1"/>
  <c r="I49" i="62"/>
  <c r="K49" i="62" s="1"/>
  <c r="I50" i="62"/>
  <c r="I48" i="62"/>
  <c r="I46" i="62"/>
  <c r="K46" i="62" s="1"/>
  <c r="I47" i="62"/>
  <c r="K47" i="62" s="1"/>
  <c r="I44" i="62"/>
  <c r="I55" i="62"/>
  <c r="K55" i="62" s="1"/>
  <c r="K45" i="62"/>
  <c r="I54" i="62"/>
  <c r="K54" i="62" s="1"/>
  <c r="K48" i="62"/>
  <c r="K44" i="62"/>
  <c r="M44" i="62" s="1"/>
  <c r="K57" i="62"/>
  <c r="I53" i="62"/>
  <c r="K53" i="62" s="1"/>
  <c r="I56" i="62"/>
  <c r="K56" i="62" s="1"/>
  <c r="K50" i="62"/>
  <c r="E304" i="2"/>
  <c r="I51" i="62" l="1"/>
  <c r="M45" i="62"/>
  <c r="M46" i="62" s="1"/>
  <c r="M47" i="62" s="1"/>
  <c r="M48" i="62" s="1"/>
  <c r="M49" i="62" s="1"/>
  <c r="M50" i="62" s="1"/>
  <c r="D245" i="1"/>
  <c r="D243" i="1"/>
  <c r="D242" i="1"/>
  <c r="D241" i="1"/>
  <c r="D240" i="1"/>
  <c r="D237" i="1"/>
  <c r="D235" i="1"/>
  <c r="D231" i="1"/>
  <c r="D230" i="1"/>
  <c r="D229" i="1"/>
  <c r="D223" i="1"/>
  <c r="D222" i="1"/>
  <c r="D221" i="1"/>
  <c r="D178" i="1"/>
  <c r="D174" i="1"/>
  <c r="D153" i="1"/>
  <c r="D152" i="1"/>
  <c r="D151" i="1"/>
  <c r="D141" i="1"/>
  <c r="D140" i="1"/>
  <c r="D139" i="1"/>
  <c r="D138" i="1"/>
  <c r="D137" i="1"/>
  <c r="D136" i="1"/>
  <c r="D135" i="1"/>
  <c r="D134" i="1"/>
  <c r="D111" i="1"/>
  <c r="D110" i="1"/>
  <c r="D109" i="1"/>
  <c r="D106" i="1"/>
  <c r="D103" i="1"/>
  <c r="D102" i="1"/>
  <c r="D101" i="1"/>
  <c r="D100" i="1"/>
  <c r="D99" i="1"/>
  <c r="D95" i="1"/>
  <c r="D94" i="1"/>
  <c r="D93" i="1"/>
  <c r="D92" i="1"/>
  <c r="D91" i="1"/>
  <c r="D87" i="1"/>
  <c r="D86" i="1"/>
  <c r="D85" i="1"/>
  <c r="D84" i="1"/>
  <c r="D83" i="1"/>
  <c r="D79" i="1"/>
  <c r="D78" i="1"/>
  <c r="D77" i="1"/>
  <c r="D76" i="1"/>
  <c r="D75" i="1"/>
  <c r="D55" i="1"/>
  <c r="D53" i="1"/>
  <c r="D51" i="1"/>
  <c r="D47" i="1"/>
  <c r="D45" i="1"/>
  <c r="D43" i="1"/>
  <c r="D41" i="1"/>
  <c r="D28" i="1"/>
  <c r="D20" i="1"/>
  <c r="D19" i="1"/>
  <c r="D243" i="2"/>
  <c r="D242" i="2"/>
  <c r="D241" i="2"/>
  <c r="D240" i="2"/>
  <c r="D237" i="2"/>
  <c r="D235" i="2"/>
  <c r="D231" i="2"/>
  <c r="D230" i="2"/>
  <c r="D229" i="2"/>
  <c r="D224" i="2"/>
  <c r="D223" i="2"/>
  <c r="D222" i="2"/>
  <c r="D221" i="2"/>
  <c r="D178" i="2"/>
  <c r="D174" i="2"/>
  <c r="D153" i="2"/>
  <c r="D152" i="2"/>
  <c r="D151" i="2"/>
  <c r="D140" i="2"/>
  <c r="D139" i="2"/>
  <c r="D138" i="2"/>
  <c r="D137" i="2"/>
  <c r="D136" i="2"/>
  <c r="D135" i="2"/>
  <c r="D134" i="2"/>
  <c r="D111" i="2"/>
  <c r="D110" i="2"/>
  <c r="D109" i="2"/>
  <c r="D106" i="2"/>
  <c r="D103" i="2"/>
  <c r="D102" i="2"/>
  <c r="D101" i="2"/>
  <c r="D100" i="2"/>
  <c r="D99" i="2"/>
  <c r="D95" i="2"/>
  <c r="D94" i="2"/>
  <c r="D93" i="2"/>
  <c r="D92" i="2"/>
  <c r="D91" i="2"/>
  <c r="D87" i="2"/>
  <c r="D86" i="2"/>
  <c r="D85" i="2"/>
  <c r="D84" i="2"/>
  <c r="D83" i="2"/>
  <c r="D79" i="2"/>
  <c r="D78" i="2"/>
  <c r="D77" i="2"/>
  <c r="D76" i="2"/>
  <c r="D75" i="2"/>
  <c r="D55" i="2"/>
  <c r="D53" i="2"/>
  <c r="D51" i="2"/>
  <c r="D47" i="2"/>
  <c r="D45" i="2"/>
  <c r="D43" i="2"/>
  <c r="D41" i="2"/>
  <c r="D28" i="2"/>
  <c r="D20" i="2"/>
  <c r="D19" i="2"/>
  <c r="M53" i="62" l="1"/>
  <c r="M54" i="62" s="1"/>
  <c r="M55" i="62" s="1"/>
  <c r="M56" i="62" s="1"/>
  <c r="M57" i="62" s="1"/>
  <c r="O4" i="13"/>
  <c r="I4" i="26"/>
  <c r="F4" i="20"/>
  <c r="D4" i="37"/>
  <c r="D4" i="5"/>
  <c r="E4" i="9"/>
  <c r="E4" i="19"/>
  <c r="D4" i="32"/>
  <c r="H4" i="12"/>
  <c r="F4" i="22"/>
  <c r="C36" i="67" l="1"/>
  <c r="C34" i="67"/>
  <c r="D34" i="67"/>
  <c r="E10" i="67"/>
  <c r="E11" i="67"/>
  <c r="C18" i="37"/>
  <c r="B18" i="37"/>
  <c r="E37" i="62" l="1"/>
  <c r="C37" i="62"/>
  <c r="C15" i="62"/>
  <c r="C14" i="62"/>
  <c r="C13" i="62"/>
  <c r="C12" i="62"/>
  <c r="C11" i="62"/>
  <c r="C23" i="62" s="1"/>
  <c r="G25" i="50" l="1"/>
  <c r="E159" i="67"/>
  <c r="E158" i="67"/>
  <c r="D36" i="67" l="1"/>
  <c r="F31" i="22" l="1"/>
  <c r="F19" i="22"/>
  <c r="E23" i="62" l="1"/>
  <c r="D12" i="9" l="1"/>
  <c r="C12" i="9"/>
  <c r="D28" i="9"/>
  <c r="C28" i="9"/>
  <c r="C23" i="9" l="1"/>
  <c r="D23" i="9"/>
  <c r="D25" i="50"/>
  <c r="B2" i="67"/>
  <c r="J7" i="4"/>
  <c r="A7" i="13" s="1"/>
  <c r="H248" i="1"/>
  <c r="H248" i="2"/>
  <c r="H249" i="4"/>
  <c r="D146" i="67"/>
  <c r="E146" i="67" s="1"/>
  <c r="E139" i="67" l="1"/>
  <c r="E138" i="67"/>
  <c r="E131" i="67"/>
  <c r="E126" i="67"/>
  <c r="E125" i="67"/>
  <c r="E121" i="67"/>
  <c r="E115" i="67"/>
  <c r="E114" i="67"/>
  <c r="E113" i="67"/>
  <c r="E107" i="67"/>
  <c r="E106" i="67"/>
  <c r="E105" i="67"/>
  <c r="E95" i="67"/>
  <c r="E91" i="67"/>
  <c r="E81" i="67"/>
  <c r="E80" i="67"/>
  <c r="E79" i="67"/>
  <c r="E77" i="67"/>
  <c r="E76" i="67"/>
  <c r="E70" i="67"/>
  <c r="E69" i="67"/>
  <c r="E68" i="67"/>
  <c r="E64" i="67"/>
  <c r="E63" i="67"/>
  <c r="E62" i="67"/>
  <c r="E60" i="67"/>
  <c r="E58" i="67"/>
  <c r="E57" i="67"/>
  <c r="E56" i="67"/>
  <c r="E54" i="67"/>
  <c r="E45" i="67"/>
  <c r="E37" i="67"/>
  <c r="E33" i="67"/>
  <c r="E21" i="67"/>
  <c r="E20" i="67"/>
  <c r="E19" i="67"/>
  <c r="E18" i="67"/>
  <c r="E9" i="67"/>
  <c r="E247" i="1"/>
  <c r="E246" i="1"/>
  <c r="J242" i="1"/>
  <c r="J241" i="1"/>
  <c r="J240" i="1"/>
  <c r="J237" i="1"/>
  <c r="E230" i="1"/>
  <c r="E231" i="1"/>
  <c r="E229" i="1"/>
  <c r="E222" i="1"/>
  <c r="E223" i="1"/>
  <c r="E221" i="1"/>
  <c r="J203" i="1"/>
  <c r="J203" i="2"/>
  <c r="E174" i="1"/>
  <c r="E164" i="1"/>
  <c r="E163" i="1"/>
  <c r="E162" i="1"/>
  <c r="E159" i="1"/>
  <c r="E152" i="1"/>
  <c r="E153" i="1"/>
  <c r="E151" i="1"/>
  <c r="E139" i="1"/>
  <c r="E140" i="1"/>
  <c r="E141" i="1"/>
  <c r="E143" i="1"/>
  <c r="E145" i="1"/>
  <c r="E146" i="1"/>
  <c r="E147" i="1"/>
  <c r="E137" i="1"/>
  <c r="E111" i="1"/>
  <c r="E101" i="1"/>
  <c r="E103" i="1"/>
  <c r="E99" i="1"/>
  <c r="E87" i="1"/>
  <c r="E86" i="1"/>
  <c r="E85" i="1"/>
  <c r="E84" i="1"/>
  <c r="E76" i="1"/>
  <c r="E77" i="1"/>
  <c r="E75" i="1"/>
  <c r="E247" i="2"/>
  <c r="J241" i="2"/>
  <c r="J242" i="2"/>
  <c r="J237" i="2"/>
  <c r="E231" i="2"/>
  <c r="E230" i="2"/>
  <c r="E229" i="2"/>
  <c r="E222" i="2"/>
  <c r="E223" i="2"/>
  <c r="E221" i="2"/>
  <c r="E174" i="2"/>
  <c r="E304" i="1"/>
  <c r="D87" i="67"/>
  <c r="C87" i="67"/>
  <c r="E305" i="2" l="1"/>
  <c r="E305" i="1"/>
  <c r="E169" i="1" s="1"/>
  <c r="E164" i="2"/>
  <c r="E163" i="2"/>
  <c r="E162" i="2"/>
  <c r="E159" i="2"/>
  <c r="E153" i="2"/>
  <c r="E152" i="2"/>
  <c r="E151" i="2"/>
  <c r="E146" i="2"/>
  <c r="E147" i="2"/>
  <c r="E145" i="2"/>
  <c r="E140" i="2"/>
  <c r="E141" i="2"/>
  <c r="E142" i="4" s="1"/>
  <c r="E143" i="2"/>
  <c r="E139" i="2"/>
  <c r="E137" i="2"/>
  <c r="E111" i="2"/>
  <c r="E103" i="2"/>
  <c r="E99" i="2"/>
  <c r="E84" i="2"/>
  <c r="E85" i="2"/>
  <c r="E86" i="2"/>
  <c r="E87" i="2"/>
  <c r="E76" i="2"/>
  <c r="E77" i="2"/>
  <c r="E75" i="2"/>
  <c r="E86" i="67"/>
  <c r="D89" i="67"/>
  <c r="C89" i="67"/>
  <c r="D127" i="67"/>
  <c r="D40" i="67"/>
  <c r="D116" i="67"/>
  <c r="D71" i="67"/>
  <c r="D27" i="67"/>
  <c r="D26" i="67"/>
  <c r="C116" i="67"/>
  <c r="C71" i="67"/>
  <c r="A70" i="67"/>
  <c r="A68" i="67"/>
  <c r="B63" i="67"/>
  <c r="E101" i="2"/>
  <c r="C27" i="67"/>
  <c r="C26" i="67"/>
  <c r="A21" i="67"/>
  <c r="A29" i="67" s="1"/>
  <c r="A20" i="67"/>
  <c r="A28" i="67" s="1"/>
  <c r="A19" i="67"/>
  <c r="A27" i="67" s="1"/>
  <c r="A18" i="67"/>
  <c r="A26" i="67" s="1"/>
  <c r="A17" i="67"/>
  <c r="A25" i="67" s="1"/>
  <c r="D132" i="67" l="1"/>
  <c r="E305" i="4"/>
  <c r="C29" i="67"/>
  <c r="E130" i="67"/>
  <c r="E246" i="2"/>
  <c r="J235" i="1"/>
  <c r="E119" i="67"/>
  <c r="E26" i="67"/>
  <c r="E71" i="67"/>
  <c r="E116" i="67"/>
  <c r="E135" i="2"/>
  <c r="C28" i="67"/>
  <c r="D22" i="67"/>
  <c r="E17" i="67"/>
  <c r="E83" i="1"/>
  <c r="E136" i="1"/>
  <c r="E53" i="67"/>
  <c r="D109" i="67"/>
  <c r="E108" i="67"/>
  <c r="E224" i="1"/>
  <c r="E161" i="2"/>
  <c r="C22" i="67"/>
  <c r="C109" i="67"/>
  <c r="E224" i="2"/>
  <c r="E13" i="67"/>
  <c r="E79" i="1"/>
  <c r="E135" i="1"/>
  <c r="E52" i="67"/>
  <c r="E161" i="1"/>
  <c r="E78" i="67"/>
  <c r="E78" i="2"/>
  <c r="E35" i="67"/>
  <c r="D28" i="67"/>
  <c r="E78" i="1"/>
  <c r="E12" i="67"/>
  <c r="E75" i="67"/>
  <c r="E158" i="1"/>
  <c r="J235" i="2"/>
  <c r="E27" i="67"/>
  <c r="E79" i="2"/>
  <c r="E83" i="2"/>
  <c r="E136" i="2"/>
  <c r="E158" i="2"/>
  <c r="E134" i="2"/>
  <c r="E106" i="1"/>
  <c r="E134" i="1"/>
  <c r="E51" i="67"/>
  <c r="D25" i="67"/>
  <c r="D82" i="67"/>
  <c r="C82" i="67"/>
  <c r="D14" i="67"/>
  <c r="C25" i="67"/>
  <c r="D29" i="67"/>
  <c r="C14" i="67"/>
  <c r="E137" i="4" l="1"/>
  <c r="D133" i="67"/>
  <c r="C30" i="67"/>
  <c r="D30" i="67"/>
  <c r="E29" i="67"/>
  <c r="E14" i="67"/>
  <c r="E22" i="67"/>
  <c r="E28" i="67"/>
  <c r="E82" i="67"/>
  <c r="E25" i="67"/>
  <c r="E109" i="67"/>
  <c r="E30" i="67" l="1"/>
  <c r="E14" i="9"/>
  <c r="E138" i="1" l="1"/>
  <c r="E138" i="2"/>
  <c r="E55" i="67"/>
  <c r="J147" i="1" l="1"/>
  <c r="J147" i="2"/>
  <c r="J135" i="2" l="1"/>
  <c r="J135" i="1"/>
  <c r="A1" i="26" l="1"/>
  <c r="A1" i="13"/>
  <c r="A1" i="20"/>
  <c r="A1" i="37"/>
  <c r="A1" i="5"/>
  <c r="A1" i="9"/>
  <c r="A1" i="19"/>
  <c r="A1" i="32"/>
  <c r="A1" i="12"/>
  <c r="A336" i="4" l="1"/>
  <c r="A333" i="4"/>
  <c r="J332" i="4"/>
  <c r="J270" i="4"/>
  <c r="A271" i="4"/>
  <c r="E165" i="1" l="1"/>
  <c r="E165" i="2"/>
  <c r="F35" i="20" l="1"/>
  <c r="F31" i="20"/>
  <c r="F29" i="20"/>
  <c r="F22" i="20"/>
  <c r="F18" i="20"/>
  <c r="F16" i="20"/>
  <c r="F14" i="20"/>
  <c r="E20" i="20"/>
  <c r="D15" i="37"/>
  <c r="D16" i="37"/>
  <c r="D96" i="67"/>
  <c r="E28" i="9"/>
  <c r="E21" i="9"/>
  <c r="E12" i="9"/>
  <c r="E28" i="19"/>
  <c r="E18" i="19"/>
  <c r="E17" i="19"/>
  <c r="E16" i="19"/>
  <c r="E15" i="19"/>
  <c r="E14" i="19"/>
  <c r="B31" i="12"/>
  <c r="B32" i="12"/>
  <c r="B30" i="12"/>
  <c r="F27" i="22"/>
  <c r="F14" i="22"/>
  <c r="F33" i="22" l="1"/>
  <c r="F21" i="22"/>
  <c r="F48" i="20"/>
  <c r="F32" i="20"/>
  <c r="D142" i="67"/>
  <c r="E23" i="9"/>
  <c r="E26" i="19"/>
  <c r="E30" i="19" s="1"/>
  <c r="D30" i="19"/>
  <c r="J261" i="1"/>
  <c r="J204" i="1"/>
  <c r="E23" i="20"/>
  <c r="J259" i="1"/>
  <c r="B33" i="12"/>
  <c r="F50" i="20" l="1"/>
  <c r="C61" i="67"/>
  <c r="D61" i="67"/>
  <c r="D14" i="37"/>
  <c r="I58" i="62"/>
  <c r="K58" i="62"/>
  <c r="I37" i="62"/>
  <c r="A18" i="61"/>
  <c r="C65" i="67" l="1"/>
  <c r="E144" i="2"/>
  <c r="K51" i="62"/>
  <c r="D18" i="37"/>
  <c r="E144" i="1"/>
  <c r="D65" i="67"/>
  <c r="E61" i="67"/>
  <c r="K37" i="62"/>
  <c r="G37" i="62"/>
  <c r="K23" i="62"/>
  <c r="G23" i="62"/>
  <c r="A21" i="61"/>
  <c r="D18" i="13"/>
  <c r="E18" i="13"/>
  <c r="F18" i="13"/>
  <c r="H18" i="13"/>
  <c r="I18" i="13"/>
  <c r="J18" i="13"/>
  <c r="L18" i="13"/>
  <c r="M18" i="13"/>
  <c r="C18" i="13"/>
  <c r="G18" i="13"/>
  <c r="K18" i="13"/>
  <c r="B18" i="13"/>
  <c r="E65" i="67" l="1"/>
  <c r="A22" i="61"/>
  <c r="A23" i="61" l="1"/>
  <c r="A25" i="61" s="1"/>
  <c r="E140" i="4"/>
  <c r="E141" i="4"/>
  <c r="A28" i="61" l="1"/>
  <c r="A30" i="61"/>
  <c r="A33" i="61" l="1"/>
  <c r="A34" i="61" s="1"/>
  <c r="A36" i="61" s="1"/>
  <c r="J243" i="4"/>
  <c r="G22" i="1" l="1"/>
  <c r="G21" i="1"/>
  <c r="G20" i="1"/>
  <c r="G22" i="2"/>
  <c r="G21" i="2"/>
  <c r="G20" i="2"/>
  <c r="G22" i="4"/>
  <c r="G21" i="4"/>
  <c r="G20" i="4"/>
  <c r="A274" i="4" l="1"/>
  <c r="A198" i="4"/>
  <c r="A128" i="4"/>
  <c r="A68" i="4"/>
  <c r="J32" i="1" l="1"/>
  <c r="J32" i="2"/>
  <c r="K58" i="54" l="1"/>
  <c r="K58" i="53"/>
  <c r="K58" i="52"/>
  <c r="K58" i="41"/>
  <c r="K58" i="40"/>
  <c r="K58" i="42"/>
  <c r="W86" i="54"/>
  <c r="K57" i="54"/>
  <c r="K55" i="54"/>
  <c r="K54" i="54"/>
  <c r="I4" i="54"/>
  <c r="X52" i="54" s="1"/>
  <c r="W86" i="53"/>
  <c r="K57" i="53"/>
  <c r="K55" i="53"/>
  <c r="K54" i="53"/>
  <c r="I4" i="53"/>
  <c r="X52" i="53" s="1"/>
  <c r="W66" i="52"/>
  <c r="W86" i="52" s="1"/>
  <c r="U66" i="52"/>
  <c r="R66" i="52"/>
  <c r="O66" i="52"/>
  <c r="N66" i="52"/>
  <c r="M66" i="52"/>
  <c r="K57" i="52"/>
  <c r="K55" i="52"/>
  <c r="K54" i="52"/>
  <c r="I4" i="52"/>
  <c r="X52" i="52" s="1"/>
  <c r="E22" i="4" l="1"/>
  <c r="E21" i="4"/>
  <c r="J257" i="4"/>
  <c r="J256" i="4"/>
  <c r="E248" i="4"/>
  <c r="E247" i="4"/>
  <c r="J242" i="4"/>
  <c r="J238" i="4"/>
  <c r="J236" i="4"/>
  <c r="E232" i="4"/>
  <c r="E231" i="4"/>
  <c r="E230" i="4"/>
  <c r="E223" i="4"/>
  <c r="E224" i="4"/>
  <c r="E225" i="4"/>
  <c r="E222" i="4"/>
  <c r="J204" i="4"/>
  <c r="E175" i="4"/>
  <c r="E165" i="4"/>
  <c r="E164" i="4"/>
  <c r="E163" i="4"/>
  <c r="E162" i="4"/>
  <c r="E160" i="4"/>
  <c r="E159" i="4"/>
  <c r="E154" i="4"/>
  <c r="E153" i="4"/>
  <c r="E152" i="4"/>
  <c r="E136" i="4"/>
  <c r="J136" i="4" s="1"/>
  <c r="E138" i="4"/>
  <c r="E144" i="4"/>
  <c r="E145" i="4"/>
  <c r="E146" i="4"/>
  <c r="E147" i="4"/>
  <c r="E148" i="4"/>
  <c r="J148" i="4" s="1"/>
  <c r="E112" i="4"/>
  <c r="E104" i="4"/>
  <c r="E102" i="4"/>
  <c r="E100" i="4"/>
  <c r="E88" i="4"/>
  <c r="E87" i="4"/>
  <c r="E86" i="4"/>
  <c r="E85" i="4"/>
  <c r="E84" i="4"/>
  <c r="E77" i="4"/>
  <c r="E78" i="4"/>
  <c r="E79" i="4"/>
  <c r="E80" i="4"/>
  <c r="E76" i="4"/>
  <c r="G5" i="50"/>
  <c r="E92" i="4" l="1"/>
  <c r="E166" i="4"/>
  <c r="A8" i="1" l="1"/>
  <c r="A8" i="2"/>
  <c r="A195" i="4"/>
  <c r="A125" i="4"/>
  <c r="A65" i="4"/>
  <c r="A270" i="1" l="1"/>
  <c r="A332" i="1"/>
  <c r="A124" i="2"/>
  <c r="A332" i="2"/>
  <c r="A270" i="2"/>
  <c r="A194" i="1"/>
  <c r="A64" i="2"/>
  <c r="B25" i="50"/>
  <c r="B27" i="50" s="1"/>
  <c r="A124" i="1"/>
  <c r="A64" i="1"/>
  <c r="A194" i="2"/>
  <c r="E27" i="50" l="1"/>
  <c r="I4" i="41" l="1"/>
  <c r="I4" i="40"/>
  <c r="I4" i="42"/>
  <c r="E80" i="2"/>
  <c r="E88" i="2"/>
  <c r="E91" i="2"/>
  <c r="E92" i="2"/>
  <c r="E93" i="2"/>
  <c r="E94" i="2"/>
  <c r="E95" i="2"/>
  <c r="B25" i="12"/>
  <c r="B17" i="12"/>
  <c r="F20" i="20"/>
  <c r="C20" i="20"/>
  <c r="C23" i="20" l="1"/>
  <c r="F23" i="20"/>
  <c r="J261" i="2"/>
  <c r="J262" i="4" s="1"/>
  <c r="D16" i="12"/>
  <c r="D15" i="12"/>
  <c r="F15" i="12" s="1"/>
  <c r="D14" i="12"/>
  <c r="F14" i="12" s="1"/>
  <c r="D23" i="12"/>
  <c r="D24" i="12"/>
  <c r="D22" i="12"/>
  <c r="F22" i="12" s="1"/>
  <c r="E96" i="2"/>
  <c r="C142" i="67" l="1"/>
  <c r="J259" i="2"/>
  <c r="F16" i="12"/>
  <c r="E144" i="67"/>
  <c r="C44" i="67"/>
  <c r="F23" i="12"/>
  <c r="H23" i="12" s="1"/>
  <c r="F30" i="12"/>
  <c r="E20" i="2"/>
  <c r="H15" i="12"/>
  <c r="E20" i="1"/>
  <c r="E20" i="4"/>
  <c r="D25" i="12"/>
  <c r="D17" i="12"/>
  <c r="E142" i="67" l="1"/>
  <c r="E110" i="2"/>
  <c r="F24" i="12"/>
  <c r="F32" i="12" s="1"/>
  <c r="D44" i="67"/>
  <c r="F31" i="12"/>
  <c r="H31" i="12" s="1"/>
  <c r="E124" i="67"/>
  <c r="J240" i="2"/>
  <c r="J241" i="4" s="1"/>
  <c r="C127" i="67"/>
  <c r="F33" i="12" l="1"/>
  <c r="E44" i="67"/>
  <c r="E110" i="1"/>
  <c r="E111" i="4" s="1"/>
  <c r="E127" i="67"/>
  <c r="C132" i="67"/>
  <c r="C133" i="67" l="1"/>
  <c r="E132" i="67"/>
  <c r="J228" i="4"/>
  <c r="G164" i="4"/>
  <c r="D164" i="4"/>
  <c r="D160" i="4"/>
  <c r="D147" i="4"/>
  <c r="G146" i="4"/>
  <c r="J124" i="4"/>
  <c r="E5" i="68" s="1"/>
  <c r="G103" i="4"/>
  <c r="G88" i="4"/>
  <c r="G87" i="4"/>
  <c r="H86" i="4"/>
  <c r="G86" i="4"/>
  <c r="G85" i="4"/>
  <c r="H84" i="4"/>
  <c r="G84" i="4"/>
  <c r="G100" i="4" s="1"/>
  <c r="G163" i="4" s="1"/>
  <c r="J64" i="4"/>
  <c r="J257" i="1"/>
  <c r="J243" i="1"/>
  <c r="J227" i="1"/>
  <c r="G163" i="1"/>
  <c r="D163" i="1"/>
  <c r="G145" i="1"/>
  <c r="G102" i="1"/>
  <c r="G87" i="1"/>
  <c r="G86" i="1"/>
  <c r="H85" i="1"/>
  <c r="G85" i="1"/>
  <c r="G84" i="1"/>
  <c r="H83" i="1"/>
  <c r="G83" i="1"/>
  <c r="G99" i="1" s="1"/>
  <c r="G162" i="1" s="1"/>
  <c r="J7" i="1"/>
  <c r="J257" i="2"/>
  <c r="J243" i="2"/>
  <c r="J227" i="2"/>
  <c r="G163" i="2"/>
  <c r="G159" i="2"/>
  <c r="G145" i="2"/>
  <c r="G143" i="2"/>
  <c r="G144" i="2" s="1"/>
  <c r="G102" i="2"/>
  <c r="G87" i="2"/>
  <c r="G86" i="2"/>
  <c r="H85" i="2"/>
  <c r="G85" i="2"/>
  <c r="G84" i="2"/>
  <c r="H83" i="2"/>
  <c r="G83" i="2"/>
  <c r="G99" i="2" s="1"/>
  <c r="G162" i="2" s="1"/>
  <c r="J7" i="2"/>
  <c r="D146" i="2" l="1"/>
  <c r="D146" i="1"/>
  <c r="I5" i="26"/>
  <c r="E133" i="67"/>
  <c r="J269" i="1"/>
  <c r="J331" i="1"/>
  <c r="J193" i="2"/>
  <c r="J269" i="2"/>
  <c r="J331" i="2"/>
  <c r="F5" i="20"/>
  <c r="F5" i="22"/>
  <c r="D5" i="5"/>
  <c r="H5" i="12"/>
  <c r="D5" i="37"/>
  <c r="E5" i="19"/>
  <c r="D5" i="32"/>
  <c r="O5" i="13"/>
  <c r="E5" i="9"/>
  <c r="J123" i="2"/>
  <c r="J63" i="1"/>
  <c r="J123" i="1"/>
  <c r="J193" i="1"/>
  <c r="J63" i="2"/>
  <c r="O66" i="42" l="1"/>
  <c r="R66" i="42"/>
  <c r="U66" i="42"/>
  <c r="W66" i="42"/>
  <c r="W86" i="42" l="1"/>
  <c r="K57" i="42"/>
  <c r="K55" i="42"/>
  <c r="X52" i="42"/>
  <c r="K54" i="42"/>
  <c r="W86" i="41"/>
  <c r="K57" i="41"/>
  <c r="K55" i="41"/>
  <c r="X52" i="41"/>
  <c r="K54" i="41"/>
  <c r="W86" i="40"/>
  <c r="K57" i="40"/>
  <c r="K55" i="40"/>
  <c r="X52" i="40"/>
  <c r="K54" i="40"/>
  <c r="C96" i="67" l="1"/>
  <c r="C32" i="9"/>
  <c r="D14" i="32"/>
  <c r="D15" i="32"/>
  <c r="D16" i="32"/>
  <c r="B17" i="32"/>
  <c r="C40" i="67" s="1"/>
  <c r="D23" i="32"/>
  <c r="H223" i="1"/>
  <c r="H224" i="1"/>
  <c r="H221" i="2"/>
  <c r="H246" i="2"/>
  <c r="H247" i="2"/>
  <c r="J194" i="4"/>
  <c r="N16" i="13"/>
  <c r="E102" i="1" l="1"/>
  <c r="E40" i="67"/>
  <c r="E106" i="2"/>
  <c r="E107" i="4" s="1"/>
  <c r="E102" i="2"/>
  <c r="E36" i="67"/>
  <c r="J204" i="2"/>
  <c r="J205" i="4" s="1"/>
  <c r="E96" i="67"/>
  <c r="E39" i="9"/>
  <c r="E30" i="9"/>
  <c r="E148" i="2"/>
  <c r="C43" i="67" s="1"/>
  <c r="D32" i="9"/>
  <c r="B27" i="32"/>
  <c r="J211" i="2"/>
  <c r="J260" i="4"/>
  <c r="E139" i="4"/>
  <c r="C17" i="32"/>
  <c r="C27" i="32" s="1"/>
  <c r="O16" i="13"/>
  <c r="E19" i="2"/>
  <c r="E232" i="1"/>
  <c r="H229" i="1" s="1"/>
  <c r="E19" i="1"/>
  <c r="E225" i="1"/>
  <c r="E154" i="1"/>
  <c r="E232" i="2"/>
  <c r="E154" i="2"/>
  <c r="H246" i="1"/>
  <c r="E94" i="1"/>
  <c r="D17" i="32"/>
  <c r="E95" i="1"/>
  <c r="E225" i="2"/>
  <c r="J211" i="1"/>
  <c r="E88" i="1"/>
  <c r="J202" i="2"/>
  <c r="E93" i="1"/>
  <c r="H223" i="2"/>
  <c r="H247" i="1"/>
  <c r="H221" i="1"/>
  <c r="E92" i="1"/>
  <c r="J202" i="1"/>
  <c r="E80" i="1"/>
  <c r="E91" i="1"/>
  <c r="C46" i="67" l="1"/>
  <c r="D27" i="32"/>
  <c r="E32" i="9"/>
  <c r="D38" i="67"/>
  <c r="E148" i="1"/>
  <c r="E100" i="2"/>
  <c r="E104" i="2" s="1"/>
  <c r="C38" i="67"/>
  <c r="E103" i="4"/>
  <c r="E34" i="67"/>
  <c r="E100" i="1"/>
  <c r="E104" i="1" s="1"/>
  <c r="E135" i="4"/>
  <c r="E149" i="4" s="1"/>
  <c r="J33" i="1"/>
  <c r="E109" i="2"/>
  <c r="H229" i="2"/>
  <c r="E226" i="4"/>
  <c r="E95" i="4"/>
  <c r="N13" i="13"/>
  <c r="N18" i="13" s="1"/>
  <c r="H224" i="2"/>
  <c r="H222" i="4"/>
  <c r="J205" i="2"/>
  <c r="E19" i="4"/>
  <c r="E94" i="4"/>
  <c r="E96" i="1"/>
  <c r="J205" i="1"/>
  <c r="E155" i="4"/>
  <c r="E89" i="4"/>
  <c r="H225" i="4"/>
  <c r="H224" i="4"/>
  <c r="C48" i="67" l="1"/>
  <c r="E109" i="1"/>
  <c r="E110" i="4" s="1"/>
  <c r="D43" i="67"/>
  <c r="E38" i="67"/>
  <c r="E101" i="4"/>
  <c r="J212" i="4"/>
  <c r="E112" i="2"/>
  <c r="E114" i="2" s="1"/>
  <c r="E233" i="4"/>
  <c r="J203" i="4"/>
  <c r="E93" i="4"/>
  <c r="J207" i="2"/>
  <c r="E248" i="2"/>
  <c r="O13" i="13"/>
  <c r="O18" i="13" s="1"/>
  <c r="E248" i="1"/>
  <c r="J207" i="1"/>
  <c r="J24" i="1" s="1"/>
  <c r="E112" i="1" l="1"/>
  <c r="E114" i="1" s="1"/>
  <c r="D46" i="67"/>
  <c r="E43" i="67"/>
  <c r="H230" i="4"/>
  <c r="H22" i="1"/>
  <c r="H20" i="1"/>
  <c r="H21" i="1"/>
  <c r="H19" i="1"/>
  <c r="H21" i="2"/>
  <c r="H19" i="2"/>
  <c r="H22" i="2"/>
  <c r="H20" i="2"/>
  <c r="H247" i="4"/>
  <c r="E105" i="4"/>
  <c r="H151" i="2"/>
  <c r="J151" i="2" s="1"/>
  <c r="H151" i="1"/>
  <c r="J151" i="1" s="1"/>
  <c r="F222" i="1"/>
  <c r="J216" i="2"/>
  <c r="F222" i="2"/>
  <c r="H222" i="2" s="1"/>
  <c r="J206" i="4"/>
  <c r="E96" i="4"/>
  <c r="E81" i="4"/>
  <c r="H76" i="2"/>
  <c r="J76" i="2" s="1"/>
  <c r="G20" i="53" s="1"/>
  <c r="E249" i="2"/>
  <c r="J33" i="2"/>
  <c r="E249" i="1"/>
  <c r="H76" i="1"/>
  <c r="J76" i="1" s="1"/>
  <c r="G20" i="54" s="1"/>
  <c r="J216" i="1"/>
  <c r="D48" i="67" l="1"/>
  <c r="E46" i="67"/>
  <c r="J34" i="4"/>
  <c r="J244" i="4"/>
  <c r="J19" i="1"/>
  <c r="H84" i="2"/>
  <c r="J84" i="2" s="1"/>
  <c r="J92" i="2" s="1"/>
  <c r="G21" i="53" s="1"/>
  <c r="H84" i="1"/>
  <c r="J84" i="1" s="1"/>
  <c r="G20" i="41"/>
  <c r="J19" i="2"/>
  <c r="J208" i="4"/>
  <c r="E97" i="4"/>
  <c r="F247" i="2"/>
  <c r="J247" i="2" s="1"/>
  <c r="F248" i="2"/>
  <c r="J248" i="2" s="1"/>
  <c r="F246" i="2"/>
  <c r="J246" i="2" s="1"/>
  <c r="H222" i="1"/>
  <c r="F246" i="1"/>
  <c r="J246" i="1" s="1"/>
  <c r="F248" i="1"/>
  <c r="J248" i="1" s="1"/>
  <c r="F247" i="1"/>
  <c r="J247" i="1" s="1"/>
  <c r="H225" i="2"/>
  <c r="E48" i="67" l="1"/>
  <c r="E249" i="4"/>
  <c r="H21" i="4"/>
  <c r="H19" i="4"/>
  <c r="H22" i="4"/>
  <c r="H20" i="4"/>
  <c r="H152" i="4"/>
  <c r="J152" i="4" s="1"/>
  <c r="G20" i="40"/>
  <c r="J106" i="1"/>
  <c r="J92" i="1"/>
  <c r="J20" i="1"/>
  <c r="J20" i="2"/>
  <c r="J106" i="2"/>
  <c r="H77" i="4"/>
  <c r="F223" i="4"/>
  <c r="H223" i="4" s="1"/>
  <c r="J217" i="4"/>
  <c r="E113" i="4"/>
  <c r="E115" i="4" s="1"/>
  <c r="J225" i="2"/>
  <c r="H225" i="1"/>
  <c r="H141" i="2" l="1"/>
  <c r="J141" i="2" s="1"/>
  <c r="E250" i="4"/>
  <c r="F248" i="4" s="1"/>
  <c r="H139" i="2"/>
  <c r="J139" i="2" s="1"/>
  <c r="H140" i="2"/>
  <c r="J140" i="2" s="1"/>
  <c r="H152" i="2"/>
  <c r="J152" i="2" s="1"/>
  <c r="H138" i="2"/>
  <c r="J138" i="2" s="1"/>
  <c r="H158" i="2"/>
  <c r="J158" i="2" s="1"/>
  <c r="H143" i="2"/>
  <c r="J143" i="2" s="1"/>
  <c r="H159" i="2"/>
  <c r="J159" i="2" s="1"/>
  <c r="H144" i="2"/>
  <c r="J144" i="2" s="1"/>
  <c r="G21" i="41"/>
  <c r="G21" i="54"/>
  <c r="J22" i="1"/>
  <c r="J22" i="2"/>
  <c r="G21" i="40"/>
  <c r="J21" i="1"/>
  <c r="J21" i="2"/>
  <c r="H85" i="4"/>
  <c r="J77" i="4"/>
  <c r="J19" i="4"/>
  <c r="J249" i="2"/>
  <c r="E180" i="2" s="1"/>
  <c r="J225" i="1"/>
  <c r="H226" i="4"/>
  <c r="J249" i="1"/>
  <c r="E180" i="1" s="1"/>
  <c r="J229" i="2"/>
  <c r="H78" i="2"/>
  <c r="J78" i="2" s="1"/>
  <c r="H141" i="1" l="1"/>
  <c r="J141" i="1" s="1"/>
  <c r="F247" i="4"/>
  <c r="J247" i="4" s="1"/>
  <c r="F249" i="4"/>
  <c r="J249" i="4" s="1"/>
  <c r="H140" i="1"/>
  <c r="J140" i="1" s="1"/>
  <c r="H139" i="1"/>
  <c r="J139" i="1" s="1"/>
  <c r="H143" i="1"/>
  <c r="J143" i="1" s="1"/>
  <c r="H159" i="1"/>
  <c r="J159" i="1" s="1"/>
  <c r="H158" i="1"/>
  <c r="J158" i="1" s="1"/>
  <c r="H144" i="1"/>
  <c r="J144" i="1" s="1"/>
  <c r="H138" i="1"/>
  <c r="J138" i="1" s="1"/>
  <c r="G20" i="52"/>
  <c r="J20" i="4"/>
  <c r="J85" i="4"/>
  <c r="G20" i="42"/>
  <c r="H86" i="2"/>
  <c r="J86" i="2" s="1"/>
  <c r="J229" i="1"/>
  <c r="H78" i="1"/>
  <c r="J78" i="1" s="1"/>
  <c r="L229" i="2"/>
  <c r="J226" i="4"/>
  <c r="H142" i="4" l="1"/>
  <c r="J142" i="4" s="1"/>
  <c r="H141" i="4"/>
  <c r="J141" i="4" s="1"/>
  <c r="H140" i="4"/>
  <c r="J140" i="4" s="1"/>
  <c r="H159" i="4"/>
  <c r="J159" i="4" s="1"/>
  <c r="H144" i="4"/>
  <c r="J144" i="4" s="1"/>
  <c r="H160" i="4"/>
  <c r="J160" i="4" s="1"/>
  <c r="H145" i="4"/>
  <c r="J145" i="4" s="1"/>
  <c r="H153" i="4"/>
  <c r="J153" i="4" s="1"/>
  <c r="H139" i="4"/>
  <c r="J139" i="4" s="1"/>
  <c r="J94" i="2"/>
  <c r="H248" i="4"/>
  <c r="J248" i="4" s="1"/>
  <c r="J258" i="4"/>
  <c r="J21" i="4"/>
  <c r="J107" i="4"/>
  <c r="J93" i="4"/>
  <c r="H86" i="1"/>
  <c r="J86" i="1" s="1"/>
  <c r="L229" i="1"/>
  <c r="H79" i="4"/>
  <c r="J230" i="4"/>
  <c r="H79" i="2"/>
  <c r="J79" i="2" s="1"/>
  <c r="G21" i="52" l="1"/>
  <c r="J22" i="4"/>
  <c r="J250" i="4"/>
  <c r="E181" i="4" s="1"/>
  <c r="J80" i="2"/>
  <c r="G21" i="42"/>
  <c r="J79" i="4"/>
  <c r="H87" i="4"/>
  <c r="H87" i="2"/>
  <c r="J87" i="2" s="1"/>
  <c r="J88" i="2" s="1"/>
  <c r="J94" i="1"/>
  <c r="L230" i="4"/>
  <c r="H79" i="1"/>
  <c r="J79" i="1" s="1"/>
  <c r="J95" i="2" l="1"/>
  <c r="J96" i="2" s="1"/>
  <c r="J87" i="4"/>
  <c r="H87" i="1"/>
  <c r="J87" i="1" s="1"/>
  <c r="H152" i="1"/>
  <c r="J152" i="1" s="1"/>
  <c r="H146" i="2"/>
  <c r="J146" i="2" s="1"/>
  <c r="H80" i="4"/>
  <c r="J95" i="4" l="1"/>
  <c r="J80" i="4"/>
  <c r="H88" i="4"/>
  <c r="H146" i="1"/>
  <c r="J146" i="1" s="1"/>
  <c r="H153" i="2"/>
  <c r="H96" i="2"/>
  <c r="H100" i="2" s="1"/>
  <c r="J100" i="2" s="1"/>
  <c r="H80" i="2"/>
  <c r="J80" i="1"/>
  <c r="J153" i="2" l="1"/>
  <c r="G28" i="40" s="1"/>
  <c r="G29" i="40" s="1"/>
  <c r="I29" i="40" s="1"/>
  <c r="H101" i="2"/>
  <c r="J101" i="2" s="1"/>
  <c r="H147" i="4"/>
  <c r="J147" i="4" s="1"/>
  <c r="J88" i="4"/>
  <c r="H153" i="1"/>
  <c r="H111" i="2"/>
  <c r="J111" i="2" s="1"/>
  <c r="H161" i="2"/>
  <c r="J161" i="2" s="1"/>
  <c r="H80" i="1"/>
  <c r="J88" i="1"/>
  <c r="H177" i="2"/>
  <c r="J81" i="4"/>
  <c r="J95" i="1"/>
  <c r="J153" i="1" l="1"/>
  <c r="J154" i="1" s="1"/>
  <c r="G28" i="53"/>
  <c r="G29" i="53" s="1"/>
  <c r="I29" i="53" s="1"/>
  <c r="H103" i="2"/>
  <c r="J103" i="2" s="1"/>
  <c r="H102" i="2"/>
  <c r="J102" i="2" s="1"/>
  <c r="H154" i="4"/>
  <c r="J154" i="4" s="1"/>
  <c r="H161" i="1"/>
  <c r="J161" i="1" s="1"/>
  <c r="H111" i="1"/>
  <c r="J111" i="1" s="1"/>
  <c r="H164" i="2"/>
  <c r="J164" i="2" s="1"/>
  <c r="H163" i="2"/>
  <c r="J163" i="2" s="1"/>
  <c r="J96" i="1"/>
  <c r="H81" i="4"/>
  <c r="J89" i="4"/>
  <c r="J154" i="2"/>
  <c r="J96" i="4"/>
  <c r="J155" i="4" l="1"/>
  <c r="G28" i="54"/>
  <c r="G29" i="54" s="1"/>
  <c r="I29" i="54" s="1"/>
  <c r="G28" i="41"/>
  <c r="G29" i="41" s="1"/>
  <c r="I29" i="41" s="1"/>
  <c r="J165" i="2"/>
  <c r="G28" i="52"/>
  <c r="G29" i="52" s="1"/>
  <c r="I29" i="52" s="1"/>
  <c r="J104" i="2"/>
  <c r="G28" i="42"/>
  <c r="G29" i="42" s="1"/>
  <c r="I29" i="42" s="1"/>
  <c r="H112" i="4"/>
  <c r="J112" i="4" s="1"/>
  <c r="H162" i="4"/>
  <c r="J162" i="4" s="1"/>
  <c r="H164" i="1"/>
  <c r="J164" i="1" s="1"/>
  <c r="H163" i="1"/>
  <c r="J163" i="1" s="1"/>
  <c r="H96" i="1"/>
  <c r="H100" i="1" s="1"/>
  <c r="J97" i="4"/>
  <c r="J165" i="1" l="1"/>
  <c r="H101" i="1"/>
  <c r="J101" i="1" s="1"/>
  <c r="J100" i="1"/>
  <c r="H164" i="4"/>
  <c r="H165" i="4"/>
  <c r="H97" i="4"/>
  <c r="H101" i="4" s="1"/>
  <c r="H102" i="4" s="1"/>
  <c r="H177" i="1"/>
  <c r="J164" i="4" l="1"/>
  <c r="J165" i="4"/>
  <c r="G32" i="40"/>
  <c r="G33" i="40" s="1"/>
  <c r="I33" i="40" s="1"/>
  <c r="G32" i="53"/>
  <c r="H102" i="1"/>
  <c r="J102" i="1" s="1"/>
  <c r="H103" i="1"/>
  <c r="J103" i="1" s="1"/>
  <c r="H103" i="4"/>
  <c r="H104" i="4"/>
  <c r="H178" i="4"/>
  <c r="G32" i="54"/>
  <c r="G33" i="54" s="1"/>
  <c r="I33" i="54" s="1"/>
  <c r="G33" i="53" l="1"/>
  <c r="I33" i="53" s="1"/>
  <c r="J166" i="4"/>
  <c r="G32" i="41"/>
  <c r="G33" i="41" s="1"/>
  <c r="I33" i="41" s="1"/>
  <c r="J101" i="4"/>
  <c r="G32" i="42" l="1"/>
  <c r="G32" i="52"/>
  <c r="J102" i="4"/>
  <c r="G33" i="52" l="1"/>
  <c r="I33" i="52" s="1"/>
  <c r="G33" i="42"/>
  <c r="I33" i="42" s="1"/>
  <c r="J104" i="4"/>
  <c r="J103" i="4"/>
  <c r="J104" i="1"/>
  <c r="J105" i="4" l="1"/>
  <c r="E170" i="1" l="1"/>
  <c r="E173" i="1"/>
  <c r="E177" i="1" s="1"/>
  <c r="J177" i="1" s="1"/>
  <c r="E176" i="1" l="1"/>
  <c r="E178" i="1" s="1"/>
  <c r="E183" i="1" s="1"/>
  <c r="E169" i="2" l="1"/>
  <c r="E170" i="2" s="1"/>
  <c r="E176" i="2" l="1"/>
  <c r="E173" i="2"/>
  <c r="E177" i="2" s="1"/>
  <c r="J177" i="2" s="1"/>
  <c r="E178" i="2" l="1"/>
  <c r="E183" i="2" s="1"/>
  <c r="A9" i="50" l="1"/>
  <c r="C37" i="9" l="1"/>
  <c r="C41" i="9" l="1"/>
  <c r="J212" i="2" l="1"/>
  <c r="J213" i="2" l="1"/>
  <c r="J215" i="2" s="1"/>
  <c r="J217" i="2" s="1"/>
  <c r="H110" i="2" l="1"/>
  <c r="J110" i="2" s="1"/>
  <c r="H136" i="2"/>
  <c r="J136" i="2" s="1"/>
  <c r="H137" i="2"/>
  <c r="J137" i="2" s="1"/>
  <c r="H134" i="2"/>
  <c r="J134" i="2" l="1"/>
  <c r="H145" i="2"/>
  <c r="J145" i="2" s="1"/>
  <c r="J148" i="2" l="1"/>
  <c r="G24" i="40" s="1"/>
  <c r="G25" i="40" s="1"/>
  <c r="I25" i="40" s="1"/>
  <c r="I35" i="40" s="1"/>
  <c r="P67" i="40" s="1"/>
  <c r="Q67" i="40" s="1"/>
  <c r="P66" i="40" l="1"/>
  <c r="Q66" i="40" s="1"/>
  <c r="P68" i="40"/>
  <c r="Q68" i="40" s="1"/>
  <c r="J109" i="2"/>
  <c r="J112" i="2" s="1"/>
  <c r="J114" i="2" s="1"/>
  <c r="J180" i="2" s="1"/>
  <c r="G42" i="40" s="1"/>
  <c r="G43" i="40" s="1"/>
  <c r="I43" i="40" s="1"/>
  <c r="G24" i="53"/>
  <c r="G25" i="53" s="1"/>
  <c r="I25" i="53" s="1"/>
  <c r="I35" i="53" s="1"/>
  <c r="P67" i="53" s="1"/>
  <c r="Q67" i="53" s="1"/>
  <c r="P66" i="53" l="1"/>
  <c r="Q66" i="53" s="1"/>
  <c r="P68" i="53"/>
  <c r="Q68" i="53" s="1"/>
  <c r="G42" i="53"/>
  <c r="G43" i="53" s="1"/>
  <c r="I43" i="53" s="1"/>
  <c r="J176" i="2"/>
  <c r="J178" i="2" s="1"/>
  <c r="J183" i="2" s="1"/>
  <c r="J15" i="2" s="1"/>
  <c r="B12" i="5" l="1"/>
  <c r="B15" i="5" s="1"/>
  <c r="B17" i="5" s="1"/>
  <c r="G38" i="40"/>
  <c r="G39" i="40" s="1"/>
  <c r="I39" i="40" s="1"/>
  <c r="I45" i="40" s="1"/>
  <c r="S67" i="40" s="1"/>
  <c r="T67" i="40" s="1"/>
  <c r="V67" i="40" s="1"/>
  <c r="X67" i="40" s="1"/>
  <c r="G38" i="53"/>
  <c r="G39" i="53" s="1"/>
  <c r="I39" i="53" s="1"/>
  <c r="I45" i="53" s="1"/>
  <c r="S67" i="53" s="1"/>
  <c r="T67" i="53" s="1"/>
  <c r="V67" i="53" s="1"/>
  <c r="X67" i="53" s="1"/>
  <c r="S66" i="40" l="1"/>
  <c r="T66" i="40" s="1"/>
  <c r="V66" i="40" s="1"/>
  <c r="X66" i="40" s="1"/>
  <c r="S68" i="40"/>
  <c r="T68" i="40" s="1"/>
  <c r="V68" i="40" s="1"/>
  <c r="X68" i="40" s="1"/>
  <c r="S68" i="53"/>
  <c r="T68" i="53" s="1"/>
  <c r="V68" i="53" s="1"/>
  <c r="X68" i="53" s="1"/>
  <c r="S66" i="53"/>
  <c r="T66" i="53" s="1"/>
  <c r="V66" i="53" s="1"/>
  <c r="X66" i="53" s="1"/>
  <c r="X86" i="40" l="1"/>
  <c r="X88" i="40" s="1"/>
  <c r="V86" i="40"/>
  <c r="X86" i="53"/>
  <c r="X88" i="53" s="1"/>
  <c r="E23" i="2" s="1"/>
  <c r="J23" i="2" s="1"/>
  <c r="V86" i="53"/>
  <c r="E100" i="67"/>
  <c r="D37" i="9"/>
  <c r="E37" i="9" l="1"/>
  <c r="D41" i="9"/>
  <c r="E41" i="9" l="1"/>
  <c r="J212" i="1"/>
  <c r="J213" i="4" l="1"/>
  <c r="G18" i="50" s="1"/>
  <c r="J213" i="1"/>
  <c r="J215" i="1" s="1"/>
  <c r="J217" i="1" s="1"/>
  <c r="H110" i="1" l="1"/>
  <c r="J110" i="1" s="1"/>
  <c r="H134" i="1"/>
  <c r="H137" i="1"/>
  <c r="J137" i="1" s="1"/>
  <c r="H136" i="1"/>
  <c r="J136" i="1" s="1"/>
  <c r="J214" i="4"/>
  <c r="G22" i="50"/>
  <c r="G27" i="50" s="1"/>
  <c r="J216" i="4" l="1"/>
  <c r="J134" i="1"/>
  <c r="H145" i="1"/>
  <c r="J145" i="1" s="1"/>
  <c r="J148" i="1" l="1"/>
  <c r="G24" i="41" s="1"/>
  <c r="G25" i="41" s="1"/>
  <c r="I25" i="41" s="1"/>
  <c r="I35" i="41" s="1"/>
  <c r="J218" i="4"/>
  <c r="J109" i="1" l="1"/>
  <c r="J112" i="1" s="1"/>
  <c r="J114" i="1" s="1"/>
  <c r="J180" i="1" s="1"/>
  <c r="G42" i="54" s="1"/>
  <c r="G43" i="54" s="1"/>
  <c r="I43" i="54" s="1"/>
  <c r="G24" i="54"/>
  <c r="G25" i="54" s="1"/>
  <c r="I25" i="54" s="1"/>
  <c r="I35" i="54" s="1"/>
  <c r="P66" i="54" s="1"/>
  <c r="Q66" i="54" s="1"/>
  <c r="H135" i="4"/>
  <c r="H137" i="4"/>
  <c r="J137" i="4" s="1"/>
  <c r="H138" i="4"/>
  <c r="J138" i="4" s="1"/>
  <c r="H111" i="4"/>
  <c r="J111" i="4" s="1"/>
  <c r="P67" i="41"/>
  <c r="Q67" i="41" s="1"/>
  <c r="P66" i="41"/>
  <c r="Q66" i="41" s="1"/>
  <c r="P68" i="41"/>
  <c r="Q68" i="41" s="1"/>
  <c r="J176" i="1" l="1"/>
  <c r="J178" i="1" s="1"/>
  <c r="J183" i="1" s="1"/>
  <c r="J15" i="1" s="1"/>
  <c r="G42" i="41"/>
  <c r="G43" i="41" s="1"/>
  <c r="I43" i="41" s="1"/>
  <c r="P67" i="54"/>
  <c r="Q67" i="54" s="1"/>
  <c r="P68" i="54"/>
  <c r="Q68" i="54" s="1"/>
  <c r="H146" i="4"/>
  <c r="J146" i="4" s="1"/>
  <c r="J135" i="4"/>
  <c r="G38" i="41" l="1"/>
  <c r="G39" i="41" s="1"/>
  <c r="I39" i="41" s="1"/>
  <c r="I45" i="41" s="1"/>
  <c r="S68" i="41" s="1"/>
  <c r="T68" i="41" s="1"/>
  <c r="V68" i="41" s="1"/>
  <c r="X68" i="41" s="1"/>
  <c r="G38" i="54"/>
  <c r="G39" i="54" s="1"/>
  <c r="I39" i="54" s="1"/>
  <c r="I45" i="54" s="1"/>
  <c r="S66" i="54" s="1"/>
  <c r="T66" i="54" s="1"/>
  <c r="V66" i="54" s="1"/>
  <c r="C12" i="5"/>
  <c r="D12" i="5" s="1"/>
  <c r="J149" i="4"/>
  <c r="S67" i="54" l="1"/>
  <c r="T67" i="54" s="1"/>
  <c r="V67" i="54" s="1"/>
  <c r="X67" i="54" s="1"/>
  <c r="S68" i="54"/>
  <c r="T68" i="54" s="1"/>
  <c r="V68" i="54" s="1"/>
  <c r="X68" i="54" s="1"/>
  <c r="S67" i="41"/>
  <c r="T67" i="41" s="1"/>
  <c r="V67" i="41" s="1"/>
  <c r="X67" i="41" s="1"/>
  <c r="S66" i="41"/>
  <c r="T66" i="41" s="1"/>
  <c r="V66" i="41" s="1"/>
  <c r="X66" i="41" s="1"/>
  <c r="C15" i="5"/>
  <c r="C17" i="5" s="1"/>
  <c r="X66" i="54"/>
  <c r="G24" i="42"/>
  <c r="G25" i="42" s="1"/>
  <c r="I25" i="42" s="1"/>
  <c r="I35" i="42" s="1"/>
  <c r="P68" i="42" s="1"/>
  <c r="Q68" i="42" s="1"/>
  <c r="J110" i="4"/>
  <c r="G24" i="52"/>
  <c r="G25" i="52" l="1"/>
  <c r="I25" i="52" s="1"/>
  <c r="I35" i="52" s="1"/>
  <c r="V86" i="54"/>
  <c r="X86" i="41"/>
  <c r="X88" i="41" s="1"/>
  <c r="X86" i="54"/>
  <c r="X88" i="54" s="1"/>
  <c r="E23" i="1" s="1"/>
  <c r="J23" i="1" s="1"/>
  <c r="V86" i="41"/>
  <c r="D15" i="5"/>
  <c r="D17" i="5" s="1"/>
  <c r="E87" i="67" s="1"/>
  <c r="P67" i="42"/>
  <c r="Q67" i="42" s="1"/>
  <c r="P66" i="42"/>
  <c r="Q66" i="42" s="1"/>
  <c r="J113" i="4"/>
  <c r="P67" i="52" l="1"/>
  <c r="Q67" i="52" s="1"/>
  <c r="P66" i="52"/>
  <c r="Q66" i="52" s="1"/>
  <c r="P68" i="52"/>
  <c r="Q68" i="52" s="1"/>
  <c r="J25" i="1"/>
  <c r="E306" i="4"/>
  <c r="E170" i="4" s="1"/>
  <c r="E171" i="4" s="1"/>
  <c r="J115" i="4"/>
  <c r="E89" i="67"/>
  <c r="J28" i="1" l="1"/>
  <c r="J55" i="1" s="1"/>
  <c r="E174" i="4"/>
  <c r="E178" i="4" s="1"/>
  <c r="J178" i="4" s="1"/>
  <c r="G28" i="61"/>
  <c r="E177" i="4"/>
  <c r="J181" i="4"/>
  <c r="E41" i="1" l="1"/>
  <c r="E45" i="1" s="1"/>
  <c r="E55" i="1"/>
  <c r="E43" i="1"/>
  <c r="D148" i="67"/>
  <c r="E179" i="4"/>
  <c r="E184" i="4" s="1"/>
  <c r="G42" i="52"/>
  <c r="G43" i="52" s="1"/>
  <c r="I43" i="52" s="1"/>
  <c r="G42" i="42"/>
  <c r="G43" i="42" s="1"/>
  <c r="I43" i="42" s="1"/>
  <c r="G22" i="61"/>
  <c r="G23" i="61" s="1"/>
  <c r="G25" i="61" s="1"/>
  <c r="G34" i="61" s="1"/>
  <c r="G30" i="61" s="1"/>
  <c r="J177" i="4"/>
  <c r="E51" i="1" l="1"/>
  <c r="E53" i="1"/>
  <c r="J53" i="1"/>
  <c r="E47" i="1"/>
  <c r="G36" i="61"/>
  <c r="E24" i="2" s="1"/>
  <c r="E24" i="4" s="1"/>
  <c r="J179" i="4"/>
  <c r="J24" i="4" l="1"/>
  <c r="J24" i="2"/>
  <c r="G38" i="42"/>
  <c r="G39" i="42" s="1"/>
  <c r="I39" i="42" s="1"/>
  <c r="I45" i="42" s="1"/>
  <c r="S68" i="42" s="1"/>
  <c r="T68" i="42" s="1"/>
  <c r="V68" i="42" s="1"/>
  <c r="X68" i="42" s="1"/>
  <c r="G38" i="52"/>
  <c r="G39" i="52" s="1"/>
  <c r="I39" i="52" s="1"/>
  <c r="I45" i="52" s="1"/>
  <c r="J184" i="4"/>
  <c r="J25" i="2" l="1"/>
  <c r="S67" i="52"/>
  <c r="T67" i="52" s="1"/>
  <c r="V67" i="52" s="1"/>
  <c r="X67" i="52" s="1"/>
  <c r="S66" i="52"/>
  <c r="T66" i="52" s="1"/>
  <c r="V66" i="52" s="1"/>
  <c r="S68" i="52"/>
  <c r="T68" i="52" s="1"/>
  <c r="V68" i="52" s="1"/>
  <c r="X68" i="52" s="1"/>
  <c r="J15" i="4"/>
  <c r="S66" i="42"/>
  <c r="T66" i="42" s="1"/>
  <c r="V66" i="42" s="1"/>
  <c r="S67" i="42"/>
  <c r="T67" i="42" s="1"/>
  <c r="V67" i="42" s="1"/>
  <c r="X67" i="42" s="1"/>
  <c r="J28" i="2" l="1"/>
  <c r="V86" i="52"/>
  <c r="X66" i="52"/>
  <c r="X86" i="52" s="1"/>
  <c r="X88" i="52" s="1"/>
  <c r="E23" i="4" s="1"/>
  <c r="J23" i="4" s="1"/>
  <c r="V86" i="42"/>
  <c r="X66" i="42"/>
  <c r="X86" i="42" s="1"/>
  <c r="X88" i="42" s="1"/>
  <c r="E55" i="2" l="1"/>
  <c r="E41" i="2"/>
  <c r="E45" i="2" s="1"/>
  <c r="E43" i="2"/>
  <c r="J55" i="2"/>
  <c r="C148" i="67"/>
  <c r="J26" i="4"/>
  <c r="E53" i="2" l="1"/>
  <c r="E51" i="2"/>
  <c r="J53" i="2"/>
  <c r="E47" i="2"/>
  <c r="D149" i="67"/>
  <c r="J29" i="4"/>
  <c r="E44" i="4" l="1"/>
  <c r="E54" i="4" s="1"/>
  <c r="E148" i="67"/>
  <c r="E56" i="4"/>
  <c r="E42" i="4"/>
  <c r="E46" i="4" s="1"/>
  <c r="J56" i="4"/>
  <c r="J54" i="4" l="1"/>
  <c r="E52" i="4"/>
  <c r="E48" i="4"/>
</calcChain>
</file>

<file path=xl/comments1.xml><?xml version="1.0" encoding="utf-8"?>
<comments xmlns="http://schemas.openxmlformats.org/spreadsheetml/2006/main">
  <authors>
    <author>Ted Czupik</author>
    <author>Steinkuhl, Lisa D</author>
  </authors>
  <commentList>
    <comment ref="B34" authorId="0">
      <text>
        <r>
          <rPr>
            <sz val="10"/>
            <color indexed="81"/>
            <rFont val="Tahoma"/>
            <family val="2"/>
          </rPr>
          <t xml:space="preserve">275.6.k requires analysis by Tax Department
</t>
        </r>
      </text>
    </comment>
    <comment ref="B35" authorId="0">
      <text>
        <r>
          <rPr>
            <sz val="10"/>
            <color indexed="81"/>
            <rFont val="Tahoma"/>
            <family val="2"/>
          </rPr>
          <t xml:space="preserve">275.6.k requires analysis by Tax Department
</t>
        </r>
      </text>
    </comment>
    <comment ref="B36" authorId="0">
      <text>
        <r>
          <rPr>
            <sz val="10"/>
            <color indexed="81"/>
            <rFont val="Tahoma"/>
            <family val="2"/>
          </rPr>
          <t xml:space="preserve">234.17.c requires analysis by Tax Department
</t>
        </r>
      </text>
    </comment>
    <comment ref="C37" authorId="0">
      <text>
        <r>
          <rPr>
            <sz val="10"/>
            <color indexed="81"/>
            <rFont val="Tahoma"/>
            <family val="2"/>
          </rPr>
          <t xml:space="preserve">The Company has chosen option 2 for ITC and therefore this number should be zero and amortization of ITC should be included
</t>
        </r>
      </text>
    </comment>
    <comment ref="D37" authorId="0">
      <text>
        <r>
          <rPr>
            <sz val="10"/>
            <color indexed="81"/>
            <rFont val="Tahoma"/>
            <family val="2"/>
          </rPr>
          <t xml:space="preserve">The Company has chosen option 2 for ITC and therefore this number should be zero and amortization of ITC should be included
</t>
        </r>
      </text>
    </comment>
    <comment ref="B60" authorId="1">
      <text>
        <r>
          <rPr>
            <b/>
            <sz val="9"/>
            <color indexed="81"/>
            <rFont val="Tahoma"/>
            <family val="2"/>
          </rPr>
          <t>Steinkuhl, Lisa D:</t>
        </r>
        <r>
          <rPr>
            <sz val="9"/>
            <color indexed="81"/>
            <rFont val="Tahoma"/>
            <family val="2"/>
          </rPr>
          <t xml:space="preserve">
350.13.b</t>
        </r>
      </text>
    </comment>
  </commentList>
</comments>
</file>

<file path=xl/comments2.xml><?xml version="1.0" encoding="utf-8"?>
<comments xmlns="http://schemas.openxmlformats.org/spreadsheetml/2006/main">
  <authors>
    <author>Ted Czupik</author>
  </authors>
  <commentList>
    <comment ref="E104" authorId="0">
      <text>
        <r>
          <rPr>
            <sz val="10"/>
            <color indexed="81"/>
            <rFont val="Tahoma"/>
            <family val="2"/>
          </rPr>
          <t xml:space="preserve">The Company has chosen option 2 for ITC and therefore this number should be zero and amortization of ITC should be included
</t>
        </r>
      </text>
    </comment>
    <comment ref="E136" authorId="0">
      <text>
        <r>
          <rPr>
            <sz val="10"/>
            <color indexed="81"/>
            <rFont val="Tahoma"/>
            <family val="2"/>
          </rPr>
          <t xml:space="preserve">Account 575.7 is not included in Transmission Expense so there is no need to deduct it.
</t>
        </r>
      </text>
    </comment>
  </commentList>
</comments>
</file>

<file path=xl/comments3.xml><?xml version="1.0" encoding="utf-8"?>
<comments xmlns="http://schemas.openxmlformats.org/spreadsheetml/2006/main">
  <authors>
    <author>Ted Czupik</author>
  </authors>
  <commentList>
    <comment ref="D100" authorId="0">
      <text>
        <r>
          <rPr>
            <sz val="10"/>
            <color indexed="81"/>
            <rFont val="Tahoma"/>
            <family val="2"/>
          </rPr>
          <t xml:space="preserve">275.6.k requires analysis by Tax Department
</t>
        </r>
      </text>
    </comment>
    <comment ref="D101" authorId="0">
      <text>
        <r>
          <rPr>
            <sz val="10"/>
            <color indexed="81"/>
            <rFont val="Tahoma"/>
            <family val="2"/>
          </rPr>
          <t xml:space="preserve">277.18.k requires analysis by Tax Department
</t>
        </r>
      </text>
    </comment>
    <comment ref="D102" authorId="0">
      <text>
        <r>
          <rPr>
            <sz val="10"/>
            <color indexed="81"/>
            <rFont val="Tahoma"/>
            <family val="2"/>
          </rPr>
          <t xml:space="preserve">234.17.c requires analysis by Tax Department
</t>
        </r>
      </text>
    </comment>
    <comment ref="E103" authorId="0">
      <text>
        <r>
          <rPr>
            <sz val="10"/>
            <color indexed="81"/>
            <rFont val="Tahoma"/>
            <family val="2"/>
          </rPr>
          <t xml:space="preserve">The Company has chosen option 2 for ITC and therefore this number should be zero and amortization of ITC should be included
</t>
        </r>
      </text>
    </comment>
    <comment ref="E136" authorId="0">
      <text>
        <r>
          <rPr>
            <sz val="10"/>
            <color indexed="81"/>
            <rFont val="Tahoma"/>
            <family val="2"/>
          </rPr>
          <t xml:space="preserve">$13,494,000 - Acct 566
$4,618,250 - Acct 565
$18,112,250 - Total
</t>
        </r>
      </text>
    </comment>
  </commentList>
</comments>
</file>

<file path=xl/comments4.xml><?xml version="1.0" encoding="utf-8"?>
<comments xmlns="http://schemas.openxmlformats.org/spreadsheetml/2006/main">
  <authors>
    <author>Ted Czupik</author>
  </authors>
  <commentList>
    <comment ref="D100" authorId="0">
      <text>
        <r>
          <rPr>
            <sz val="10"/>
            <color indexed="81"/>
            <rFont val="Tahoma"/>
            <family val="2"/>
          </rPr>
          <t xml:space="preserve">275.6.k requires analysis by Tax Department
</t>
        </r>
      </text>
    </comment>
    <comment ref="D101" authorId="0">
      <text>
        <r>
          <rPr>
            <sz val="10"/>
            <color indexed="81"/>
            <rFont val="Tahoma"/>
            <family val="2"/>
          </rPr>
          <t xml:space="preserve">277.18.k requires analysis by Tax Department
</t>
        </r>
      </text>
    </comment>
    <comment ref="D102" authorId="0">
      <text>
        <r>
          <rPr>
            <sz val="10"/>
            <color indexed="81"/>
            <rFont val="Tahoma"/>
            <family val="2"/>
          </rPr>
          <t xml:space="preserve">234.17.c requires analysis by Tax Department
</t>
        </r>
      </text>
    </comment>
    <comment ref="E103" authorId="0">
      <text>
        <r>
          <rPr>
            <sz val="10"/>
            <color indexed="81"/>
            <rFont val="Tahoma"/>
            <family val="2"/>
          </rPr>
          <t xml:space="preserve">The Company has chosen option 2 for ITC and therefore this number should be zero and amortization of ITC should be included
</t>
        </r>
      </text>
    </comment>
  </commentList>
</comments>
</file>

<file path=xl/comments5.xml><?xml version="1.0" encoding="utf-8"?>
<comments xmlns="http://schemas.openxmlformats.org/spreadsheetml/2006/main">
  <authors>
    <author>Ted Czupik</author>
  </authors>
  <commentList>
    <comment ref="C11" authorId="0">
      <text>
        <r>
          <rPr>
            <sz val="10"/>
            <color indexed="81"/>
            <rFont val="Tahoma"/>
            <family val="2"/>
          </rPr>
          <t>Source: "AU 2010 DEO DEI DEK Revenue Credits by Operating Company. xlsx", Sch 7 &amp; Network (Sch 9)
Rates for this period are based on the May 2011 Attachment O formula rate which used 2010 data. The Company was not yet a member of PJM in 2010.</t>
        </r>
      </text>
    </comment>
    <comment ref="E11" authorId="0">
      <text>
        <r>
          <rPr>
            <sz val="10"/>
            <color indexed="81"/>
            <rFont val="Tahoma"/>
            <family val="2"/>
          </rPr>
          <t xml:space="preserve">Source: "Total Transmission and Ancillary Service Revenue - 2012 (Throug December) FERC Support - Final.xlsx", summarized on "Revenue Credits - 2012 Sch 7 &amp; Sch 9 Revenue for Appx E. xlsx"
</t>
        </r>
      </text>
    </comment>
    <comment ref="C12" authorId="0">
      <text>
        <r>
          <rPr>
            <sz val="10"/>
            <color indexed="81"/>
            <rFont val="Tahoma"/>
            <family val="2"/>
          </rPr>
          <t>Source: "AU 2010 DEO DEI DEK Revenue Credits by Operating Company. xlsx", Sch 7 &amp; Network (Sch 9)
Rates for this period are based on the May 2011 Attachment O formula rate which used 2010 data. The Company was not yet a member of PJM in 2010.</t>
        </r>
      </text>
    </comment>
    <comment ref="E12" authorId="0">
      <text>
        <r>
          <rPr>
            <sz val="10"/>
            <color indexed="81"/>
            <rFont val="Tahoma"/>
            <family val="2"/>
          </rPr>
          <t xml:space="preserve">Source: "Total Transmission and Ancillary Service Revenue - 2012 (Throug December) FERC Support - Final.xlsx", summarized on "Revenue Credits - 2012 Sch 7 &amp; Sch 9 Revenue for Appx E. xlsx"
</t>
        </r>
      </text>
    </comment>
    <comment ref="C13" authorId="0">
      <text>
        <r>
          <rPr>
            <sz val="10"/>
            <color indexed="81"/>
            <rFont val="Tahoma"/>
            <family val="2"/>
          </rPr>
          <t>Source: "AU 2010 DEO DEI DEK Revenue Credits by Operating Company. xlsx", Sch 7 &amp; Network (Sch 9)
Rates for this period are based on the May 2011 Attachment O formula rate which used 2010 data. The Company was not yet a member of PJM in 2010.</t>
        </r>
      </text>
    </comment>
    <comment ref="E13" authorId="0">
      <text>
        <r>
          <rPr>
            <sz val="10"/>
            <color indexed="81"/>
            <rFont val="Tahoma"/>
            <family val="2"/>
          </rPr>
          <t xml:space="preserve">Source: "Total Transmission and Ancillary Service Revenue - 2012 (Throug December) FERC Support - Final.xlsx", summarized on "Revenue Credits - 2012 Sch 7 &amp; Sch 9 Revenue for Appx E. xlsx"
</t>
        </r>
      </text>
    </comment>
    <comment ref="C14" authorId="0">
      <text>
        <r>
          <rPr>
            <sz val="10"/>
            <color indexed="81"/>
            <rFont val="Tahoma"/>
            <family val="2"/>
          </rPr>
          <t>Source: "AU 2010 DEO DEI DEK Revenue Credits by Operating Company. xlsx", Sch 7 &amp; Network (Sch 9)
Rates for this period are based on the May 2011 Attachment O formula rate which used 2010 data. The Company was not yet a member of PJM in 2010.</t>
        </r>
      </text>
    </comment>
    <comment ref="E14" authorId="0">
      <text>
        <r>
          <rPr>
            <sz val="10"/>
            <color indexed="81"/>
            <rFont val="Tahoma"/>
            <family val="2"/>
          </rPr>
          <t xml:space="preserve">Source: "Total Transmission and Ancillary Service Revenue - 2012 (Throug December) FERC Support - Final.xlsx", summarized on "Revenue Credits - 2012 Sch 7 &amp; Sch 9 Revenue for Appx E. xlsx"
</t>
        </r>
      </text>
    </comment>
    <comment ref="C15" authorId="0">
      <text>
        <r>
          <rPr>
            <sz val="10"/>
            <color indexed="81"/>
            <rFont val="Tahoma"/>
            <family val="2"/>
          </rPr>
          <t>Source: "AU 2010 DEO DEI DEK Revenue Credits by Operating Company. xlsx", Sch 7 &amp; Network (Sch 9)
Rates for this period are based on the May 2011 Attachment O formula rate which used 2010 data. The Company was not yet a member of PJM in 2010.</t>
        </r>
      </text>
    </comment>
    <comment ref="E15" authorId="0">
      <text>
        <r>
          <rPr>
            <sz val="10"/>
            <color indexed="81"/>
            <rFont val="Tahoma"/>
            <family val="2"/>
          </rPr>
          <t xml:space="preserve">Source: "Total Transmission and Ancillary Service Revenue - 2012 (Throug December) FERC Support - Final.xlsx", summarized on "Revenue Credits - 2012 Sch 7 &amp; Sch 9 Revenue for Appx E. xlsx"
</t>
        </r>
      </text>
    </comment>
    <comment ref="C16" authorId="0">
      <text>
        <r>
          <rPr>
            <sz val="10"/>
            <color indexed="81"/>
            <rFont val="Tahoma"/>
            <family val="2"/>
          </rPr>
          <t>Source: "2011 DEO DEI DEK Revenue Credits by Operating Company. xlsx"
Rates for this period are based on the May 2012 Attachment H formula rate which used 2011 data. The Company was not yet a member of PJM in 2011.</t>
        </r>
      </text>
    </comment>
    <comment ref="E16" authorId="0">
      <text>
        <r>
          <rPr>
            <sz val="10"/>
            <color indexed="81"/>
            <rFont val="Tahoma"/>
            <family val="2"/>
          </rPr>
          <t xml:space="preserve">Source: "Total Transmission and Ancillary Service Revenue - 2012 (Throug December) FERC Support - Final.xlsx", summarized on "Revenue Credits - 2012 Sch 7 &amp; Sch 9 Revenue for Appx E. xlsx"
</t>
        </r>
      </text>
    </comment>
    <comment ref="C17" authorId="0">
      <text>
        <r>
          <rPr>
            <sz val="10"/>
            <color indexed="81"/>
            <rFont val="Tahoma"/>
            <family val="2"/>
          </rPr>
          <t>Source: "2011 DEO DEI DEK Revenue Credits by Operating Company. xlsx"
Rates for this period are based on the May 2012 Attachment H formula rate which used 2011 data. The Company was not yet a member of PJM in 2011.</t>
        </r>
      </text>
    </comment>
    <comment ref="E17" authorId="0">
      <text>
        <r>
          <rPr>
            <sz val="10"/>
            <color indexed="81"/>
            <rFont val="Tahoma"/>
            <family val="2"/>
          </rPr>
          <t xml:space="preserve">Source: "Total Transmission and Ancillary Service Revenue - 2012 (Throug December) FERC Support - Final.xlsx", summarized on "Revenue Credits - 2012 Sch 7 &amp; Sch 9 Revenue for Appx E. xlsx"
</t>
        </r>
      </text>
    </comment>
    <comment ref="C18" authorId="0">
      <text>
        <r>
          <rPr>
            <sz val="10"/>
            <color indexed="81"/>
            <rFont val="Tahoma"/>
            <family val="2"/>
          </rPr>
          <t>Source: "AU 2011 DEO DEI DEK Revenue Credits by Operating Company. xlsx"
Rates for this period are based on the May 2012 Attachment H formula rate which used 2011 data. The Company was not yet a member of PJM in 2011.</t>
        </r>
      </text>
    </comment>
    <comment ref="E18" authorId="0">
      <text>
        <r>
          <rPr>
            <sz val="10"/>
            <color indexed="81"/>
            <rFont val="Tahoma"/>
            <family val="2"/>
          </rPr>
          <t xml:space="preserve">Source: "Total Transmission and Ancillary Service Revenue - 2012 (Throug December) FERC Support - Final.xlsx", summarized on "Revenue Credits - 2012 Sch 7 &amp; Sch 9 Revenue for Appx E. xlsx"
</t>
        </r>
      </text>
    </comment>
    <comment ref="C19" authorId="0">
      <text>
        <r>
          <rPr>
            <sz val="10"/>
            <color indexed="81"/>
            <rFont val="Tahoma"/>
            <family val="2"/>
          </rPr>
          <t>Source: "2011 DEO DEI DEK Revenue Credits by Operating Company. xlsx"
Rates for this period are based on the May 2012 Attachment H formula rate which used 2011 data. The Company was not yet a member of PJM in 2011.</t>
        </r>
      </text>
    </comment>
    <comment ref="E19" authorId="0">
      <text>
        <r>
          <rPr>
            <sz val="10"/>
            <color indexed="81"/>
            <rFont val="Tahoma"/>
            <family val="2"/>
          </rPr>
          <t xml:space="preserve">Source: "Total Transmission and Ancillary Service Revenue - 2012 (Throug December) FERC Support - Final.xlsx", summarized on "Revenue Credits - 2012 Sch 7 &amp; Sch 9 Revenue for Appx E. xlsx"
</t>
        </r>
      </text>
    </comment>
    <comment ref="C20" authorId="0">
      <text>
        <r>
          <rPr>
            <sz val="10"/>
            <color indexed="81"/>
            <rFont val="Tahoma"/>
            <family val="2"/>
          </rPr>
          <t>Source: "2011 DEO DEI DEK Revenue Credits by Operating Company. xlsx"
Rates for this period are based on the May 2012 Attachment H formula rate which used 2011 data. The Company was not yet a member of PJM in 2011.</t>
        </r>
      </text>
    </comment>
    <comment ref="E20" authorId="0">
      <text>
        <r>
          <rPr>
            <sz val="10"/>
            <color indexed="81"/>
            <rFont val="Tahoma"/>
            <family val="2"/>
          </rPr>
          <t xml:space="preserve">Source: "Total Transmission and Ancillary Service Revenue - 2012 (Throug December) FERC Support - Final.xlsx", summarized on "Revenue Credits - 2012 Sch 7 &amp; Sch 9 Revenue for Appx E. xlsx"
</t>
        </r>
      </text>
    </comment>
    <comment ref="C21" authorId="0">
      <text>
        <r>
          <rPr>
            <sz val="10"/>
            <color indexed="81"/>
            <rFont val="Tahoma"/>
            <family val="2"/>
          </rPr>
          <t>Source: "2011 DEO DEI DEK Revenue Credits by Operating Company. xlsx"
Rates for this period are based on the May 2012 Attachment H formula rate which used 2011 data. The Company was not yet a member of PJM in 2011.</t>
        </r>
      </text>
    </comment>
    <comment ref="E21" authorId="0">
      <text>
        <r>
          <rPr>
            <sz val="10"/>
            <color indexed="81"/>
            <rFont val="Tahoma"/>
            <family val="2"/>
          </rPr>
          <t xml:space="preserve">Source: "Total Transmission and Ancillary Service Revenue - 2012 (Throug December) FERC Support - Final.xlsx", summarized on "Revenue Credits - 2012 Sch 7 &amp; Sch 9 Revenue for Appx E. xlsx"
</t>
        </r>
      </text>
    </comment>
    <comment ref="C22" authorId="0">
      <text>
        <r>
          <rPr>
            <sz val="10"/>
            <color indexed="81"/>
            <rFont val="Tahoma"/>
            <family val="2"/>
          </rPr>
          <t>Source: "2011 DEO DEI DEK Revenue Credits by Operating Company. xlsx"
Rates for this period are based on the May 2012 Attachment H formula rate which used 2011 data. The Company was not yet a member of PJM in 2011.</t>
        </r>
      </text>
    </comment>
    <comment ref="E22" authorId="0">
      <text>
        <r>
          <rPr>
            <sz val="10"/>
            <color indexed="81"/>
            <rFont val="Tahoma"/>
            <family val="2"/>
          </rPr>
          <t xml:space="preserve">Source: "Total Transmission and Ancillary Service Revenue - 2012 (Throug December) FERC Support - Final.xlsx", summarized on "Revenue Credits - 2012 Sch 7 &amp; Sch 9 Revenue for Appx E. xlsx"
</t>
        </r>
      </text>
    </comment>
    <comment ref="C25" authorId="0">
      <text>
        <r>
          <rPr>
            <sz val="10"/>
            <color indexed="81"/>
            <rFont val="Tahoma"/>
            <family val="2"/>
          </rPr>
          <t>Source: "AU 2011 DEO DEI DEK Revenue Credits by Operating Company. xlsx"
Rates for this period are based on the May 2012 Attachment H formula rate which used 2011 data. The Company was not yet a member of PJM in 2011.
=ROUND(358834.98+268474.68,0)</t>
        </r>
      </text>
    </comment>
    <comment ref="E25" authorId="0">
      <text>
        <r>
          <rPr>
            <sz val="10"/>
            <color indexed="81"/>
            <rFont val="Tahoma"/>
            <family val="2"/>
          </rPr>
          <t xml:space="preserve">Source: "Total Transmission and Ancillary Service Revenue - 2013 (Throug December) FERC Support - Final.xlsx", summarized on "Revenue Credits - 2013 Sch 7 &amp; Sch 9 Revenue for Appx E. xlsx"
</t>
        </r>
      </text>
    </comment>
    <comment ref="C26" authorId="0">
      <text>
        <r>
          <rPr>
            <sz val="10"/>
            <color indexed="81"/>
            <rFont val="Tahoma"/>
            <family val="2"/>
          </rPr>
          <t>Source: "AU 2011 DEO DEI DEK Revenue Credits by Operating Company. xlsx"
Rates for this period are based on the May 2012 Attachment H formula rate which used 2011 data. The Company was not yet a member of PJM in 2011.
=ROUND(311616.97+261389.88,0)</t>
        </r>
      </text>
    </comment>
    <comment ref="E26" authorId="0">
      <text>
        <r>
          <rPr>
            <sz val="10"/>
            <color indexed="81"/>
            <rFont val="Tahoma"/>
            <family val="2"/>
          </rPr>
          <t xml:space="preserve">Source: "Total Transmission and Ancillary Service Revenue - 2013 (Throug December) FERC Support - Final.xlsx", summarized on "Revenue Credits - 2013 Sch 7 &amp; Sch 9 Revenue for Appx E. xlsx"
</t>
        </r>
      </text>
    </comment>
    <comment ref="C27" authorId="0">
      <text>
        <r>
          <rPr>
            <sz val="10"/>
            <color indexed="81"/>
            <rFont val="Tahoma"/>
            <family val="2"/>
          </rPr>
          <t>Source: "AU 2011 DEO DEI DEK Revenue Credits by Operating Company. xlsx"
Rates for this period are based on the May 2012 Attachment H formula rate which used 2011 data. The Company was not yet a member of PJM in 2011.
=ROUND(348327.54+376001.31,0)</t>
        </r>
      </text>
    </comment>
    <comment ref="E27" authorId="0">
      <text>
        <r>
          <rPr>
            <sz val="10"/>
            <color indexed="81"/>
            <rFont val="Tahoma"/>
            <family val="2"/>
          </rPr>
          <t xml:space="preserve">Source: "Total Transmission and Ancillary Service Revenue - 2013 (Throug December) FERC Support - Final.xlsx", summarized on "Revenue Credits - 2013 Sch 7 &amp; Sch 9 Revenue for Appx E. xlsx"
</t>
        </r>
      </text>
    </comment>
    <comment ref="C28" authorId="0">
      <text>
        <r>
          <rPr>
            <sz val="10"/>
            <color indexed="81"/>
            <rFont val="Tahoma"/>
            <family val="2"/>
          </rPr>
          <t>Source: "AU 2011 DEO DEI DEK Revenue Credits by Operating Company. xlsx"
Rates for this period are based on the May 2012 Attachment H formula rate which used 2011 data. The Company was not yet a member of PJM in 2011.
=ROUND(362764.07+228953.12,0)</t>
        </r>
      </text>
    </comment>
    <comment ref="E28" authorId="0">
      <text>
        <r>
          <rPr>
            <sz val="10"/>
            <color indexed="81"/>
            <rFont val="Tahoma"/>
            <family val="2"/>
          </rPr>
          <t xml:space="preserve">Source: "Total Transmission and Ancillary Service Revenue - 2013 (Throug December) FERC Support - Final.xlsx", summarized on "Revenue Credits - 2013 Sch 7 &amp; Sch 9 Revenue for Appx E. xlsx"
</t>
        </r>
      </text>
    </comment>
    <comment ref="C29" authorId="0">
      <text>
        <r>
          <rPr>
            <sz val="10"/>
            <color indexed="81"/>
            <rFont val="Tahoma"/>
            <family val="2"/>
          </rPr>
          <t>Source: "AU 2011 DEO DEI DEK Revenue Credits by Operating Company. xlsx"
Rates for this period are based on the May 2012 Attachment H formula rate which used 2011 data. The Company was not yet a member of PJM in 2011.
=ROUND(408978.17+162840.64,0)</t>
        </r>
      </text>
    </comment>
    <comment ref="E29" authorId="0">
      <text>
        <r>
          <rPr>
            <sz val="10"/>
            <color indexed="81"/>
            <rFont val="Tahoma"/>
            <family val="2"/>
          </rPr>
          <t xml:space="preserve">Source: "Total Transmission and Ancillary Service Revenue - 2013 (Throug December) FERC Support - Final.xlsx", summarized on "Revenue Credits - 2013 Sch 7 &amp; Sch 9 Revenue for Appx E. xlsx"
</t>
        </r>
      </text>
    </comment>
  </commentList>
</comments>
</file>

<file path=xl/comments6.xml><?xml version="1.0" encoding="utf-8"?>
<comments xmlns="http://schemas.openxmlformats.org/spreadsheetml/2006/main">
  <authors>
    <author>Ted Czupik</author>
  </authors>
  <commentList>
    <comment ref="D14" authorId="0">
      <text>
        <r>
          <rPr>
            <sz val="10"/>
            <color indexed="81"/>
            <rFont val="Tahoma"/>
            <family val="2"/>
          </rPr>
          <t xml:space="preserve">Electric portion of line 17 provided by tax department
</t>
        </r>
      </text>
    </comment>
  </commentList>
</comments>
</file>

<file path=xl/comments7.xml><?xml version="1.0" encoding="utf-8"?>
<comments xmlns="http://schemas.openxmlformats.org/spreadsheetml/2006/main">
  <authors>
    <author>Ted Czupik</author>
  </authors>
  <commentList>
    <comment ref="D15" authorId="0">
      <text>
        <r>
          <rPr>
            <sz val="10"/>
            <color indexed="81"/>
            <rFont val="Tahoma"/>
            <family val="2"/>
          </rPr>
          <t xml:space="preserve">page 350, line 3
</t>
        </r>
      </text>
    </comment>
    <comment ref="C28" authorId="0">
      <text>
        <r>
          <rPr>
            <sz val="10"/>
            <color indexed="81"/>
            <rFont val="Tahoma"/>
            <family val="2"/>
          </rPr>
          <t xml:space="preserve">All safety advertising for corporate support is charged to account 909650.
</t>
        </r>
      </text>
    </comment>
  </commentList>
</comments>
</file>

<file path=xl/comments8.xml><?xml version="1.0" encoding="utf-8"?>
<comments xmlns="http://schemas.openxmlformats.org/spreadsheetml/2006/main">
  <authors>
    <author>Ted Czupik</author>
  </authors>
  <commentList>
    <comment ref="C18" authorId="0">
      <text>
        <r>
          <rPr>
            <sz val="10"/>
            <color indexed="81"/>
            <rFont val="Tahoma"/>
            <family val="2"/>
          </rPr>
          <t xml:space="preserve">Pole attachment revenue
</t>
        </r>
      </text>
    </comment>
    <comment ref="E18" authorId="0">
      <text>
        <r>
          <rPr>
            <sz val="10"/>
            <color indexed="81"/>
            <rFont val="Tahoma"/>
            <family val="2"/>
          </rPr>
          <t xml:space="preserve">Pole attachment revenue
</t>
        </r>
      </text>
    </comment>
    <comment ref="C22" authorId="0">
      <text>
        <r>
          <rPr>
            <sz val="10"/>
            <color indexed="81"/>
            <rFont val="Tahoma"/>
            <family val="2"/>
          </rPr>
          <t xml:space="preserve">Determined by running business objects query and including "journal description"
</t>
        </r>
      </text>
    </comment>
  </commentList>
</comments>
</file>

<file path=xl/sharedStrings.xml><?xml version="1.0" encoding="utf-8"?>
<sst xmlns="http://schemas.openxmlformats.org/spreadsheetml/2006/main" count="2697" uniqueCount="863">
  <si>
    <t>205.5.g &amp; 207.99.g</t>
  </si>
  <si>
    <t>336.11.b</t>
  </si>
  <si>
    <t>263.i. 4, 5, 12</t>
  </si>
  <si>
    <t>1a</t>
  </si>
  <si>
    <t>Less Account 565</t>
  </si>
  <si>
    <t>Removes dollar amount of transmission expenses included in the OATT ancillary services rates, including Account Nos. 561.1, 561.2, 561.3, and 561.BA.</t>
  </si>
  <si>
    <t>V</t>
  </si>
  <si>
    <t>321.88.b, 92.b; 322.121.b</t>
  </si>
  <si>
    <t>Step-ups leased to Duke Energy Kentucky</t>
  </si>
  <si>
    <t xml:space="preserve">Duke Energy Ohio Consolidated </t>
  </si>
  <si>
    <t>Capital Structure</t>
  </si>
  <si>
    <t xml:space="preserve">Formula Rate - Non-Levelized </t>
  </si>
  <si>
    <t xml:space="preserve"> </t>
  </si>
  <si>
    <t>Line</t>
  </si>
  <si>
    <t>Allocated</t>
  </si>
  <si>
    <t>No.</t>
  </si>
  <si>
    <t>Amount</t>
  </si>
  <si>
    <t>Total</t>
  </si>
  <si>
    <t>Allocator</t>
  </si>
  <si>
    <t>TP</t>
  </si>
  <si>
    <t>NET REVENUE REQUIREMENT</t>
  </si>
  <si>
    <t>(Note A)</t>
  </si>
  <si>
    <t>(Note C)</t>
  </si>
  <si>
    <t>(Note D)</t>
  </si>
  <si>
    <t>(1)</t>
  </si>
  <si>
    <t>(2)</t>
  </si>
  <si>
    <t>(3)</t>
  </si>
  <si>
    <t>(4)</t>
  </si>
  <si>
    <t>(5)</t>
  </si>
  <si>
    <t>Form No. 1</t>
  </si>
  <si>
    <t>Transmission</t>
  </si>
  <si>
    <t>Page, Line, Col.</t>
  </si>
  <si>
    <t>Company Total</t>
  </si>
  <si>
    <t>RATE BASE:</t>
  </si>
  <si>
    <t>GROSS PLANT IN SERVICE</t>
  </si>
  <si>
    <t xml:space="preserve">  Production</t>
  </si>
  <si>
    <t>NA</t>
  </si>
  <si>
    <t xml:space="preserve">  Transmission</t>
  </si>
  <si>
    <t xml:space="preserve">  Distribution</t>
  </si>
  <si>
    <t xml:space="preserve">  General &amp; Intangible</t>
  </si>
  <si>
    <t>W/S</t>
  </si>
  <si>
    <t xml:space="preserve">  Common</t>
  </si>
  <si>
    <t>356.1</t>
  </si>
  <si>
    <t>TOTAL GROSS PLANT (sum lines 1-5)</t>
  </si>
  <si>
    <t>GP=</t>
  </si>
  <si>
    <t>ACCUMULATED DEPRECIATION</t>
  </si>
  <si>
    <t>TOTAL ACCUM. DEPRECIATION (sum lines 7-11)</t>
  </si>
  <si>
    <t>NET PLANT IN SERVICE</t>
  </si>
  <si>
    <t xml:space="preserve"> (line 3 - line 9)</t>
  </si>
  <si>
    <t xml:space="preserve"> (line 4 - line 10)</t>
  </si>
  <si>
    <t xml:space="preserve"> (line 5 - line 11)</t>
  </si>
  <si>
    <t>TOTAL NET PLANT (sum lines 13-17)</t>
  </si>
  <si>
    <t>NP=</t>
  </si>
  <si>
    <t>273.8.k</t>
  </si>
  <si>
    <t>NP</t>
  </si>
  <si>
    <t>TE</t>
  </si>
  <si>
    <t>GP</t>
  </si>
  <si>
    <t>TOTAL WORKING CAPITAL (sum lines 26 - 28)</t>
  </si>
  <si>
    <t>O&amp;M</t>
  </si>
  <si>
    <t xml:space="preserve">  Transmission </t>
  </si>
  <si>
    <t xml:space="preserve">  A&amp;G</t>
  </si>
  <si>
    <t xml:space="preserve">  Transmission Lease Payments</t>
  </si>
  <si>
    <t>DEPRECIATION EXPENSE</t>
  </si>
  <si>
    <t>336.7.b</t>
  </si>
  <si>
    <t>TOTAL DEPRECIATION (Sum lines 9 - 11)</t>
  </si>
  <si>
    <t xml:space="preserve">  LABOR RELATED</t>
  </si>
  <si>
    <t xml:space="preserve">  PLANT RELATED</t>
  </si>
  <si>
    <t xml:space="preserve">         Property</t>
  </si>
  <si>
    <t xml:space="preserve">         Gross Receipts</t>
  </si>
  <si>
    <t xml:space="preserve">         Other</t>
  </si>
  <si>
    <t xml:space="preserve">         Payments in lieu of taxes</t>
  </si>
  <si>
    <t>TOTAL OTHER TAXES  (sum lines 13 - 19)</t>
  </si>
  <si>
    <t xml:space="preserve">  </t>
  </si>
  <si>
    <t xml:space="preserve">RETURN </t>
  </si>
  <si>
    <t xml:space="preserve">  [ Rate Base (page 2, line 30) * Rate of Return (page 4, line 30)]</t>
  </si>
  <si>
    <t xml:space="preserve">TRANSMISSION EXPENSES </t>
  </si>
  <si>
    <t>Total transmission expenses    (page 3, line 1, column 3)</t>
  </si>
  <si>
    <t>TE=</t>
  </si>
  <si>
    <t>TP=</t>
  </si>
  <si>
    <t>WAGES &amp; SALARY ALLOCATOR   (W&amp;S)</t>
  </si>
  <si>
    <t>Form 1 Reference</t>
  </si>
  <si>
    <t>$</t>
  </si>
  <si>
    <t>Allocation</t>
  </si>
  <si>
    <t>354.20.b</t>
  </si>
  <si>
    <t>W&amp;S Allocator</t>
  </si>
  <si>
    <t xml:space="preserve">  Other</t>
  </si>
  <si>
    <t>($ / Allocation)</t>
  </si>
  <si>
    <t>=</t>
  </si>
  <si>
    <t>% Electric</t>
  </si>
  <si>
    <t xml:space="preserve">  Electric</t>
  </si>
  <si>
    <t>200.3.c</t>
  </si>
  <si>
    <t>(line 17 / line 20)</t>
  </si>
  <si>
    <t>(line 16)</t>
  </si>
  <si>
    <t>CE</t>
  </si>
  <si>
    <t xml:space="preserve">  Gas</t>
  </si>
  <si>
    <t>*</t>
  </si>
  <si>
    <t xml:space="preserve">  Water</t>
  </si>
  <si>
    <t>RETURN (R)</t>
  </si>
  <si>
    <t>Preferred Dividends (118.29c) (positive number)</t>
  </si>
  <si>
    <t xml:space="preserve">                                          Development of Common Stock:</t>
  </si>
  <si>
    <t>Common Stock</t>
  </si>
  <si>
    <t>Cost</t>
  </si>
  <si>
    <t>%</t>
  </si>
  <si>
    <t>Weighted</t>
  </si>
  <si>
    <t>=WCLTD</t>
  </si>
  <si>
    <t xml:space="preserve">  Common Stock  (line 26)</t>
  </si>
  <si>
    <t>=R</t>
  </si>
  <si>
    <t>REVENUE CREDITS</t>
  </si>
  <si>
    <t>(310-311)</t>
  </si>
  <si>
    <t xml:space="preserve">  Total of (a)-(b)</t>
  </si>
  <si>
    <t>(330.x.n)</t>
  </si>
  <si>
    <t>General Note:  References to pages in this formulary rate are indicated as:  (page#, line#, col.#)</t>
  </si>
  <si>
    <t xml:space="preserve">                           References to data from FERC Form 1 are indicated as:   #.y.x  (page, line, column)</t>
  </si>
  <si>
    <t>Note</t>
  </si>
  <si>
    <t>Letter</t>
  </si>
  <si>
    <t>A</t>
  </si>
  <si>
    <t>B</t>
  </si>
  <si>
    <t>C</t>
  </si>
  <si>
    <t>D</t>
  </si>
  <si>
    <t>E</t>
  </si>
  <si>
    <t>F</t>
  </si>
  <si>
    <t>G</t>
  </si>
  <si>
    <t>Identified in Form 1 as being only transmission related.</t>
  </si>
  <si>
    <t>H</t>
  </si>
  <si>
    <t>Cash Working Capital assigned to transmission is one-eighth of O&amp;M allocated to transmission at page 3, line 8, column 5.</t>
  </si>
  <si>
    <t>I</t>
  </si>
  <si>
    <t>J</t>
  </si>
  <si>
    <t>K</t>
  </si>
  <si>
    <t>L</t>
  </si>
  <si>
    <t>M</t>
  </si>
  <si>
    <t>Removes transmission plant determined by Commission order to be state-jurisdictional according to the seven-factor test (until Form 1</t>
  </si>
  <si>
    <t>N</t>
  </si>
  <si>
    <t>O</t>
  </si>
  <si>
    <t>P</t>
  </si>
  <si>
    <t>Q</t>
  </si>
  <si>
    <t>R</t>
  </si>
  <si>
    <t>Account 456</t>
  </si>
  <si>
    <t>Account 454</t>
  </si>
  <si>
    <t>Per Books Total, Page 300</t>
  </si>
  <si>
    <t>Rent from Electric Property in per Books Total above</t>
  </si>
  <si>
    <t>Revenue Credits, Accounts 454 and 456</t>
  </si>
  <si>
    <t>Includes income related only to transmission facilities, such as pole attachments, rentals and special use.</t>
  </si>
  <si>
    <t xml:space="preserve">  Account No. 281 (enter negative)</t>
  </si>
  <si>
    <t xml:space="preserve">  Account No. 282 (enter negative)</t>
  </si>
  <si>
    <t xml:space="preserve">  Account No. 283 (enter negative)</t>
  </si>
  <si>
    <t xml:space="preserve">  Account No. 255 (enter negative)</t>
  </si>
  <si>
    <t xml:space="preserve">  Account No. 190 </t>
  </si>
  <si>
    <t>RATE BASE  (sum lines 18, 24, 25, &amp; 29)</t>
  </si>
  <si>
    <t xml:space="preserve">  Prepayments (Account 165)</t>
  </si>
  <si>
    <t xml:space="preserve">  a. Bundled Non-RQ Sales for Resale (311.x.h)</t>
  </si>
  <si>
    <t>Total Income Taxes</t>
  </si>
  <si>
    <t xml:space="preserve">  Total  (sum lines 17 - 19)</t>
  </si>
  <si>
    <t>Load</t>
  </si>
  <si>
    <t>(page 4, line 34)</t>
  </si>
  <si>
    <t>(line 1 minus line 6)</t>
  </si>
  <si>
    <t>FIT =</t>
  </si>
  <si>
    <t>SIT=</t>
  </si>
  <si>
    <t xml:space="preserve">  (State Income Tax Rate or Composite SIT)</t>
  </si>
  <si>
    <t>p =</t>
  </si>
  <si>
    <t xml:space="preserve">  (percent of federal income tax deductible for state purposes)</t>
  </si>
  <si>
    <t xml:space="preserve">     T=1 - {[(1 - SIT) * (1 - FIT)] / (1 - SIT * FIT * p)} =</t>
  </si>
  <si>
    <t xml:space="preserve">     CIT=(T/1-T) * (1-(WCLTD/R)) =</t>
  </si>
  <si>
    <t xml:space="preserve">      1 / (1 - T)  = (from line 21)</t>
  </si>
  <si>
    <t xml:space="preserve">       and FIT, SIT &amp; p are as given in footnote K.</t>
  </si>
  <si>
    <t>REV. REQUIREMENT  (sum lines 8, 12, 20, 27, 28)</t>
  </si>
  <si>
    <t xml:space="preserve">         Inputs Required:</t>
  </si>
  <si>
    <t>ITC adjustment (line 23 * line 24)</t>
  </si>
  <si>
    <t>(line 25 plus line 26)</t>
  </si>
  <si>
    <t>calculated</t>
  </si>
  <si>
    <t>WS</t>
  </si>
  <si>
    <t xml:space="preserve">  CWC  </t>
  </si>
  <si>
    <t>Total  (sum lines 27-29)</t>
  </si>
  <si>
    <t xml:space="preserve">  Total  (sum lines 12-15)</t>
  </si>
  <si>
    <t>Removes dollar amount of transmission plant included in the development of OATT ancillary services rates and generation</t>
  </si>
  <si>
    <t xml:space="preserve">Less Preferred Stock (line 28) </t>
  </si>
  <si>
    <t>5a</t>
  </si>
  <si>
    <t>zero</t>
  </si>
  <si>
    <t>S</t>
  </si>
  <si>
    <t>T</t>
  </si>
  <si>
    <t>Percentage of transmission expenses after adjustment (line 8 divided by line 6)</t>
  </si>
  <si>
    <t>Included transmission expenses (line 6 less line 7)</t>
  </si>
  <si>
    <t>State</t>
  </si>
  <si>
    <t>Ohio</t>
  </si>
  <si>
    <t>Kentucky</t>
  </si>
  <si>
    <t xml:space="preserve">   </t>
  </si>
  <si>
    <t>219.25.c</t>
  </si>
  <si>
    <t>219.26.c</t>
  </si>
  <si>
    <t>M&amp;S</t>
  </si>
  <si>
    <t>Jan</t>
  </si>
  <si>
    <t>Feb</t>
  </si>
  <si>
    <t>Mar</t>
  </si>
  <si>
    <t>Apr</t>
  </si>
  <si>
    <t>Jun</t>
  </si>
  <si>
    <t>Aug</t>
  </si>
  <si>
    <t>Dec</t>
  </si>
  <si>
    <t>Average</t>
  </si>
  <si>
    <t>Notes:</t>
  </si>
  <si>
    <t>219.20-24.c</t>
  </si>
  <si>
    <t>267.8.h</t>
  </si>
  <si>
    <t>263.i</t>
  </si>
  <si>
    <t>201.3.d</t>
  </si>
  <si>
    <t>201.3.e</t>
  </si>
  <si>
    <t>111.57.c</t>
  </si>
  <si>
    <t>U</t>
  </si>
  <si>
    <t>207.58.g</t>
  </si>
  <si>
    <t>207.75.g</t>
  </si>
  <si>
    <t>Balancing Authority Costs</t>
  </si>
  <si>
    <t>Proprietary Capital (112.16.c)</t>
  </si>
  <si>
    <t>Less Account 216.1 (112.12.c)  (enter negative)</t>
  </si>
  <si>
    <t xml:space="preserve">  Long Term Debt (112, sum of 18.c through 21.c)</t>
  </si>
  <si>
    <t xml:space="preserve">  Preferred Stock  (112.3.c)</t>
  </si>
  <si>
    <t>Duke Energy Ohio</t>
  </si>
  <si>
    <t>Duke Energy Kentucky</t>
  </si>
  <si>
    <t>Long Term Interest (117, sum of 62.c through 67.c)</t>
  </si>
  <si>
    <t>Preferred Dividends (118.29.c) (positive number)</t>
  </si>
  <si>
    <t>DUKE ENERGY OHIO</t>
  </si>
  <si>
    <t>DUKE ENERGY KENTUCKY</t>
  </si>
  <si>
    <t>DEO</t>
  </si>
  <si>
    <t>DEK</t>
  </si>
  <si>
    <t>205.46.g</t>
  </si>
  <si>
    <t>321.112.b</t>
  </si>
  <si>
    <t>321.96.b</t>
  </si>
  <si>
    <t>323.197.b</t>
  </si>
  <si>
    <t>354.21.b</t>
  </si>
  <si>
    <t>354.23.b</t>
  </si>
  <si>
    <t>354.24,25,26.b</t>
  </si>
  <si>
    <t xml:space="preserve">Less Preferred Stock (112.3.c) </t>
  </si>
  <si>
    <t>Production</t>
  </si>
  <si>
    <t>Distribution</t>
  </si>
  <si>
    <t>Source:  FERC Form 1 Page 214</t>
  </si>
  <si>
    <t>Transmission Plant</t>
  </si>
  <si>
    <t>Page 1 of 2</t>
  </si>
  <si>
    <t>O&amp;M EXPENSE</t>
  </si>
  <si>
    <t>9</t>
  </si>
  <si>
    <t>10</t>
  </si>
  <si>
    <t>TAXES OTHER THAN INCOME TAXES</t>
  </si>
  <si>
    <t>11</t>
  </si>
  <si>
    <t>Total Other Taxes</t>
  </si>
  <si>
    <t>12</t>
  </si>
  <si>
    <t>INCOME TAXES</t>
  </si>
  <si>
    <t>Return on Rate Base</t>
  </si>
  <si>
    <t>Page 2 of 2</t>
  </si>
  <si>
    <t>(Note F)</t>
  </si>
  <si>
    <t>in Note K.  Account 281 is not allocated.</t>
  </si>
  <si>
    <t>Non-Transmission Related Portion</t>
  </si>
  <si>
    <t>Detail of Land Held for Future Use</t>
  </si>
  <si>
    <t>Woodsdale Station</t>
  </si>
  <si>
    <t>Other Projects</t>
  </si>
  <si>
    <t>East Bend Station - Production</t>
  </si>
  <si>
    <t>Project Name</t>
  </si>
  <si>
    <t>Amount of Safety Related Advertising</t>
  </si>
  <si>
    <t>A&amp;G Expense, Page 323, line 197, column b</t>
  </si>
  <si>
    <t>Transmission Expense, Page 321, line 112, column b</t>
  </si>
  <si>
    <t>A&amp;G Expense</t>
  </si>
  <si>
    <t>Transmission Expense</t>
  </si>
  <si>
    <r>
      <rPr>
        <b/>
        <sz val="12"/>
        <rFont val="Arial"/>
        <family val="2"/>
      </rPr>
      <t>Less:</t>
    </r>
    <r>
      <rPr>
        <sz val="12"/>
        <rFont val="Arial"/>
        <family val="2"/>
      </rPr>
      <t xml:space="preserve"> Balancing Authority costs that should have been recorded in account 561, instead were recorded in Account 920 after accounting system change</t>
    </r>
  </si>
  <si>
    <r>
      <rPr>
        <b/>
        <sz val="12"/>
        <rFont val="Arial"/>
        <family val="2"/>
      </rPr>
      <t>Add:</t>
    </r>
    <r>
      <rPr>
        <sz val="12"/>
        <rFont val="Arial"/>
        <family val="2"/>
      </rPr>
      <t xml:space="preserve"> Balancing Authority costs that should have been recorded in account 561, instead were recorded in Account 920 after accounting system change</t>
    </r>
  </si>
  <si>
    <t>Balancing Authority Costs in 561 through 561.3</t>
  </si>
  <si>
    <t>B.A. Costs in Transmission Expense on Page 321 of FF1</t>
  </si>
  <si>
    <t>Account 282</t>
  </si>
  <si>
    <t>Account 190</t>
  </si>
  <si>
    <t>Sole use Property</t>
  </si>
  <si>
    <t>Distribution Use</t>
  </si>
  <si>
    <t>Assets removed through 2011 by FERC Agreement</t>
  </si>
  <si>
    <t>The balances in Accounts 190, 281, 282 and 283, as adjusted by any amounts in contra accounts identified as regulatory assets or liabilities related to FASB 106 or 109.</t>
  </si>
  <si>
    <t>Balance of Account 255 is reduced by prior flow throughs and excluded if the utility chose to utilize amortization of tax credits against taxable income as discussed</t>
  </si>
  <si>
    <t>Gross Transmission Plant - Total</t>
  </si>
  <si>
    <t>Net Transmission Plant - Total</t>
  </si>
  <si>
    <t>Total O&amp;M Allocated to Transmission</t>
  </si>
  <si>
    <t>Annual Allocation Factor for O&amp;M</t>
  </si>
  <si>
    <t>5</t>
  </si>
  <si>
    <t>6</t>
  </si>
  <si>
    <t>Annual Allocation Factor for Other Taxes</t>
  </si>
  <si>
    <t>7</t>
  </si>
  <si>
    <t>Annual Allocation Factor for Expense</t>
  </si>
  <si>
    <t>8</t>
  </si>
  <si>
    <t>Annual Allocation Factor for Income Taxes</t>
  </si>
  <si>
    <t>Annual Allocation Factor for Return on Rate Base</t>
  </si>
  <si>
    <t>Annual Allocation Factor for Return</t>
  </si>
  <si>
    <t>Line No.</t>
  </si>
  <si>
    <t>MTEP Project Number</t>
  </si>
  <si>
    <t xml:space="preserve">Project Gross Plant </t>
  </si>
  <si>
    <t>Annual Expense Charge</t>
  </si>
  <si>
    <t xml:space="preserve">Project Net Plant </t>
  </si>
  <si>
    <t>Annual Return Charge</t>
  </si>
  <si>
    <t>Project Depreciation Expense</t>
  </si>
  <si>
    <t>Annual Revenue Requirement</t>
  </si>
  <si>
    <t>True-Up Adjustment</t>
  </si>
  <si>
    <t>Network Upgrade Charge</t>
  </si>
  <si>
    <t>(Col. 3 * Col. 4)</t>
  </si>
  <si>
    <t>(Col. 6 * Col. 7)</t>
  </si>
  <si>
    <t>(Note E)</t>
  </si>
  <si>
    <t>(Sum Col. 5, 8 &amp; 9)</t>
  </si>
  <si>
    <t>Sum Col. 10 &amp; 11
(Note G)</t>
  </si>
  <si>
    <t>Project 1</t>
  </si>
  <si>
    <t>P1</t>
  </si>
  <si>
    <t>1b</t>
  </si>
  <si>
    <t>Project 2</t>
  </si>
  <si>
    <t>P2</t>
  </si>
  <si>
    <t>1c</t>
  </si>
  <si>
    <t>Project 3</t>
  </si>
  <si>
    <t>P3</t>
  </si>
  <si>
    <t>2</t>
  </si>
  <si>
    <t>Annual Totals</t>
  </si>
  <si>
    <t>Project Gross Plant is the total capital investment for the project calculated in the same method as the gross plant value in line 1 and includes CWIP in rate base if applicable.  This value includes subsequent capital investments required to maintain the facilities to their original capabilities.</t>
  </si>
  <si>
    <t>Project Net Plant is the Project Gross Plant Identified in Column 3 less the associated Accumulated Depreciation.</t>
  </si>
  <si>
    <t>True-Up Adjustment is included pursuant to a FERC approved methodology if applicable.</t>
  </si>
  <si>
    <t>The Network Upgrade Charge is the value to be used in Schedule 26.</t>
  </si>
  <si>
    <t>Hillcrest 345 kV</t>
  </si>
  <si>
    <t>Rate Formula Template</t>
  </si>
  <si>
    <t>Tower Lease Revenues in per Books Total above</t>
  </si>
  <si>
    <t>Materials and Supplies</t>
  </si>
  <si>
    <t>Total M&amp;S</t>
  </si>
  <si>
    <t>(In Dollars)</t>
  </si>
  <si>
    <t>Goodwill</t>
  </si>
  <si>
    <t>Actual</t>
  </si>
  <si>
    <t>Liabilities and Shareholders' Equity</t>
  </si>
  <si>
    <t>Non-Current Liabilities</t>
  </si>
  <si>
    <t>Common Stock Equity</t>
  </si>
  <si>
    <t xml:space="preserve">          Total Common Stock Equity</t>
  </si>
  <si>
    <t>GENERAL AND COMMON (G&amp;C) DEPRECIATION EXPENSE</t>
  </si>
  <si>
    <t>Total G&amp;C Depreciation Expense</t>
  </si>
  <si>
    <t>Annual Allocation Factor for G&amp;C Depreciation Expense</t>
  </si>
  <si>
    <t>13</t>
  </si>
  <si>
    <t>14</t>
  </si>
  <si>
    <t>Transmission Related</t>
  </si>
  <si>
    <t>May</t>
  </si>
  <si>
    <t>Jul</t>
  </si>
  <si>
    <t>Sep</t>
  </si>
  <si>
    <t>Oct</t>
  </si>
  <si>
    <t>Nov</t>
  </si>
  <si>
    <t>Utilizing FERC Form 1 Data</t>
  </si>
  <si>
    <t>SUPPORTING CALCULATIONS AND NOTES</t>
  </si>
  <si>
    <t>Network Upgrade Charge Calculation By Project</t>
  </si>
  <si>
    <t>Annual Cost ($/kW/Yr) - 1 CP</t>
  </si>
  <si>
    <t>RATE BASE</t>
  </si>
  <si>
    <t>263.i. 6</t>
  </si>
  <si>
    <t>263.i. 14, 20</t>
  </si>
  <si>
    <t>263.i. 22</t>
  </si>
  <si>
    <t>263.i. 6, 7, 13</t>
  </si>
  <si>
    <t>263.i. 5</t>
  </si>
  <si>
    <t>263.i. 14, 22</t>
  </si>
  <si>
    <t>$/MWh</t>
  </si>
  <si>
    <t>MWh</t>
  </si>
  <si>
    <t>Schedule 1A Rate Calculations</t>
  </si>
  <si>
    <t>B.</t>
  </si>
  <si>
    <t>Net Schedule 1A Revenue Requirement for Zone</t>
  </si>
  <si>
    <t>Total Load Dispatch &amp; Scheduling (Account 561)</t>
  </si>
  <si>
    <t>A.</t>
  </si>
  <si>
    <t>Requirement</t>
  </si>
  <si>
    <t>Revenue</t>
  </si>
  <si>
    <t>Transmission Formula Rate Revenue Requirement</t>
  </si>
  <si>
    <t>Schedule 1A Annual Revenue Requirements</t>
  </si>
  <si>
    <t>Appendix A</t>
  </si>
  <si>
    <t>Page 1 of 1</t>
  </si>
  <si>
    <t>Attachment H-22A, Page 4, Line 7</t>
  </si>
  <si>
    <t>Revenue Credits for Schedule 1A - Note A</t>
  </si>
  <si>
    <t>Note:</t>
  </si>
  <si>
    <t>used to calculate rates under Attachment H-22A.</t>
  </si>
  <si>
    <t>Schedule 1A rate $/MWh (Line 3 / Line 4)</t>
  </si>
  <si>
    <t>4a</t>
  </si>
  <si>
    <t>4b</t>
  </si>
  <si>
    <t>5b</t>
  </si>
  <si>
    <t>Source</t>
  </si>
  <si>
    <t>Reserved</t>
  </si>
  <si>
    <t>Schedule 1A Rate Calculation</t>
  </si>
  <si>
    <t>Appendix C</t>
  </si>
  <si>
    <t>RTEP - Transmission Enhancement Charges</t>
  </si>
  <si>
    <t>Legacy MTEP Credit</t>
  </si>
  <si>
    <t>Attachment H-22A</t>
  </si>
  <si>
    <t>Utilizing Attachment H-22A Data</t>
  </si>
  <si>
    <t xml:space="preserve">                          References to data from FERC Form 1 are indicated as:   #.y.x  (page, line, column)</t>
  </si>
  <si>
    <t>Prepayments are the electric related prepayments booked to Account No. 165 and reported on Page 111 line 57 in the Form 1.</t>
  </si>
  <si>
    <t>step-up facilities, which are deemed to be included in OATT ancillary services.  For these purposes, generation step-up</t>
  </si>
  <si>
    <t>facilities are those facilities at a generator substation on which there is no through-flow when the generator is shut down.</t>
  </si>
  <si>
    <t>No. 456.1 and all other uses are to be included in the divisor.</t>
  </si>
  <si>
    <t>or from the ISO (for service under this tariff) reflecting the Transmission Owner's integrated transmission facilities.  They do not include</t>
  </si>
  <si>
    <t>(page 4, line 35)</t>
  </si>
  <si>
    <t>DIVISOR</t>
  </si>
  <si>
    <t>(line 7 / line 8)</t>
  </si>
  <si>
    <t>General Advertising - 930.1</t>
  </si>
  <si>
    <t>TRANSMISSION PLANT INCLUDED IN ISO RATES</t>
  </si>
  <si>
    <t>Total transmission plant (page 2, line 2, column 3)</t>
  </si>
  <si>
    <t>Transmission plant included in ISO Rates  (line 1 less lines 2 &amp; 3)</t>
  </si>
  <si>
    <t>Percentage of transmission plant included in ISO Rates (line 4 divided by line 1)</t>
  </si>
  <si>
    <t>Percentage of transmission plant included in ISO Rates (line 5)</t>
  </si>
  <si>
    <t>Percentage of transmission expenses included in ISO Rates (line 9 times line 10)</t>
  </si>
  <si>
    <t>Gross Transmission Plant is that identified on page 2 line 2 of Attachment H-22A and includes any sub lines 2a or 2b etc. and is inclusive of any CWIP included in rate base when authorized by FERC order.</t>
  </si>
  <si>
    <t>Net Transmission Plant is that identified on page 2 line 14 of Attachment H-22A and includes any sub lines 14a or 14b etc. and is inclusive of any CWIP included in rate base when authorized by FERC order.</t>
  </si>
  <si>
    <t>Project Depreciation Expense is the actual value booked for the project and included in the Depreciation Expense in Attachment H-22A page 3 line 12.</t>
  </si>
  <si>
    <t>Determination of Transmission Plant Included in OATT Ancillary Services</t>
  </si>
  <si>
    <t>State Tax Composite Rate</t>
  </si>
  <si>
    <t>Revenue Requirement</t>
  </si>
  <si>
    <t>Tax Rate</t>
  </si>
  <si>
    <t>State Taxes</t>
  </si>
  <si>
    <t>Composite Tax Rate</t>
  </si>
  <si>
    <t>Allocation of Account 163</t>
  </si>
  <si>
    <t xml:space="preserve">Line 5 - EPRI Annual Membership Dues listed in Form 1 at 353.f, all Regulatory Commission Expenses itemized at 351.h, and non-safety related advertising included </t>
  </si>
  <si>
    <t xml:space="preserve">in Account 930.1.  Line 5a - Regulatory Commission Expenses directly related to transmission service, ISO filings, or transmission siting itemized at 351.h. </t>
  </si>
  <si>
    <t>Includes only FICA, unemployment, highway, property, gross receipts, and other assessments charged in the current year.  Taxes related to income are excluded.</t>
  </si>
  <si>
    <t>Gross receipts taxes are not included in transmission revenue requirement in the Rate Formula Template, since they are recovered elsewhere.</t>
  </si>
  <si>
    <t xml:space="preserve">"the percentage of federal income tax deductible for state income taxes".  If the utility is taxed in more than one state it must attach a work paper showing the name </t>
  </si>
  <si>
    <t>of each state and how the blended or composite SIT was developed.  Furthermore, a utility that elected to utilize amortization of tax credits</t>
  </si>
  <si>
    <t xml:space="preserve">against taxable income, rather than book tax credits to Account No. 255 and reduce rate base, must reduce its income tax expense by </t>
  </si>
  <si>
    <t>the amount of the Amortized Investment Tax Credit (Form 1, 266.8.f) multiplied by (1/1-T) (page 3, line 26).</t>
  </si>
  <si>
    <t>Account Nos. 561.4, 561.8 and 575.7 consist of RTO expenses billed to load-serving entities and are not included in Transmission Owner revenue requirements.</t>
  </si>
  <si>
    <t>GROSS REVENUE REQUIREMENT    (page 3, line 29)</t>
  </si>
  <si>
    <t xml:space="preserve">       where WCLTD=(page 4, line 27) and R= (page 4, line 30)</t>
  </si>
  <si>
    <t xml:space="preserve">214.x.d  </t>
  </si>
  <si>
    <t>214.x.d</t>
  </si>
  <si>
    <t>COMMON PLANT ALLOCATOR  (CE)</t>
  </si>
  <si>
    <t>266.8.f (enter negative)</t>
  </si>
  <si>
    <t>Amortized Investment Tax Credit</t>
  </si>
  <si>
    <t>Income Tax Calculation (line 22 * line 28)</t>
  </si>
  <si>
    <t xml:space="preserve">  b. Bundled Sales for Resale included in Divisor on page 1</t>
  </si>
  <si>
    <t>Revenue received pursuant to PJM Schedule 1A revenue allocation procedures</t>
  </si>
  <si>
    <t>The Total General and Common Depreciation Expense excludes any depreciation expense directly associated with a project and thereby included in page 2 column 9.</t>
  </si>
  <si>
    <t>TRANSMISSION PLANT</t>
  </si>
  <si>
    <t>RTEP Project Number</t>
  </si>
  <si>
    <t>Sum of lines 11 and 13</t>
  </si>
  <si>
    <t>Reference</t>
  </si>
  <si>
    <t>Appendix B</t>
  </si>
  <si>
    <t xml:space="preserve"> (line 1 - line 7)</t>
  </si>
  <si>
    <t xml:space="preserve"> (line 2 - line 8)</t>
  </si>
  <si>
    <t>(Col. 3 times Col. 4)</t>
  </si>
  <si>
    <t>Line 33 must equal zero since all short-term power sales must be unbundled and the transmission component reflected in Account</t>
  </si>
  <si>
    <t>(Note P)</t>
  </si>
  <si>
    <t xml:space="preserve">assignment facilities and GSUs) which are not recovered under this Rate Formula Template. </t>
  </si>
  <si>
    <t>Duke Energy Ohio and Kentucky</t>
  </si>
  <si>
    <t>Account No. 454</t>
  </si>
  <si>
    <t>Revenues from Grandfathered Interzonal Transactions</t>
  </si>
  <si>
    <t>Less FERC Annual Fees</t>
  </si>
  <si>
    <t>Payroll</t>
  </si>
  <si>
    <t>Highway and vehicle</t>
  </si>
  <si>
    <t>1 CP   (Note A)</t>
  </si>
  <si>
    <t>12 CP  (Note B)</t>
  </si>
  <si>
    <t>LAND HELD FOR FUTURE USE   (Note G)</t>
  </si>
  <si>
    <t xml:space="preserve">  Materials &amp; Supplies    (Note G)</t>
  </si>
  <si>
    <t>Less transmission plant excluded from ISO rates  (Note M)</t>
  </si>
  <si>
    <t>Less transmission plant included in OATT Ancillary Services  (Note N)</t>
  </si>
  <si>
    <t>Less transmission expenses included in OATT Ancillary Services  (Note L)</t>
  </si>
  <si>
    <t>COMMON PLANT ALLOCATOR  (CE)                   (Note O)</t>
  </si>
  <si>
    <t>ACCOUNT 447 (SALES FOR RESALE)  (Note Q)</t>
  </si>
  <si>
    <t>ACCOUNT 454 (RENT FROM ELECTRIC PROPERTY)    (Note R)</t>
  </si>
  <si>
    <t>REVENUE CREDITS   (Note T)</t>
  </si>
  <si>
    <t>REVENUE CREDITS  (Note T)</t>
  </si>
  <si>
    <t>Less LSE Expenses included in Transmission O&amp;M Accounts  (Note V)</t>
  </si>
  <si>
    <t>Less EPRI &amp; Reg. Comm. Exp. &amp; Non-safety  Advertising    (Note I)</t>
  </si>
  <si>
    <t>Plus Transmission Related Reg. Comm. Exp.   (Note I)</t>
  </si>
  <si>
    <t>TAXES OTHER THAN INCOME TAXES    (Note J)</t>
  </si>
  <si>
    <t>Less transmission plant excluded from ISO rates   (Note M)</t>
  </si>
  <si>
    <t>Less transmission plant included in OATT Ancillary Services    (Note N)</t>
  </si>
  <si>
    <t>Less transmission expenses included in OATT Ancillary Services    (Note L)</t>
  </si>
  <si>
    <t>ACCOUNT 447 (SALES FOR RESALE)     (Note Q)</t>
  </si>
  <si>
    <t>REVENUE CREDITS    (Note T)</t>
  </si>
  <si>
    <t>ADJUSTMENTS TO RATE BASE     (Note F)</t>
  </si>
  <si>
    <t>WORKING CAPITAL    (Note H)</t>
  </si>
  <si>
    <t xml:space="preserve">  Materials &amp; Supplies     (Note G)</t>
  </si>
  <si>
    <t>INCOME TAXES           (Note K)</t>
  </si>
  <si>
    <t>Less transmission expenses included in OATT Ancillary Services   (Note L)</t>
  </si>
  <si>
    <t>COMMON PLANT ALLOCATOR  (CE)         (Note O)</t>
  </si>
  <si>
    <t>ACCOUNT 447 (SALES FOR RESALE)    (Note Q)</t>
  </si>
  <si>
    <t>ACCOUNT 454 (RENT FROM ELECTRIC PROPERTY)      (Note R)</t>
  </si>
  <si>
    <t>W</t>
  </si>
  <si>
    <t>revenues associated with FERC annual charges, gross receipts taxes, ancillary services, or facilities not included in this template (e.g., direct</t>
  </si>
  <si>
    <t>Account No. 456.1</t>
  </si>
  <si>
    <t>ACCOUNT 456.1 (OTHER ELECTRIC REVENUES)        (Note U)</t>
  </si>
  <si>
    <t>TOTAL O&amp;M   (sum lines 1, 2a, 3, 5a, 6, 7 less lines 1a, 2, 4, 5)</t>
  </si>
  <si>
    <t>(Note B)</t>
  </si>
  <si>
    <t>3a</t>
  </si>
  <si>
    <t>3b</t>
  </si>
  <si>
    <t>Less Actual PBOP Expense</t>
  </si>
  <si>
    <t>Plus Fixed PBOP Expense</t>
  </si>
  <si>
    <t xml:space="preserve">This deduction is to remove expenses recorded by DEOK for Postretirement Benefits Other than Pensions (PBOP). PBOP expense is set forth in line 3b and </t>
  </si>
  <si>
    <t>DEO - Monthly Transmission System Peak Load (1)</t>
  </si>
  <si>
    <t>DEO - Monthly Transmission System Peak Load</t>
  </si>
  <si>
    <t>17a</t>
  </si>
  <si>
    <t>Annual Cost ($/kW/Yr) - 12 CP</t>
  </si>
  <si>
    <t>(line 7 / line 9)</t>
  </si>
  <si>
    <t>Network Rate ($/kW/Mo)</t>
  </si>
  <si>
    <t>(line 15 / 12)</t>
  </si>
  <si>
    <t>Point-To-Point Rate ($/kW/Mo)</t>
  </si>
  <si>
    <t>(line 16 / 12)</t>
  </si>
  <si>
    <t>Point-To-Point Rate ($/kW/Wk)</t>
  </si>
  <si>
    <t>Point-To-Point Rate ($/kW/Day)</t>
  </si>
  <si>
    <t>Point-To-Point Rate ($/MWh)</t>
  </si>
  <si>
    <t>(line 16 / 52; line 16 / 52)</t>
  </si>
  <si>
    <t>(line 16 / 260; line 16 / 365)</t>
  </si>
  <si>
    <t>(line 16 / 4,160; line 16 / 8,760 * 1000)</t>
  </si>
  <si>
    <t>Peak Rate</t>
  </si>
  <si>
    <t>Off-Peak Rate</t>
  </si>
  <si>
    <t>Capped at weekly rate</t>
  </si>
  <si>
    <t>Capped at weekly and daily rate</t>
  </si>
  <si>
    <t>Less:</t>
  </si>
  <si>
    <t xml:space="preserve">REVENUE CREDIT TRUE-UP </t>
  </si>
  <si>
    <t>ACCUMULATED BALANCE OF REVENUE CREDIT TRUE-UP</t>
  </si>
  <si>
    <t xml:space="preserve">  Accumulated Balance of Deferral</t>
  </si>
  <si>
    <t xml:space="preserve">  Income Tax Rate for Deferral Calculation</t>
  </si>
  <si>
    <t>Accumulated Deferral for Carrying Cost Calculation (Line 2 - Line 4)</t>
  </si>
  <si>
    <t xml:space="preserve">   CIT = (T/(1-T)) * (1 - (WCLTD/R))</t>
  </si>
  <si>
    <t>Attachment H-22, page 3, line 22</t>
  </si>
  <si>
    <t>Income Taxes (Line 6 * Line 9)</t>
  </si>
  <si>
    <t>CARRYING COST ON DEFERRAL</t>
  </si>
  <si>
    <t xml:space="preserve">  FERC Refund Rate</t>
  </si>
  <si>
    <t xml:space="preserve">  Carrying Cost (Line 5 * Line 8)</t>
  </si>
  <si>
    <t>Revenue Credit Adjustment (Line 1 + Line 7 + Line 9)</t>
  </si>
  <si>
    <t>Accumulated balance of deferral as of December 31st of the year prior to effective date of new rates.</t>
  </si>
  <si>
    <t>Effective deferred tax rate during applicable test year.</t>
  </si>
  <si>
    <t xml:space="preserve">(7) = Prior month's </t>
  </si>
  <si>
    <t>(4) = (2) - (3)</t>
  </si>
  <si>
    <t>(6) = (4) - (5)</t>
  </si>
  <si>
    <t>Balance + (6)</t>
  </si>
  <si>
    <t>Difference Between Revenue</t>
  </si>
  <si>
    <t xml:space="preserve">Monthly True-Up Adjustment </t>
  </si>
  <si>
    <t>Accumulated Balance of</t>
  </si>
  <si>
    <t>Received and Amount in Rates</t>
  </si>
  <si>
    <t xml:space="preserve">Included In H-22A Net </t>
  </si>
  <si>
    <t>Amount Deferred for Future</t>
  </si>
  <si>
    <t>Period</t>
  </si>
  <si>
    <t>Rate Calculation (Note A)</t>
  </si>
  <si>
    <t>PJM (Note B)</t>
  </si>
  <si>
    <t>Excluding True Up</t>
  </si>
  <si>
    <t>Revenue Requirement (Note C)</t>
  </si>
  <si>
    <t>Future Recovery</t>
  </si>
  <si>
    <t>(A)</t>
  </si>
  <si>
    <t>(B)</t>
  </si>
  <si>
    <t>(C)</t>
  </si>
  <si>
    <t xml:space="preserve">Recovery of deferral begins with the first period for billing rates approved using a test year for Attachment H-22A that includes actual operations in PJM. </t>
  </si>
  <si>
    <t>Duke Energy Ohio and Duke Energy Kentucky</t>
  </si>
  <si>
    <t>Firm PTP Service Revenue Credit Adjustment Calculation</t>
  </si>
  <si>
    <t>Actual monthly Firm PTP service revenue received from PJM during current period.</t>
  </si>
  <si>
    <t>Revenue Included in Test Year</t>
  </si>
  <si>
    <t>Actual Firm PTP Service</t>
  </si>
  <si>
    <t xml:space="preserve">Revenue Received from </t>
  </si>
  <si>
    <t>Worksheet for Firm PTP Service Revenue Credit Adjustment Calculation</t>
  </si>
  <si>
    <t>Deferred Firm PTP Service</t>
  </si>
  <si>
    <t>Revenue Credit Adjustment</t>
  </si>
  <si>
    <t>DUKE ENERGY OHIO AND DUKE ENERGY KENTUCKY (DEOK)</t>
  </si>
  <si>
    <t>for transmission service outside of DEOK's zone during the year</t>
  </si>
  <si>
    <t xml:space="preserve">for the DEOK zone.  Data from RTO settlement systems for the </t>
  </si>
  <si>
    <t xml:space="preserve">balances are adjusted to reflect application of seven-factor test).  </t>
  </si>
  <si>
    <t>is fixed until changed as the result of a filing at FERC.  The fixed amount of PBOP for DEO is $2,342,494 and for Duke Energy Kentucky ("DEK") is $575,908.</t>
  </si>
  <si>
    <r>
      <rPr>
        <vertAlign val="superscript"/>
        <sz val="12"/>
        <rFont val="Arial"/>
        <family val="2"/>
      </rPr>
      <t>(2)</t>
    </r>
    <r>
      <rPr>
        <sz val="12"/>
        <rFont val="Arial"/>
        <family val="2"/>
      </rPr>
      <t xml:space="preserve">  For the purpose of calculating the DEO monthly peak, the DEK monthly peak as reported on page 401, column d of Form 1, was subtracted from the DEO monthly peak as reported on page 400.</t>
    </r>
  </si>
  <si>
    <r>
      <rPr>
        <vertAlign val="superscript"/>
        <sz val="12"/>
        <rFont val="Arial"/>
        <family val="2"/>
      </rPr>
      <t>(1)</t>
    </r>
    <r>
      <rPr>
        <sz val="12"/>
        <rFont val="Arial"/>
        <family val="2"/>
      </rPr>
      <t xml:space="preserve">  For the purpose of calculating the DEO annual peak, the DEK annual peak as reported on page 401, column d of Form 1, was subtracted from the DEO annual peak as reported on page 400.</t>
    </r>
  </si>
  <si>
    <r>
      <rPr>
        <vertAlign val="superscript"/>
        <sz val="12"/>
        <rFont val="Arial"/>
        <family val="2"/>
      </rPr>
      <t>(1)</t>
    </r>
    <r>
      <rPr>
        <sz val="12"/>
        <rFont val="Arial"/>
        <family val="2"/>
      </rPr>
      <t xml:space="preserve">  For the purpose of calculating the DEK annual peak, the DEK annual peak is as reported on page 401, column d of Form 1, at the time of the DEK annual peak.</t>
    </r>
  </si>
  <si>
    <r>
      <rPr>
        <vertAlign val="superscript"/>
        <sz val="12"/>
        <rFont val="Arial"/>
        <family val="2"/>
      </rPr>
      <t>(2)</t>
    </r>
    <r>
      <rPr>
        <sz val="12"/>
        <rFont val="Arial"/>
        <family val="2"/>
      </rPr>
      <t xml:space="preserve">  For the purpose of calculating the DEK monthly peak, the DEK monthly peak is as reported on page 401, column d of Form 1, at the time of the DEK monthly peak.</t>
    </r>
  </si>
  <si>
    <t>DEOK</t>
  </si>
  <si>
    <t>Exhibit No. DUK-102</t>
  </si>
  <si>
    <r>
      <t xml:space="preserve">Total M&amp;S </t>
    </r>
    <r>
      <rPr>
        <u/>
        <vertAlign val="superscript"/>
        <sz val="10"/>
        <rFont val="Arial"/>
        <family val="2"/>
      </rPr>
      <t>(1)</t>
    </r>
  </si>
  <si>
    <t>Regulatory Commission Expense</t>
  </si>
  <si>
    <t>Electric Power Research Institute</t>
  </si>
  <si>
    <t>Subtotal</t>
  </si>
  <si>
    <t>Adjusted A&amp;G Expense - To Page 3, Line 3</t>
  </si>
  <si>
    <t>Transmission plant included in OATT Ancillary Services - To Page 4, Line 3</t>
  </si>
  <si>
    <t>DEK Monthly Peak Demand (2)</t>
  </si>
  <si>
    <t>Adjusted B.A. Costs - To Page 4, Line 7</t>
  </si>
  <si>
    <t>Legacy MTEP Credit (Appendix C, page 2, line 3, col. 12)</t>
  </si>
  <si>
    <t>Firm PTP Revenue Credit Adjustment (Appendix E, line 10, col. 3)</t>
  </si>
  <si>
    <t>From Appendix E, Workpaper, Column (4).</t>
  </si>
  <si>
    <t>rate year (see 18 CFR Section 35.19a).</t>
  </si>
  <si>
    <t xml:space="preserve">  Deferred Income Taxes on Accumulated Deferral (Line 2 * Line 3)</t>
  </si>
  <si>
    <t>Revenues from service provided by ISO at a discount</t>
  </si>
  <si>
    <t>Debt cost rate = long-term interest (line 21) / long term debt (line 27).  Preferred cost rate = preferred dividends (line 22) / preferred outstanding (line 28).</t>
  </si>
  <si>
    <t>ROE will be supported in the original filing and no change in ROE may be made absent a filing with FERC.  Capitalization adjusted to exclude impacts of purchase accounting.</t>
  </si>
  <si>
    <t xml:space="preserve">On Line 35, enter revenues from RTO settlements that are associated with NITS and firm Point-to-Point Service for which the load is not included in the divisor to derive Duke Energy Ohio's </t>
  </si>
  <si>
    <t xml:space="preserve">and Duke Energy Kentucky's zonal rates.  Exclude non-firm Point-to-Point revenues, revenues related to MTEP and RTEP projects, revenues from grandfathered interzonal </t>
  </si>
  <si>
    <t>transactions and revenues from service provided by ISO at a discount.</t>
  </si>
  <si>
    <t>Enter dollar amounts.</t>
  </si>
  <si>
    <t>Sum of lines 4, 6 and 8</t>
  </si>
  <si>
    <t>page 6 of 6</t>
  </si>
  <si>
    <t>page 1 of 6</t>
  </si>
  <si>
    <t>page 2 of 6</t>
  </si>
  <si>
    <t>page 3 of 6</t>
  </si>
  <si>
    <t>page 5 of 6</t>
  </si>
  <si>
    <t>page 4 of 6</t>
  </si>
  <si>
    <t>DUKE ENERGY OHIO, INC.</t>
  </si>
  <si>
    <t>DEPRECIATION RATES</t>
  </si>
  <si>
    <t>FERC</t>
  </si>
  <si>
    <t>Company</t>
  </si>
  <si>
    <t>Account</t>
  </si>
  <si>
    <t xml:space="preserve">Accrual </t>
  </si>
  <si>
    <t>Number</t>
  </si>
  <si>
    <t>Description</t>
  </si>
  <si>
    <t>Rates</t>
  </si>
  <si>
    <t>(D)</t>
  </si>
  <si>
    <t>Wholly Owned Transmission Plant</t>
  </si>
  <si>
    <t>Rights of Way</t>
  </si>
  <si>
    <t>Structures &amp;  Improvements</t>
  </si>
  <si>
    <t>Structures &amp;  Improvements - Duke Ohio - Loc. in Ky.</t>
  </si>
  <si>
    <t>Station Equipment</t>
  </si>
  <si>
    <t>Station Equipment - Duke Ohio - Loc. in Ky.</t>
  </si>
  <si>
    <t>Towers &amp; Fixtures</t>
  </si>
  <si>
    <t>Towers &amp; Fixtures - Duke Ohio - Loc. in Ky.</t>
  </si>
  <si>
    <t>Poles &amp; Fixtures</t>
  </si>
  <si>
    <t>Poles &amp; Fixtures - Duke Ohio - Loc. in Ky.</t>
  </si>
  <si>
    <t>Overhead Conductors &amp; Devices</t>
  </si>
  <si>
    <t>Overhead Conductors &amp; Devices - Duke Ohio - Loc. in Ky.</t>
  </si>
  <si>
    <t>Underground Conduit</t>
  </si>
  <si>
    <t>Underground Conductors &amp; Devices</t>
  </si>
  <si>
    <t>Commonly Owned Transmission Plant - CCD Projects</t>
  </si>
  <si>
    <t>Structures &amp;  Improvements - CCD Projects</t>
  </si>
  <si>
    <t>Station Equipment - CCD Projects</t>
  </si>
  <si>
    <t>Towers &amp; Fixtures - CCD Projects</t>
  </si>
  <si>
    <t>Towers &amp; Fixtures - CCD Projects - Loc. In Ky.</t>
  </si>
  <si>
    <t>Poles &amp; Fixtures - CCD Projects</t>
  </si>
  <si>
    <t>Overhead Conductors &amp; Devices - CCD Projects</t>
  </si>
  <si>
    <t>Overhead Conductors &amp; Devices - CCD Projects - Loc. In Ky.</t>
  </si>
  <si>
    <t>Commonly Owned Transmission Plant - CD Projects</t>
  </si>
  <si>
    <t>Structures &amp;  Improvements - CD Projects</t>
  </si>
  <si>
    <t>Station Equipment - CD Projects</t>
  </si>
  <si>
    <t>Towers &amp; Fixtures - CD Projects</t>
  </si>
  <si>
    <t>Overhead Conductors &amp; Devices - CD Projects</t>
  </si>
  <si>
    <t>General and Intagible Plant</t>
  </si>
  <si>
    <t xml:space="preserve">Miscellaneous Intangible Plant </t>
  </si>
  <si>
    <t>Land and Land Rights</t>
  </si>
  <si>
    <t>N/A</t>
  </si>
  <si>
    <t>Structures and Improvements</t>
  </si>
  <si>
    <t>Office Furniture and Equipment</t>
  </si>
  <si>
    <t>Electronic Data Processing Equipment</t>
  </si>
  <si>
    <t>Transportation Equipment</t>
  </si>
  <si>
    <t>Trailers</t>
  </si>
  <si>
    <t>Tools, Shop &amp; Garage Equipment</t>
  </si>
  <si>
    <t>Laboratory Equipment</t>
  </si>
  <si>
    <t>Power Operated Equipment</t>
  </si>
  <si>
    <t>Communication Equipment</t>
  </si>
  <si>
    <t>Miscellaneous Equipment</t>
  </si>
  <si>
    <t>DUKE ENERGY KENTUCKY, INC.</t>
  </si>
  <si>
    <t>Structures &amp; Improvements</t>
  </si>
  <si>
    <t>Station Equipment - Major</t>
  </si>
  <si>
    <t>Station Equipment - Electronic</t>
  </si>
  <si>
    <t>Miscellaneous Intangible Plant</t>
  </si>
  <si>
    <t>Stores Equipment</t>
  </si>
  <si>
    <t>Portion Attributable to Transmission</t>
  </si>
  <si>
    <t>(2)  Source: DEK peak as reported on FERC Form 1 Page 401b.</t>
  </si>
  <si>
    <t>The recovery of the amounts deferred between January 1, 2012, and December 31, 2012, will begin on June 1, 2013, and will end on May 31, 2014.</t>
  </si>
  <si>
    <t>The recovery of the amounts deferred between January 1, 2013 and May 31, 2013, will begin on June 1, 2014, and will end on May 31, 2015.</t>
  </si>
  <si>
    <t>TOTAL REVENUE CREDITS  (sum lines 2-5b)</t>
  </si>
  <si>
    <t xml:space="preserve">FERC Refund Rate is the approved rate as of December 31 of calendar year prior to the </t>
  </si>
  <si>
    <t>X</t>
  </si>
  <si>
    <t>Y</t>
  </si>
  <si>
    <t>Less Midwest ISO Exit Fees included in Transmission O&amp;M</t>
  </si>
  <si>
    <t>(Note X)</t>
  </si>
  <si>
    <t>3c</t>
  </si>
  <si>
    <t>Less PJM Integration Costs included in A&amp;G</t>
  </si>
  <si>
    <t>(Note Y)</t>
  </si>
  <si>
    <t>Development of Common Stock:</t>
  </si>
  <si>
    <t>INCOME TAXE RATES</t>
  </si>
  <si>
    <t>Federal Income Tax (FIT)</t>
  </si>
  <si>
    <t>State Income Tax (SIT) or Composite SIT</t>
  </si>
  <si>
    <t>Effective Income Tax Rate</t>
  </si>
  <si>
    <t>(percent of federal income tax deductible for state purposes)</t>
  </si>
  <si>
    <t>Calculated</t>
  </si>
  <si>
    <t>Composite</t>
  </si>
  <si>
    <t>COMMON PLANT ALLOCATOR  (CE) (Note O)</t>
  </si>
  <si>
    <t>TOTAL GROSS PLANT</t>
  </si>
  <si>
    <t>TOTAL ACCUM. DEPRECIATION</t>
  </si>
  <si>
    <t>TOTAL NET PLANT</t>
  </si>
  <si>
    <t>TOTAL ADJUSTMENTS</t>
  </si>
  <si>
    <t>TOTAL WORKING CAPITAL</t>
  </si>
  <si>
    <t>WORKING CAPITAL</t>
  </si>
  <si>
    <t>ADJUSTMENTS TO RATE BASE</t>
  </si>
  <si>
    <t>DESCRIPTION</t>
  </si>
  <si>
    <t>ROE - Docket Nos. ER12-91-000 and ER12-92-000 (Settlement)</t>
  </si>
  <si>
    <t>For the 12 months ended:</t>
  </si>
  <si>
    <t>Rates effective:</t>
  </si>
  <si>
    <t>Corrections to previous year's revenue requirement to be reflected in current year's NITS rate calculation</t>
  </si>
  <si>
    <r>
      <t xml:space="preserve">Proprietary Capital (112.16.c) - </t>
    </r>
    <r>
      <rPr>
        <b/>
        <sz val="10"/>
        <color rgb="FFFF0000"/>
        <rFont val="Arial"/>
        <family val="2"/>
      </rPr>
      <t>Adjusted on work paper</t>
    </r>
  </si>
  <si>
    <t>Current Maturities of Long-Term Debt</t>
  </si>
  <si>
    <t xml:space="preserve">          Total Long-Term Debt Excl. Current Maturities</t>
  </si>
  <si>
    <t>Total Long Term Debt</t>
  </si>
  <si>
    <t>Sales to Ultimate Consumers</t>
  </si>
  <si>
    <t>Non-Requirements Sales for Resale</t>
  </si>
  <si>
    <r>
      <rPr>
        <b/>
        <sz val="12"/>
        <rFont val="Arial"/>
        <family val="2"/>
      </rPr>
      <t>Less:</t>
    </r>
    <r>
      <rPr>
        <sz val="12"/>
        <rFont val="Arial"/>
        <family val="2"/>
      </rPr>
      <t xml:space="preserve"> </t>
    </r>
  </si>
  <si>
    <r>
      <rPr>
        <b/>
        <sz val="12"/>
        <rFont val="Arial"/>
        <family val="2"/>
      </rPr>
      <t>Less:</t>
    </r>
    <r>
      <rPr>
        <sz val="12"/>
        <rFont val="Arial"/>
        <family val="2"/>
      </rPr>
      <t/>
    </r>
  </si>
  <si>
    <t xml:space="preserve">This amount reflects corrections to the prior year rate calculation, plus accumulated interest, and is included here in accordance with the formula rate protocols.  </t>
  </si>
  <si>
    <t>It is shown on a combined basis, and not separately entered on the DEO and DEK tabs.</t>
  </si>
  <si>
    <t xml:space="preserve">200.21.c &amp; 219.28.c </t>
  </si>
  <si>
    <t>Total Generation Step-up Transformers</t>
  </si>
  <si>
    <t xml:space="preserve">336.1.f &amp; 336.10.f </t>
  </si>
  <si>
    <t>General and Intangible Plant</t>
  </si>
  <si>
    <t># of Work Papers</t>
  </si>
  <si>
    <t>Per Books Total, Page 275, lines 2 &amp; 6, column k</t>
  </si>
  <si>
    <t>163</t>
  </si>
  <si>
    <t>227.8.c &amp; 227.16.c</t>
  </si>
  <si>
    <t>Common Stock (sum lines 23-25)</t>
  </si>
  <si>
    <t xml:space="preserve">219.28.c </t>
  </si>
  <si>
    <t>275.2.k</t>
  </si>
  <si>
    <t>277.9.k</t>
  </si>
  <si>
    <t>234.8.c</t>
  </si>
  <si>
    <t xml:space="preserve">  General </t>
  </si>
  <si>
    <t>350.14.b</t>
  </si>
  <si>
    <t xml:space="preserve">336.10.b </t>
  </si>
  <si>
    <t xml:space="preserve">DEOK 1 CP is Duke Energy Ohio ("DEO") Monthly Firm Transmission System Peak Load as reported on page 400, column b of Form 1 at the time of DEO's annual peak,  </t>
  </si>
  <si>
    <t xml:space="preserve">plus load served by Duke Energy Kentucky at Longbranch. For years ending 12/31/2010 and 12/31/2011, this sum will be reduced by the amount of distribution load served by </t>
  </si>
  <si>
    <r>
      <t xml:space="preserve">East Kentucky Power Cooperative via Duke Kentucky’s Hebron substation. </t>
    </r>
    <r>
      <rPr>
        <sz val="12"/>
        <rFont val="Arial"/>
        <family val="2"/>
      </rPr>
      <t>Excludes demands from grandfathered interzonal transactions and demands from service provided by ISO at a discount.</t>
    </r>
  </si>
  <si>
    <t>DEOK 12 CP is DEO Monthly Firm Transmission System Peak Load as reported on page 400, column b of Form 1 at the time of DEO's monthly peaks, plus load served by</t>
  </si>
  <si>
    <t xml:space="preserve">Duke Kentucky at Longbranch.  For years ending 12/31/2010 and 12/31/2011, this sum will be reduced by the amount of distribution load served by East Kentucky Power </t>
  </si>
  <si>
    <r>
      <t xml:space="preserve">Cooperative via Duke Kentucky’s Hebron substation. </t>
    </r>
    <r>
      <rPr>
        <sz val="12"/>
        <rFont val="Arial"/>
        <family val="2"/>
      </rPr>
      <t>Excludes demands from grandfathered interzonal transactions and demands from service provided by ISO at a discount.</t>
    </r>
  </si>
  <si>
    <t>The currently effective income tax rate, where FIT is the Federal income tax rate; SIT is the State income tax rate, and p =</t>
  </si>
  <si>
    <t>354.21,22,23.b</t>
  </si>
  <si>
    <t>(line 3 divided by line 1 col 3)</t>
  </si>
  <si>
    <t>(line 5 divided by line 1 col 3)</t>
  </si>
  <si>
    <t>(line 10 divided by line 2 col 3)</t>
  </si>
  <si>
    <t>Reported on FERC Form 1</t>
  </si>
  <si>
    <t xml:space="preserve">(1)  DEOK 1 CP is Duke Energy Ohio ("DEO") Monthly Firm Transmission System Peak Load as reported on page 400, column b of Form 1 at the time of DEO's annual peak,  </t>
  </si>
  <si>
    <r>
      <t xml:space="preserve">East Kentucky Power Cooperative via Duke Kentucky’s Hebron substation. </t>
    </r>
    <r>
      <rPr>
        <vertAlign val="superscript"/>
        <sz val="12"/>
        <rFont val="Arial"/>
        <family val="2"/>
      </rPr>
      <t>(1)</t>
    </r>
    <r>
      <rPr>
        <sz val="12"/>
        <rFont val="Arial"/>
        <family val="2"/>
      </rPr>
      <t xml:space="preserve">  Excludes demands from grandfathered interzonal transactions and demands from service provided by ISO at a discount.</t>
    </r>
  </si>
  <si>
    <r>
      <t xml:space="preserve">Cooperative via Duke Kentucky’s Hebron substation. </t>
    </r>
    <r>
      <rPr>
        <vertAlign val="superscript"/>
        <sz val="12"/>
        <rFont val="Arial"/>
        <family val="2"/>
      </rPr>
      <t>(2)</t>
    </r>
    <r>
      <rPr>
        <sz val="12"/>
        <rFont val="Arial"/>
        <family val="2"/>
      </rPr>
      <t xml:space="preserve"> Excludes demands from grandfathered interzonal transactions and demands from service provided by ISO at a discount.</t>
    </r>
  </si>
  <si>
    <t>Percentage</t>
  </si>
  <si>
    <t>TOTAL</t>
  </si>
  <si>
    <t>To be completed in conjunction with Attachment H-22A.</t>
  </si>
  <si>
    <t>Load expressed in MWh consistent with load used for billing under Schedule 1A</t>
  </si>
  <si>
    <t>336.11.f</t>
  </si>
  <si>
    <t>336.7.f</t>
  </si>
  <si>
    <t>Adjusted Transmission Expense - To Page 3, Line 1</t>
  </si>
  <si>
    <t>TOTAL ADJUSTMENTS  (sum lines 19 - 23)</t>
  </si>
  <si>
    <t>Legacy MTEP Credit for Attachment H-22A, Page 1, Line 5a</t>
  </si>
  <si>
    <t>Accumulated Deferred Income Taxes</t>
  </si>
  <si>
    <t>Per Books Total, Page 234, lines 8 &amp; 17, column c</t>
  </si>
  <si>
    <r>
      <t>M&amp;S</t>
    </r>
    <r>
      <rPr>
        <u val="singleAccounting"/>
        <vertAlign val="superscript"/>
        <sz val="10"/>
        <rFont val="Arial"/>
        <family val="2"/>
      </rPr>
      <t xml:space="preserve"> (2)</t>
    </r>
  </si>
  <si>
    <r>
      <t>163</t>
    </r>
    <r>
      <rPr>
        <u val="singleAccounting"/>
        <vertAlign val="superscript"/>
        <sz val="10"/>
        <rFont val="Arial"/>
        <family val="2"/>
      </rPr>
      <t xml:space="preserve"> (3)</t>
    </r>
  </si>
  <si>
    <t>Ohio Consumers' Counsel</t>
  </si>
  <si>
    <t>PUCO - Division of Forecasting</t>
  </si>
  <si>
    <t>Request for Rate Increase</t>
  </si>
  <si>
    <t>Form 1, P.350, col. d,</t>
  </si>
  <si>
    <t xml:space="preserve">Form 1, P.350, col. d, </t>
  </si>
  <si>
    <t>Non-Safety Adv., Reg. Comm. Exp. &amp; EPRI</t>
  </si>
  <si>
    <t>Less amounts recorded in a non-formula related account</t>
  </si>
  <si>
    <t>FERC Account 506</t>
  </si>
  <si>
    <t>FERC Account 588</t>
  </si>
  <si>
    <t>FERC Account 910</t>
  </si>
  <si>
    <t>Total Electric Power Research Institute</t>
  </si>
  <si>
    <t>Total Account 456 Per Books Total, Page 300</t>
  </si>
  <si>
    <t>Less: Other Electric Revenues</t>
  </si>
  <si>
    <t>Revenues from Transmission of Electricity for Others</t>
  </si>
  <si>
    <t>Sch 1 - Scheduling, System Control &amp; Dispatch</t>
  </si>
  <si>
    <t>Sch 2 - Reactive Supply &amp; Voltage Control</t>
  </si>
  <si>
    <t>Sch 4 - Day-Ahead Load Response Charge Allocation</t>
  </si>
  <si>
    <t>Sch 4 - Real-Time Load Response Charge Allocation</t>
  </si>
  <si>
    <t>Sch 8 - Non-Firm PTP</t>
  </si>
  <si>
    <t>Sch 9 - NITS</t>
  </si>
  <si>
    <t>Sch 24 - Load Balancing</t>
  </si>
  <si>
    <t>PJM Customer Payment Default</t>
  </si>
  <si>
    <t>Facilities Charges</t>
  </si>
  <si>
    <t>Other Transmission Revenues - FTR's</t>
  </si>
  <si>
    <t>Miscellaneous Bilateral</t>
  </si>
  <si>
    <t>Total Account 456.1 - To Page 4, Line 35</t>
  </si>
  <si>
    <t>Less: Transmission Revenues - Load in Divisor</t>
  </si>
  <si>
    <t>Total Transmission Revenues - Load in Divisor</t>
  </si>
  <si>
    <t>Sch 26 - MTEP Project Cost Recovery</t>
  </si>
  <si>
    <r>
      <rPr>
        <vertAlign val="superscript"/>
        <sz val="10"/>
        <rFont val="Arial"/>
        <family val="2"/>
      </rPr>
      <t>(2)</t>
    </r>
    <r>
      <rPr>
        <sz val="10"/>
        <rFont val="Arial"/>
        <family val="2"/>
      </rPr>
      <t xml:space="preserve"> Source FERC Form 1, page 227, line 12, column (c)</t>
    </r>
  </si>
  <si>
    <r>
      <rPr>
        <vertAlign val="superscript"/>
        <sz val="10"/>
        <rFont val="Arial"/>
        <family val="2"/>
      </rPr>
      <t>(3)</t>
    </r>
    <r>
      <rPr>
        <sz val="10"/>
        <rFont val="Arial"/>
        <family val="2"/>
      </rPr>
      <t xml:space="preserve"> Source FERC Form 1, page 227, line 16, column (c)</t>
    </r>
  </si>
  <si>
    <t>Form 1, P.353, col.d,</t>
  </si>
  <si>
    <t>Revenue Credit Applicable to Attachment H-22A</t>
  </si>
  <si>
    <t xml:space="preserve">Form 1, P. 323.191, col. b, </t>
  </si>
  <si>
    <t>Total Account 454 - To Page 4, Line 34</t>
  </si>
  <si>
    <t>356</t>
  </si>
  <si>
    <t>Exhibit No. DUK-102, Pg. 1</t>
  </si>
  <si>
    <t xml:space="preserve">Exhibit No. DUK-102, Pg. 1 </t>
  </si>
  <si>
    <t>321.88.b, 92.b</t>
  </si>
  <si>
    <t>350.b</t>
  </si>
  <si>
    <t>Exhibit No. DUK-102, Pg. 4</t>
  </si>
  <si>
    <t xml:space="preserve">263.i. </t>
  </si>
  <si>
    <t>Non-Safety Adv., Reg. Comm. Exp. &amp; EPRI - To Page 3, Line 5</t>
  </si>
  <si>
    <t>Balances - To Page 2, Line 25</t>
  </si>
  <si>
    <r>
      <rPr>
        <vertAlign val="superscript"/>
        <sz val="10"/>
        <rFont val="Arial"/>
        <family val="2"/>
      </rPr>
      <t>(1)</t>
    </r>
    <r>
      <rPr>
        <sz val="10"/>
        <rFont val="Arial"/>
        <family val="2"/>
      </rPr>
      <t xml:space="preserve"> To Page 2, Line 27.</t>
    </r>
  </si>
  <si>
    <t>Adjusted Balances - To Page 2, Line 22</t>
  </si>
  <si>
    <t>Adjusted Balances - To Page 2, Line 20</t>
  </si>
  <si>
    <t>Less Internal Integration Costs included in A&amp;G</t>
  </si>
  <si>
    <t>(Note Z)</t>
  </si>
  <si>
    <t>AA</t>
  </si>
  <si>
    <t xml:space="preserve">Midcontinent ISO Exit Fees include (1) the charge that DEOK paid to the Midcontinent ISO pursuant to the Settlement Agreement filed on July 29, 2011 in Docket No. ER11-2059 and (2) the exit </t>
  </si>
  <si>
    <t>fees that DEOK paid to the Midcontinent ISO pursuant to the Exit Fee Agreement filed on October 5, 2011 in Docket No. ER12-33.</t>
  </si>
  <si>
    <t>Less Midcontinent ISO Exit Fees included in Transmission O&amp;M</t>
  </si>
  <si>
    <t>Monthly Firm PTP service revenue from Midcontinent ISO during test year applicable to currently effectives NITS and PTP service rates.</t>
  </si>
  <si>
    <t xml:space="preserve">  Difference Between Revenue Received In PJM vs. Midcontinent ISO</t>
  </si>
  <si>
    <t>The revenues credited on page 1 lines 2-5b shall include only the amounts received directly (in the case of grandfathered agreements)</t>
  </si>
  <si>
    <t>PJM Integration Costs are the fees that PJM assessed DEOK for the costs that PJM incurred in connection with DEOK's move into PJM.  Internal Integration Costs are the internal</t>
  </si>
  <si>
    <t>administrative costs incurred by Duke Energy Ohio and Duke Energy Kentucky to accomplish their move from the Midcontinent ISO into PJM.</t>
  </si>
  <si>
    <t>Less PJM Integration Costs included in A&amp;G and</t>
  </si>
  <si>
    <t>Internal Integration Costs included in A&amp;G</t>
  </si>
  <si>
    <r>
      <rPr>
        <b/>
        <sz val="12"/>
        <rFont val="Arial"/>
        <family val="2"/>
      </rPr>
      <t>Less:</t>
    </r>
    <r>
      <rPr>
        <sz val="12"/>
        <rFont val="Arial"/>
        <family val="2"/>
      </rPr>
      <t xml:space="preserve"> Lobbying Expense</t>
    </r>
  </si>
  <si>
    <t>321.85-87.b</t>
  </si>
  <si>
    <t>MISO - Sch 37</t>
  </si>
  <si>
    <r>
      <rPr>
        <b/>
        <sz val="12"/>
        <rFont val="Arial"/>
        <family val="2"/>
      </rPr>
      <t>Less:</t>
    </r>
    <r>
      <rPr>
        <sz val="12"/>
        <rFont val="Arial"/>
        <family val="2"/>
      </rPr>
      <t xml:space="preserve">  DEP acq of NC Muni's</t>
    </r>
  </si>
  <si>
    <r>
      <rPr>
        <b/>
        <sz val="12"/>
        <rFont val="Arial"/>
        <family val="2"/>
      </rPr>
      <t>Less:</t>
    </r>
    <r>
      <rPr>
        <sz val="12"/>
        <rFont val="Arial"/>
        <family val="2"/>
      </rPr>
      <t xml:space="preserve"> Midwest Generation Assets to Dynegy</t>
    </r>
  </si>
  <si>
    <r>
      <rPr>
        <b/>
        <sz val="12"/>
        <rFont val="Arial"/>
        <family val="2"/>
      </rPr>
      <t>Less:</t>
    </r>
    <r>
      <rPr>
        <sz val="12"/>
        <rFont val="Arial"/>
        <family val="2"/>
      </rPr>
      <t xml:space="preserve"> DEK acq East Bend</t>
    </r>
  </si>
  <si>
    <t>Account 283</t>
  </si>
  <si>
    <t>FAS 106</t>
  </si>
  <si>
    <t>FAS 109</t>
  </si>
  <si>
    <t>Gas Non-Utility</t>
  </si>
  <si>
    <t>.</t>
  </si>
  <si>
    <t>Per Books Total, Page 277, lines 3 &amp; 18, column k</t>
  </si>
  <si>
    <t>TOTAL O&amp;M   (sum lines 1, 3, 3b, 5a, 6, 7 less lines 1a, 1b, 2, 3a, 3c, 4, 5)</t>
  </si>
  <si>
    <t xml:space="preserve">         Internal Integration Costs included in A&amp;G</t>
  </si>
  <si>
    <t>(Page 1 line 9)</t>
  </si>
  <si>
    <t>(Page 1 line 14)</t>
  </si>
  <si>
    <t>The Network Upgrade Charge is the value to be used in Schedule 12.</t>
  </si>
  <si>
    <t>RTEP Transmission Enhancement Charges for Attachment H-22A</t>
  </si>
  <si>
    <t>(line 7 divided by line 1 col 3)</t>
  </si>
  <si>
    <t>(line 12 divided by line 2 col 3)</t>
  </si>
  <si>
    <t>Accounts 190, Account 282, and Account 283</t>
  </si>
  <si>
    <t>calendar year prior to the rate year.  Due to the sale of Duke Energy Ohio's generating ,</t>
  </si>
  <si>
    <t xml:space="preserve"> (301.10.d &amp; 11.d)</t>
  </si>
  <si>
    <t>Att. H-22A, p 2, line 2 col 5 (Note A)</t>
  </si>
  <si>
    <t>Att. H-22A, p 2, line 14 col 5 (Note B)</t>
  </si>
  <si>
    <t>Att. H-22A, p 3, line 8 col 5</t>
  </si>
  <si>
    <t>Att. H-22A, p 3, lines 10 &amp; 11, col 5 (Note H)</t>
  </si>
  <si>
    <t>Att. H-22A, p 3, line 20 col 5</t>
  </si>
  <si>
    <t>Att. H-22A, p 3, line 27 col 5</t>
  </si>
  <si>
    <t>Att. H-22A, p 3, line 28 col 5</t>
  </si>
  <si>
    <t>301.10d</t>
  </si>
  <si>
    <t>301.11d</t>
  </si>
  <si>
    <r>
      <rPr>
        <b/>
        <sz val="12"/>
        <rFont val="Arial"/>
        <family val="2"/>
      </rPr>
      <t>Less:</t>
    </r>
    <r>
      <rPr>
        <sz val="12"/>
        <rFont val="Arial"/>
        <family val="2"/>
      </rPr>
      <t xml:space="preserve"> Department of Justice Settlement - 2015</t>
    </r>
  </si>
  <si>
    <r>
      <rPr>
        <b/>
        <sz val="12"/>
        <rFont val="Arial"/>
        <family val="2"/>
      </rPr>
      <t>Less:</t>
    </r>
    <r>
      <rPr>
        <sz val="12"/>
        <rFont val="Arial"/>
        <family val="2"/>
      </rPr>
      <t xml:space="preserve"> Duke / Piedmont merger costs to achieve.  (Includes payroll taxes and depreciation expense)</t>
    </r>
  </si>
  <si>
    <r>
      <rPr>
        <b/>
        <sz val="12"/>
        <rFont val="Arial"/>
        <family val="2"/>
      </rPr>
      <t>Less:</t>
    </r>
    <r>
      <rPr>
        <sz val="12"/>
        <rFont val="Arial"/>
        <family val="2"/>
      </rPr>
      <t xml:space="preserve"> Duke / Progress merger costs to achieve.  (Includes depreciation expense)</t>
    </r>
  </si>
  <si>
    <t>Parent DE Ohio</t>
  </si>
  <si>
    <t>Adjusted</t>
  </si>
  <si>
    <t>Remove</t>
  </si>
  <si>
    <t>Holding Co.</t>
  </si>
  <si>
    <t>December 31 2015</t>
  </si>
  <si>
    <t>Ratio</t>
  </si>
  <si>
    <t xml:space="preserve">  Long-Term Debt</t>
  </si>
  <si>
    <t xml:space="preserve">  Unamortized Loss on Debt</t>
  </si>
  <si>
    <t xml:space="preserve">  Unamortized Gain on Debt</t>
  </si>
  <si>
    <t xml:space="preserve">  0201000 Common Stock Issued</t>
  </si>
  <si>
    <t xml:space="preserve">  0207001 Premium on capital stock</t>
  </si>
  <si>
    <t xml:space="preserve">  0208000 Donations From Stockholder</t>
  </si>
  <si>
    <t xml:space="preserve">  0208001 Donations From Stockholder-DENA</t>
  </si>
  <si>
    <t xml:space="preserve">  0208010 Donat Recvd From Stkhld Tax</t>
  </si>
  <si>
    <t xml:space="preserve">  0210020 Gain on Redemption of Capital</t>
  </si>
  <si>
    <t xml:space="preserve">  0211003 Misc Paid In Capital</t>
  </si>
  <si>
    <t xml:space="preserve">  0211004 Misc Paid In Capital Purch Acctg</t>
  </si>
  <si>
    <t xml:space="preserve">  0211005 Misc Paid in Capital Premerger Equity</t>
  </si>
  <si>
    <t xml:space="preserve">  0211007 Misc PIC Premerg RE for Div</t>
  </si>
  <si>
    <t xml:space="preserve">  0211008 Misc PIC Pushdown Adj RE</t>
  </si>
  <si>
    <t xml:space="preserve">  0216000 Unappropriated RE</t>
  </si>
  <si>
    <t xml:space="preserve">  0216100 - Unappr Undistr Subsid Earnings</t>
  </si>
  <si>
    <t xml:space="preserve">  0438000 Dividends Declared on Common Stock </t>
  </si>
  <si>
    <t xml:space="preserve">  Current Year Net Income</t>
  </si>
  <si>
    <t xml:space="preserve">  Accum other comprehensive income (loss)</t>
  </si>
  <si>
    <t>% Including Total LTD</t>
  </si>
  <si>
    <t xml:space="preserve">        TOTAL CAPITALIZATION (excluding current maturities)</t>
  </si>
  <si>
    <t xml:space="preserve">        TOTAL CAPITALIZATION</t>
  </si>
  <si>
    <t xml:space="preserve">  (1) This is the current balance in account 0186112-Goodwill</t>
  </si>
  <si>
    <t>December 31, 2015</t>
  </si>
  <si>
    <t xml:space="preserve">Formula Rate Change amendment made in Section 205 filing on June 17, 2015 </t>
  </si>
  <si>
    <t>in Docket # ER15-1932-000</t>
  </si>
  <si>
    <t>Per 2015 FERC Form 1</t>
  </si>
  <si>
    <t xml:space="preserve">  Intercompany Long-Term Notes</t>
  </si>
  <si>
    <t>DENA (BU 75032)</t>
  </si>
  <si>
    <t>Production Labor</t>
  </si>
  <si>
    <t>Producation Labor Page 354, line 20, column b</t>
  </si>
  <si>
    <t>Transmission Labor</t>
  </si>
  <si>
    <t>Transmission Labor Page 354, line 21, column b</t>
  </si>
  <si>
    <t>Distribtution Labor</t>
  </si>
  <si>
    <t>Distribution Labor Page 354, line 23, column b</t>
  </si>
  <si>
    <t>Other Labor</t>
  </si>
  <si>
    <t>Other Labor Page 354, line 24,25, 26, column b</t>
  </si>
  <si>
    <r>
      <rPr>
        <b/>
        <sz val="12"/>
        <rFont val="Arial"/>
        <family val="2"/>
      </rPr>
      <t>Less:</t>
    </r>
    <r>
      <rPr>
        <sz val="12"/>
        <rFont val="Arial"/>
        <family val="2"/>
      </rPr>
      <t xml:space="preserve"> Duke / Progress merger costs to achieve non-incremental labor. </t>
    </r>
  </si>
  <si>
    <t>Wages &amp; Salary Allocator - To Page 4, Line 12</t>
  </si>
  <si>
    <t>Wages &amp; Salary Allocator - To Page 4, Line 13</t>
  </si>
  <si>
    <t>Wages &amp; Salary Allocator - To Page 4, Line 14</t>
  </si>
  <si>
    <t>Wages &amp; Salary Allocator - To Page 4, Line 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</si>
</sst>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0">
    <numFmt numFmtId="5" formatCode="&quot;$&quot;#,##0_);\(&quot;$&quot;#,##0\)"/>
    <numFmt numFmtId="7" formatCode="&quot;$&quot;#,##0.00_);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%"/>
    <numFmt numFmtId="165" formatCode="#,##0.00000"/>
    <numFmt numFmtId="166" formatCode="0.00000"/>
    <numFmt numFmtId="167" formatCode="#,##0.0000"/>
    <numFmt numFmtId="168" formatCode="#,##0.000"/>
    <numFmt numFmtId="169" formatCode="0.0000"/>
    <numFmt numFmtId="170" formatCode="&quot;$&quot;#,##0"/>
    <numFmt numFmtId="171" formatCode="#,##0.0"/>
    <numFmt numFmtId="172" formatCode="&quot;$&quot;#,##0.000"/>
    <numFmt numFmtId="173" formatCode="&quot;$&quot;#,##0.00"/>
    <numFmt numFmtId="174" formatCode="_(* #,##0_);_(* \(#,##0\);_(* &quot;-&quot;??_);_(@_)"/>
    <numFmt numFmtId="175" formatCode="_(&quot;$&quot;* #,##0_);_(&quot;$&quot;* \(#,##0\);_(&quot;$&quot;* &quot;-&quot;??_);_(@_)"/>
    <numFmt numFmtId="176" formatCode="_(* #,##0.0%_);_(* \(#,##0.0%\);_(* &quot;- %&quot;??_);_(@_)"/>
    <numFmt numFmtId="177" formatCode="0_);\(0\)"/>
    <numFmt numFmtId="178" formatCode="_(* #,##0.0\¢_m;[Red]_(* \-#,##0.0\¢_m;[Green]_(* 0.0\¢_m;_(@_)_%"/>
    <numFmt numFmtId="179" formatCode="_(* #,##0.00\¢_m;[Red]_(* \-#,##0.00\¢_m;[Green]_(* 0.00\¢_m;_(@_)_%"/>
    <numFmt numFmtId="180" formatCode="_(* #,##0.000\¢_m;[Red]_(* \-#,##0.000\¢_m;[Green]_(* 0.000\¢_m;_(@_)_%"/>
    <numFmt numFmtId="181" formatCode="_(_(\£* #,##0_)_%;[Red]_(\(\£* #,##0\)_%;[Green]_(_(\£* #,##0_)_%;_(@_)_%"/>
    <numFmt numFmtId="182" formatCode="_(_(\£* #,##0.0_)_%;[Red]_(\(\£* #,##0.0\)_%;[Green]_(_(\£* #,##0.0_)_%;_(@_)_%"/>
    <numFmt numFmtId="183" formatCode="_(_(\£* #,##0.00_)_%;[Red]_(\(\£* #,##0.00\)_%;[Green]_(_(\£* #,##0.00_)_%;_(@_)_%"/>
    <numFmt numFmtId="184" formatCode="0.0%_);\(0.0%\)"/>
    <numFmt numFmtId="185" formatCode="\•\ \ @"/>
    <numFmt numFmtId="186" formatCode="_(_(\•_ #0_)_%;[Red]_(_(\•_ \-#0\)_%;[Green]_(_(\•_ #0_)_%;_(_(\•_ @_)_%"/>
    <numFmt numFmtId="187" formatCode="_(_(_•_ \•_ #0_)_%;[Red]_(_(_•_ \•_ \-#0\)_%;[Green]_(_(_•_ \•_ #0_)_%;_(_(_•_ \•_ @_)_%"/>
    <numFmt numFmtId="188" formatCode="_(_(_•_ _•_ \•_ #0_)_%;[Red]_(_(_•_ _•_ \•_ \-#0\)_%;[Green]_(_(_•_ _•_ \•_ #0_)_%;_(_(_•_ \•_ @_)_%"/>
    <numFmt numFmtId="189" formatCode="#,##0,_);\(#,##0,\)"/>
    <numFmt numFmtId="190" formatCode="#,##0.0_);\(#,##0.0\)"/>
    <numFmt numFmtId="191" formatCode="0.0,_);\(0.0,\)"/>
    <numFmt numFmtId="192" formatCode="0.00,_);\(0.00,\)"/>
    <numFmt numFmtId="193" formatCode="#,##0.000_);\(#,##0.000\)"/>
    <numFmt numFmtId="194" formatCode="_(_(_$* #,##0.0_)_%;[Red]_(\(_$* #,##0.0\)_%;[Green]_(_(_$* #,##0.0_)_%;_(@_)_%"/>
    <numFmt numFmtId="195" formatCode="_(_(_$* #,##0.00_)_%;[Red]_(\(_$* #,##0.00\)_%;[Green]_(_(_$* #,##0.00_)_%;_(@_)_%"/>
    <numFmt numFmtId="196" formatCode="_(_(_$* #,##0.000_)_%;[Red]_(\(_$* #,##0.000\)_%;[Green]_(_(_$* #,##0.000_)_%;_(@_)_%"/>
    <numFmt numFmtId="197" formatCode="_._.* #,##0.0_)_%;_._.* \(#,##0.0\)_%;_._.* \ ?_)_%"/>
    <numFmt numFmtId="198" formatCode="_._.* #,##0.00_)_%;_._.* \(#,##0.00\)_%;_._.* \ ?_)_%"/>
    <numFmt numFmtId="199" formatCode="_._.* #,##0.000_)_%;_._.* \(#,##0.000\)_%;_._.* \ ?_)_%"/>
    <numFmt numFmtId="200" formatCode="_._.* #,##0.0000_)_%;_._.* \(#,##0.0000\)_%;_._.* \ ?_)_%"/>
    <numFmt numFmtId="201" formatCode="_(_(&quot;$&quot;* #,##0.0_)_%;[Red]_(\(&quot;$&quot;* #,##0.0\)_%;[Green]_(_(&quot;$&quot;* #,##0.0_)_%;_(@_)_%"/>
    <numFmt numFmtId="202" formatCode="_(_(&quot;$&quot;* #,##0.00_)_%;[Red]_(\(&quot;$&quot;* #,##0.00\)_%;[Green]_(_(&quot;$&quot;* #,##0.00_)_%;_(@_)_%"/>
    <numFmt numFmtId="203" formatCode="_(_(&quot;$&quot;* #,##0.000_)_%;[Red]_(\(&quot;$&quot;* #,##0.000\)_%;[Green]_(_(&quot;$&quot;* #,##0.000_)_%;_(@_)_%"/>
    <numFmt numFmtId="204" formatCode="_._.&quot;$&quot;* #,##0.0_)_%;_._.&quot;$&quot;* \(#,##0.0\)_%;_._.&quot;$&quot;* \ ?_)_%"/>
    <numFmt numFmtId="205" formatCode="_._.&quot;$&quot;* #,##0.00_)_%;_._.&quot;$&quot;* \(#,##0.00\)_%;_._.&quot;$&quot;* \ ?_)_%"/>
    <numFmt numFmtId="206" formatCode="_._.&quot;$&quot;* #,##0.000_)_%;_._.&quot;$&quot;* \(#,##0.000\)_%;_._.&quot;$&quot;* \ ?_)_%"/>
    <numFmt numFmtId="207" formatCode="_._.&quot;$&quot;* #,##0.0000_)_%;_._.&quot;$&quot;* \(#,##0.0000\)_%;_._.&quot;$&quot;* \ ?_)_%"/>
    <numFmt numFmtId="208" formatCode="&quot;$&quot;#,##0,_);\(&quot;$&quot;#,##0,\)"/>
    <numFmt numFmtId="209" formatCode="&quot;$&quot;#,##0.0_);\(&quot;$&quot;#,##0.0\)"/>
    <numFmt numFmtId="210" formatCode="&quot;$&quot;0.0,_);\(&quot;$&quot;0.0,\)"/>
    <numFmt numFmtId="211" formatCode="&quot;$&quot;0.00,_);\(&quot;$&quot;0.00,\)"/>
    <numFmt numFmtId="212" formatCode="&quot;$&quot;#,##0.000_);\(&quot;$&quot;#,##0.000\)"/>
    <numFmt numFmtId="213" formatCode="_(* dd\-mmm\-yy_)_%"/>
    <numFmt numFmtId="214" formatCode="_(* dd\ mmmm\ yyyy_)_%"/>
    <numFmt numFmtId="215" formatCode="_(* mmmm\ dd\,\ yyyy_)_%"/>
    <numFmt numFmtId="216" formatCode="_(* dd\.mm\.yyyy_)_%"/>
    <numFmt numFmtId="217" formatCode="_(* mm/dd/yyyy_)_%"/>
    <numFmt numFmtId="218" formatCode="m/d/yy;@"/>
    <numFmt numFmtId="219" formatCode="#,##0.0\x_);\(#,##0.0\x\)"/>
    <numFmt numFmtId="220" formatCode="#,##0.00\x_);\(#,##0.00\x\)"/>
    <numFmt numFmtId="221" formatCode="[$€-2]\ #,##0_);\([$€-2]\ #,##0\)"/>
    <numFmt numFmtId="222" formatCode="[$€-2]\ #,##0.0_);\([$€-2]\ #,##0.0\)"/>
    <numFmt numFmtId="223" formatCode="_([$€-2]* #,##0.00_);_([$€-2]* \(#,##0.00\);_([$€-2]* &quot;-&quot;??_)"/>
    <numFmt numFmtId="224" formatCode="General_)_%"/>
    <numFmt numFmtId="225" formatCode="_(_(#0_)_%;[Red]_(_(\-#0\)_%;[Green]_(_(#0_)_%;_(_(@_)_%"/>
    <numFmt numFmtId="226" formatCode="_(_(_•_ #0_)_%;[Red]_(_(_•_ \-#0\)_%;[Green]_(_(_•_ #0_)_%;_(_(_•_ @_)_%"/>
    <numFmt numFmtId="227" formatCode="_(_(_•_ _•_ #0_)_%;[Red]_(_(_•_ _•_ \-#0\)_%;[Green]_(_(_•_ _•_ #0_)_%;_(_(_•_ _•_ @_)_%"/>
    <numFmt numFmtId="228" formatCode="_(_(_•_ _•_ _•_ #0_)_%;[Red]_(_(_•_ _•_ _•_ \-#0\)_%;[Green]_(_(_•_ _•_ _•_ #0_)_%;_(_(_•_ _•_ _•_ @_)_%"/>
    <numFmt numFmtId="229" formatCode="#,##0\x;\(#,##0\x\)"/>
    <numFmt numFmtId="230" formatCode="0.0\x;\(0.0\x\)"/>
    <numFmt numFmtId="231" formatCode="#,##0.00\x;\(#,##0.00\x\)"/>
    <numFmt numFmtId="232" formatCode="#,##0.000\x;\(#,##0.000\x\)"/>
    <numFmt numFmtId="233" formatCode="0.0_);\(0.0\)"/>
    <numFmt numFmtId="234" formatCode="0%;\(0%\)"/>
    <numFmt numFmtId="235" formatCode="0.00\ \x_);\(0.00\ \x\)"/>
    <numFmt numFmtId="236" formatCode="_(* #,##0_);_(* \(#,##0\);_(* &quot;-&quot;????_);_(@_)"/>
    <numFmt numFmtId="237" formatCode="0__"/>
    <numFmt numFmtId="238" formatCode="h:mmAM/PM"/>
    <numFmt numFmtId="239" formatCode="0&quot; E&quot;"/>
    <numFmt numFmtId="240" formatCode="yyyy"/>
    <numFmt numFmtId="241" formatCode="&quot;$&quot;#,##0.0"/>
    <numFmt numFmtId="242" formatCode="0.0%;\(0.0%\)"/>
    <numFmt numFmtId="243" formatCode="0.00%_);\(0.00%\)"/>
    <numFmt numFmtId="244" formatCode="0.000%_);\(0.000%\)"/>
    <numFmt numFmtId="245" formatCode="_(0_)%;\(0\)%;\ \ ?_)%"/>
    <numFmt numFmtId="246" formatCode="_._._(* 0_)%;_._.* \(0\)%;_._._(* \ ?_)%"/>
    <numFmt numFmtId="247" formatCode="0%_);\(0%\)"/>
    <numFmt numFmtId="248" formatCode="_(* #,##0_)_%;[Red]_(* \(#,##0\)_%;[Green]_(* 0_)_%;_(@_)_%"/>
    <numFmt numFmtId="249" formatCode="_(* #,##0.0%_);[Red]_(* \-#,##0.0%_);[Green]_(* 0.0%_);_(@_)_%"/>
    <numFmt numFmtId="250" formatCode="_(* #,##0.00%_);[Red]_(* \-#,##0.00%_);[Green]_(* 0.00%_);_(@_)_%"/>
    <numFmt numFmtId="251" formatCode="_(* #,##0.000%_);[Red]_(* \-#,##0.000%_);[Green]_(* 0.000%_);_(@_)_%"/>
    <numFmt numFmtId="252" formatCode="_(0.0_)%;\(0.0\)%;\ \ ?_)%"/>
    <numFmt numFmtId="253" formatCode="_._._(* 0.0_)%;_._.* \(0.0\)%;_._._(* \ ?_)%"/>
    <numFmt numFmtId="254" formatCode="_(0.00_)%;\(0.00\)%;\ \ ?_)%"/>
    <numFmt numFmtId="255" formatCode="_._._(* 0.00_)%;_._.* \(0.00\)%;_._._(* \ ?_)%"/>
    <numFmt numFmtId="256" formatCode="_(0.000_)%;\(0.000\)%;\ \ ?_)%"/>
    <numFmt numFmtId="257" formatCode="_._._(* 0.000_)%;_._.* \(0.000\)%;_._._(* \ ?_)%"/>
    <numFmt numFmtId="258" formatCode="_(0.0000_)%;\(0.0000\)%;\ \ ?_)%"/>
    <numFmt numFmtId="259" formatCode="_._._(* 0.0000_)%;_._.* \(0.0000\)%;_._._(* \ ?_)%"/>
    <numFmt numFmtId="260" formatCode="0.0%"/>
    <numFmt numFmtId="261" formatCode="mmmm\ dd\,\ yy"/>
    <numFmt numFmtId="262" formatCode="0.0\x"/>
    <numFmt numFmtId="263" formatCode="_(* #,##0_);_(* \(#,##0\);_(* \ ?_)"/>
    <numFmt numFmtId="264" formatCode="_(* #,##0.0_);_(* \(#,##0.0\);_(* \ ?_)"/>
    <numFmt numFmtId="265" formatCode="_(* #,##0.00_);_(* \(#,##0.00\);_(* \ ?_)"/>
    <numFmt numFmtId="266" formatCode="_(* #,##0.000_);_(* \(#,##0.000\);_(* \ ?_)"/>
    <numFmt numFmtId="267" formatCode="_(&quot;$&quot;* #,##0_);_(&quot;$&quot;* \(#,##0\);_(&quot;$&quot;* \ ?_)"/>
    <numFmt numFmtId="268" formatCode="_(&quot;$&quot;* #,##0.0_);_(&quot;$&quot;* \(#,##0.0\);_(&quot;$&quot;* \ ?_)"/>
    <numFmt numFmtId="269" formatCode="_(&quot;$&quot;* #,##0.00_);_(&quot;$&quot;* \(#,##0.00\);_(&quot;$&quot;* \ ?_)"/>
    <numFmt numFmtId="270" formatCode="_(&quot;$&quot;* #,##0.000_);_(&quot;$&quot;* \(#,##0.000\);_(&quot;$&quot;* \ ?_)"/>
    <numFmt numFmtId="271" formatCode="0000&quot;A&quot;"/>
    <numFmt numFmtId="272" formatCode="0&quot;E&quot;"/>
    <numFmt numFmtId="273" formatCode="0000&quot;E&quot;"/>
    <numFmt numFmtId="274" formatCode="&quot;$&quot;#,##0.0000"/>
    <numFmt numFmtId="275" formatCode="0.000000%"/>
    <numFmt numFmtId="276" formatCode="[$-409]mmm\-yy;@"/>
    <numFmt numFmtId="277" formatCode="0.00000000"/>
  </numFmts>
  <fonts count="158">
    <font>
      <sz val="12"/>
      <name val="Arial MT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2"/>
      <name val="Arial MT"/>
    </font>
    <font>
      <sz val="12"/>
      <name val="Times New Roman"/>
      <family val="1"/>
    </font>
    <font>
      <sz val="10"/>
      <name val="Arial MT"/>
    </font>
    <font>
      <sz val="12"/>
      <name val="Arial"/>
      <family val="2"/>
    </font>
    <font>
      <b/>
      <u/>
      <sz val="12"/>
      <name val="Arial"/>
      <family val="2"/>
    </font>
    <font>
      <b/>
      <sz val="12"/>
      <name val="Arial"/>
      <family val="2"/>
    </font>
    <font>
      <sz val="12"/>
      <color indexed="10"/>
      <name val="Arial"/>
      <family val="2"/>
    </font>
    <font>
      <sz val="11"/>
      <name val="Arial"/>
      <family val="2"/>
    </font>
    <font>
      <b/>
      <sz val="12"/>
      <name val="Arial MT"/>
    </font>
    <font>
      <sz val="12"/>
      <color indexed="17"/>
      <name val="Arial MT"/>
    </font>
    <font>
      <sz val="12"/>
      <color indexed="10"/>
      <name val="Arial MT"/>
    </font>
    <font>
      <sz val="10"/>
      <name val="Arial"/>
      <family val="2"/>
    </font>
    <font>
      <b/>
      <u/>
      <sz val="10"/>
      <name val="Arial"/>
      <family val="2"/>
    </font>
    <font>
      <u val="singleAccounting"/>
      <sz val="10"/>
      <name val="Arial"/>
      <family val="2"/>
    </font>
    <font>
      <u val="doubleAccounting"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12"/>
      <name val="Arial"/>
      <family val="2"/>
    </font>
    <font>
      <sz val="12"/>
      <color indexed="12"/>
      <name val="Arial"/>
      <family val="2"/>
    </font>
    <font>
      <b/>
      <sz val="12"/>
      <color indexed="12"/>
      <name val="Arial"/>
      <family val="2"/>
    </font>
    <font>
      <b/>
      <u val="double"/>
      <sz val="12"/>
      <name val="Arial"/>
      <family val="2"/>
    </font>
    <font>
      <u/>
      <sz val="10"/>
      <name val="Arial"/>
      <family val="2"/>
    </font>
    <font>
      <b/>
      <u val="singleAccounting"/>
      <sz val="10"/>
      <name val="Arial"/>
      <family val="2"/>
    </font>
    <font>
      <u val="doubleAccounting"/>
      <sz val="10"/>
      <color indexed="12"/>
      <name val="Arial"/>
      <family val="2"/>
    </font>
    <font>
      <sz val="8"/>
      <name val="Arial"/>
      <family val="2"/>
    </font>
    <font>
      <b/>
      <u val="singleAccounting"/>
      <sz val="12"/>
      <name val="Arial"/>
      <family val="2"/>
    </font>
    <font>
      <u val="singleAccounting"/>
      <sz val="12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sz val="10"/>
      <name val="Arial Narrow"/>
      <family val="2"/>
    </font>
    <font>
      <sz val="10"/>
      <name val="MS Sans Serif"/>
      <family val="2"/>
    </font>
    <font>
      <u val="doubleAccounting"/>
      <sz val="12"/>
      <name val="Arial"/>
      <family val="2"/>
    </font>
    <font>
      <sz val="12"/>
      <color rgb="FF0000FF"/>
      <name val="Arial MT"/>
    </font>
    <font>
      <sz val="12"/>
      <color rgb="FF0000FF"/>
      <name val="Arial"/>
      <family val="2"/>
    </font>
    <font>
      <u val="singleAccounting"/>
      <sz val="12"/>
      <color rgb="FF0000FF"/>
      <name val="Arial"/>
      <family val="2"/>
    </font>
    <font>
      <u val="doubleAccounting"/>
      <sz val="12"/>
      <color rgb="FF0000FF"/>
      <name val="Arial"/>
      <family val="2"/>
    </font>
    <font>
      <sz val="10"/>
      <color rgb="FF0000FF"/>
      <name val="Arial"/>
      <family val="2"/>
    </font>
    <font>
      <b/>
      <u/>
      <sz val="12"/>
      <name val="Arial MT"/>
    </font>
    <font>
      <sz val="10"/>
      <name val="MS Sans Serif"/>
      <family val="2"/>
    </font>
    <font>
      <sz val="14"/>
      <name val="Arial"/>
      <family val="2"/>
    </font>
    <font>
      <b/>
      <sz val="10"/>
      <color indexed="12"/>
      <name val="Arial"/>
      <family val="2"/>
    </font>
    <font>
      <sz val="9"/>
      <name val="Arial"/>
      <family val="2"/>
    </font>
    <font>
      <sz val="10"/>
      <name val="C Helvetica Condensed"/>
    </font>
    <font>
      <sz val="10"/>
      <color indexed="12"/>
      <name val="Times New Roman"/>
      <family val="1"/>
    </font>
    <font>
      <sz val="10"/>
      <name val="Times New Roman"/>
      <family val="1"/>
    </font>
    <font>
      <b/>
      <sz val="10"/>
      <color indexed="8"/>
      <name val="Times New Roman"/>
      <family val="1"/>
    </font>
    <font>
      <b/>
      <i/>
      <sz val="14"/>
      <name val="Arial"/>
      <family val="2"/>
    </font>
    <font>
      <b/>
      <sz val="24"/>
      <name val="Arial Narrow"/>
      <family val="2"/>
    </font>
    <font>
      <b/>
      <i/>
      <sz val="12"/>
      <name val="Arial"/>
      <family val="2"/>
    </font>
    <font>
      <i/>
      <sz val="12"/>
      <name val="Arial"/>
      <family val="2"/>
    </font>
    <font>
      <i/>
      <sz val="10"/>
      <name val="Arial"/>
      <family val="2"/>
    </font>
    <font>
      <sz val="9"/>
      <color indexed="18"/>
      <name val="Arial"/>
      <family val="2"/>
    </font>
    <font>
      <i/>
      <sz val="10"/>
      <color indexed="18"/>
      <name val="Arial"/>
      <family val="2"/>
    </font>
    <font>
      <sz val="10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Arial"/>
      <family val="2"/>
    </font>
    <font>
      <sz val="9"/>
      <color indexed="12"/>
      <name val="Arial"/>
      <family val="2"/>
    </font>
    <font>
      <sz val="9"/>
      <name val="Times New Roman"/>
      <family val="1"/>
    </font>
    <font>
      <b/>
      <sz val="9"/>
      <name val="Arial"/>
      <family val="2"/>
    </font>
    <font>
      <sz val="12"/>
      <name val="Helv"/>
    </font>
    <font>
      <sz val="11"/>
      <name val="Times New Roman"/>
      <family val="1"/>
    </font>
    <font>
      <u val="singleAccounting"/>
      <sz val="11"/>
      <name val="Times New Roman"/>
      <family val="1"/>
    </font>
    <font>
      <sz val="8"/>
      <name val="Times New Roman"/>
      <family val="1"/>
    </font>
    <font>
      <b/>
      <sz val="10"/>
      <name val="Times New Roman"/>
      <family val="1"/>
    </font>
    <font>
      <i/>
      <sz val="8"/>
      <name val="Arial"/>
      <family val="2"/>
    </font>
    <font>
      <sz val="8"/>
      <color indexed="22"/>
      <name val="Arial"/>
      <family val="2"/>
    </font>
    <font>
      <sz val="10"/>
      <name val="Book Antiqua"/>
      <family val="1"/>
    </font>
    <font>
      <b/>
      <i/>
      <sz val="14"/>
      <name val="Tms Rmn"/>
    </font>
    <font>
      <sz val="10"/>
      <color indexed="42"/>
      <name val="Arial"/>
      <family val="2"/>
    </font>
    <font>
      <sz val="10"/>
      <color indexed="46"/>
      <name val="Arial"/>
      <family val="2"/>
    </font>
    <font>
      <b/>
      <sz val="14"/>
      <name val="Book Antiqua"/>
      <family val="1"/>
    </font>
    <font>
      <i/>
      <sz val="10"/>
      <name val="Book Antiqua"/>
      <family val="1"/>
    </font>
    <font>
      <b/>
      <sz val="10"/>
      <color indexed="22"/>
      <name val="Arial"/>
      <family val="2"/>
    </font>
    <font>
      <sz val="10"/>
      <color indexed="12"/>
      <name val="Book Antiqua"/>
      <family val="1"/>
    </font>
    <font>
      <i/>
      <sz val="16"/>
      <name val="Times New Roman"/>
      <family val="1"/>
    </font>
    <font>
      <sz val="7"/>
      <name val="Small Fonts"/>
      <family val="2"/>
    </font>
    <font>
      <u/>
      <sz val="10"/>
      <name val="Times New Roman"/>
      <family val="1"/>
    </font>
    <font>
      <b/>
      <sz val="10"/>
      <name val="MS Sans Serif"/>
      <family val="2"/>
    </font>
    <font>
      <sz val="8"/>
      <color indexed="38"/>
      <name val="Arial"/>
      <family val="2"/>
    </font>
    <font>
      <b/>
      <i/>
      <sz val="16"/>
      <name val="Arial"/>
      <family val="2"/>
    </font>
    <font>
      <b/>
      <sz val="12"/>
      <color indexed="32"/>
      <name val="Arial"/>
      <family val="2"/>
    </font>
    <font>
      <i/>
      <sz val="11"/>
      <name val="Arial"/>
      <family val="2"/>
    </font>
    <font>
      <sz val="10"/>
      <color indexed="40"/>
      <name val="Arial"/>
      <family val="2"/>
    </font>
    <font>
      <sz val="10"/>
      <color indexed="8"/>
      <name val="Times New Roman"/>
      <family val="1"/>
    </font>
    <font>
      <b/>
      <i/>
      <sz val="12"/>
      <name val="Times New Roman"/>
      <family val="1"/>
    </font>
    <font>
      <sz val="10"/>
      <name val="Futura UBS Bk"/>
      <family val="2"/>
    </font>
    <font>
      <sz val="10"/>
      <color indexed="8"/>
      <name val="MS Sans Serif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9"/>
      <name val="Times New Roman"/>
      <family val="1"/>
    </font>
    <font>
      <b/>
      <sz val="10"/>
      <color indexed="10"/>
      <name val="Arial"/>
      <family val="2"/>
    </font>
    <font>
      <i/>
      <sz val="8"/>
      <name val="Times New Roman"/>
      <family val="1"/>
    </font>
    <font>
      <sz val="10"/>
      <color indexed="21"/>
      <name val="Arial"/>
      <family val="2"/>
    </font>
    <font>
      <b/>
      <sz val="8"/>
      <name val="Arial"/>
      <family val="2"/>
    </font>
    <font>
      <u val="singleAccounting"/>
      <sz val="10"/>
      <color rgb="FF0000FF"/>
      <name val="Arial"/>
      <family val="2"/>
    </font>
    <font>
      <u/>
      <sz val="12"/>
      <name val="Arial"/>
      <family val="2"/>
    </font>
    <font>
      <u/>
      <sz val="11"/>
      <name val="Arial"/>
      <family val="2"/>
    </font>
    <font>
      <sz val="10"/>
      <name val="Arial"/>
      <family val="2"/>
    </font>
    <font>
      <u/>
      <sz val="12"/>
      <name val="Arial MT"/>
    </font>
    <font>
      <u val="singleAccounting"/>
      <sz val="12"/>
      <color indexed="12"/>
      <name val="Arial"/>
      <family val="2"/>
    </font>
    <font>
      <vertAlign val="superscript"/>
      <sz val="12"/>
      <name val="Arial"/>
      <family val="2"/>
    </font>
    <font>
      <u/>
      <vertAlign val="superscript"/>
      <sz val="10"/>
      <name val="Arial"/>
      <family val="2"/>
    </font>
    <font>
      <vertAlign val="superscript"/>
      <sz val="10"/>
      <name val="Arial"/>
      <family val="2"/>
    </font>
    <font>
      <b/>
      <sz val="10"/>
      <color theme="1"/>
      <name val="Arial"/>
      <family val="2"/>
    </font>
    <font>
      <u/>
      <sz val="10"/>
      <color theme="1"/>
      <name val="Arial"/>
      <family val="2"/>
    </font>
    <font>
      <sz val="12"/>
      <name val="Courier"/>
      <family val="3"/>
    </font>
    <font>
      <vertAlign val="superscript"/>
      <sz val="10"/>
      <color theme="1"/>
      <name val="Arial"/>
      <family val="2"/>
    </font>
    <font>
      <sz val="11"/>
      <color rgb="FF0000FF"/>
      <name val="Arial"/>
      <family val="2"/>
    </font>
    <font>
      <sz val="10"/>
      <color indexed="81"/>
      <name val="Tahoma"/>
      <family val="2"/>
    </font>
    <font>
      <sz val="11"/>
      <color theme="1"/>
      <name val="Calibri"/>
      <family val="2"/>
      <scheme val="minor"/>
    </font>
    <font>
      <u/>
      <sz val="10"/>
      <color rgb="FF0000FF"/>
      <name val="Arial"/>
      <family val="2"/>
    </font>
    <font>
      <sz val="10"/>
      <color indexed="10"/>
      <name val="Arial"/>
      <family val="2"/>
    </font>
    <font>
      <b/>
      <sz val="10"/>
      <color rgb="FF0000FF"/>
      <name val="Arial"/>
      <family val="2"/>
    </font>
    <font>
      <b/>
      <u val="singleAccounting"/>
      <sz val="10"/>
      <color rgb="FFFF0000"/>
      <name val="Arial"/>
      <family val="2"/>
    </font>
    <font>
      <b/>
      <sz val="12"/>
      <color rgb="FF0000FF"/>
      <name val="Arial"/>
      <family val="2"/>
    </font>
    <font>
      <b/>
      <sz val="10"/>
      <color rgb="FFFF0000"/>
      <name val="Arial"/>
      <family val="2"/>
    </font>
    <font>
      <sz val="11"/>
      <name val="Calibri"/>
      <family val="2"/>
    </font>
    <font>
      <sz val="12"/>
      <color rgb="FFFF0000"/>
      <name val="Arial MT"/>
    </font>
    <font>
      <sz val="12"/>
      <color rgb="FF333399"/>
      <name val="Arial MT"/>
    </font>
    <font>
      <sz val="12"/>
      <color rgb="FFFF6600"/>
      <name val="Arial MT"/>
    </font>
    <font>
      <sz val="12"/>
      <color rgb="FF000000"/>
      <name val="Arial MT"/>
    </font>
    <font>
      <sz val="12"/>
      <color rgb="FF993300"/>
      <name val="Arial MT"/>
    </font>
    <font>
      <sz val="12"/>
      <color rgb="FF993366"/>
      <name val="Arial MT"/>
    </font>
    <font>
      <sz val="12"/>
      <color rgb="FF008000"/>
      <name val="Arial MT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u val="singleAccounting"/>
      <vertAlign val="superscript"/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4" tint="-0.249977111117893"/>
      <name val="Arial"/>
      <family val="2"/>
    </font>
  </fonts>
  <fills count="5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3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8"/>
        <bgColor indexed="64"/>
      </patternFill>
    </fill>
    <fill>
      <patternFill patternType="solid">
        <fgColor indexed="26"/>
        <bgColor indexed="64"/>
      </patternFill>
    </fill>
    <fill>
      <patternFill patternType="lightGray">
        <fgColor indexed="38"/>
        <bgColor indexed="23"/>
      </patternFill>
    </fill>
    <fill>
      <patternFill patternType="mediumGray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4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2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7">
    <xf numFmtId="173" fontId="0" fillId="0" borderId="0" applyProtection="0"/>
    <xf numFmtId="43" fontId="28" fillId="0" borderId="0" applyFont="0" applyFill="0" applyBorder="0" applyAlignment="0" applyProtection="0"/>
    <xf numFmtId="43" fontId="44" fillId="0" borderId="0" applyFont="0" applyFill="0" applyBorder="0" applyAlignment="0" applyProtection="0"/>
    <xf numFmtId="0" fontId="43" fillId="0" borderId="0">
      <alignment vertical="top"/>
    </xf>
    <xf numFmtId="173" fontId="12" fillId="0" borderId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9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52" fillId="0" borderId="0" applyFont="0" applyFill="0" applyBorder="0" applyAlignment="0" applyProtection="0"/>
    <xf numFmtId="0" fontId="23" fillId="0" borderId="0"/>
    <xf numFmtId="44" fontId="23" fillId="0" borderId="0" applyFont="0" applyFill="0" applyBorder="0" applyAlignment="0" applyProtection="0"/>
    <xf numFmtId="0" fontId="23" fillId="0" borderId="0"/>
    <xf numFmtId="178" fontId="56" fillId="0" borderId="0" applyFont="0" applyFill="0" applyBorder="0" applyAlignment="0" applyProtection="0"/>
    <xf numFmtId="179" fontId="56" fillId="0" borderId="0" applyFont="0" applyFill="0" applyBorder="0" applyAlignment="0" applyProtection="0"/>
    <xf numFmtId="180" fontId="56" fillId="0" borderId="0" applyFont="0" applyFill="0" applyBorder="0" applyAlignment="0" applyProtection="0"/>
    <xf numFmtId="181" fontId="56" fillId="0" borderId="0" applyFont="0" applyFill="0" applyBorder="0" applyAlignment="0" applyProtection="0"/>
    <xf numFmtId="182" fontId="56" fillId="0" borderId="0" applyFont="0" applyFill="0" applyBorder="0" applyAlignment="0" applyProtection="0"/>
    <xf numFmtId="183" fontId="56" fillId="0" borderId="0" applyFont="0" applyFill="0" applyBorder="0" applyAlignment="0" applyProtection="0"/>
    <xf numFmtId="0" fontId="55" fillId="0" borderId="0"/>
    <xf numFmtId="184" fontId="23" fillId="6" borderId="0" applyNumberFormat="0" applyFill="0" applyBorder="0" applyAlignment="0" applyProtection="0">
      <alignment horizontal="right" vertical="center"/>
    </xf>
    <xf numFmtId="184" fontId="29" fillId="0" borderId="0" applyNumberFormat="0" applyFill="0" applyBorder="0" applyAlignment="0" applyProtection="0"/>
    <xf numFmtId="0" fontId="23" fillId="0" borderId="6" applyNumberFormat="0" applyFont="0" applyFill="0" applyAlignment="0" applyProtection="0"/>
    <xf numFmtId="185" fontId="13" fillId="0" borderId="0" applyFont="0" applyFill="0" applyBorder="0" applyAlignment="0" applyProtection="0"/>
    <xf numFmtId="186" fontId="56" fillId="0" borderId="0" applyFont="0" applyFill="0" applyBorder="0" applyProtection="0">
      <alignment horizontal="left"/>
    </xf>
    <xf numFmtId="187" fontId="56" fillId="0" borderId="0" applyFont="0" applyFill="0" applyBorder="0" applyProtection="0">
      <alignment horizontal="left"/>
    </xf>
    <xf numFmtId="188" fontId="56" fillId="0" borderId="0" applyFont="0" applyFill="0" applyBorder="0" applyProtection="0">
      <alignment horizontal="left"/>
    </xf>
    <xf numFmtId="37" fontId="57" fillId="0" borderId="0" applyFont="0" applyFill="0" applyBorder="0" applyAlignment="0" applyProtection="0">
      <alignment vertical="center"/>
      <protection locked="0"/>
    </xf>
    <xf numFmtId="189" fontId="58" fillId="0" borderId="0" applyFont="0" applyFill="0" applyBorder="0" applyAlignment="0" applyProtection="0"/>
    <xf numFmtId="0" fontId="59" fillId="0" borderId="0"/>
    <xf numFmtId="0" fontId="59" fillId="0" borderId="0"/>
    <xf numFmtId="173" fontId="36" fillId="0" borderId="0" applyFill="0"/>
    <xf numFmtId="173" fontId="36" fillId="0" borderId="0">
      <alignment horizontal="center"/>
    </xf>
    <xf numFmtId="0" fontId="36" fillId="0" borderId="0" applyFill="0">
      <alignment horizontal="center"/>
    </xf>
    <xf numFmtId="173" fontId="39" fillId="0" borderId="18" applyFill="0"/>
    <xf numFmtId="0" fontId="23" fillId="0" borderId="0" applyFont="0" applyAlignment="0"/>
    <xf numFmtId="0" fontId="60" fillId="0" borderId="0" applyFill="0">
      <alignment vertical="top"/>
    </xf>
    <xf numFmtId="0" fontId="39" fillId="0" borderId="0" applyFill="0">
      <alignment horizontal="left" vertical="top"/>
    </xf>
    <xf numFmtId="173" fontId="17" fillId="0" borderId="10" applyFill="0"/>
    <xf numFmtId="0" fontId="23" fillId="0" borderId="0" applyNumberFormat="0" applyFont="0" applyAlignment="0"/>
    <xf numFmtId="0" fontId="60" fillId="0" borderId="0" applyFill="0">
      <alignment wrapText="1"/>
    </xf>
    <xf numFmtId="0" fontId="39" fillId="0" borderId="0" applyFill="0">
      <alignment horizontal="left" vertical="top" wrapText="1"/>
    </xf>
    <xf numFmtId="173" fontId="40" fillId="0" borderId="0" applyFill="0"/>
    <xf numFmtId="0" fontId="61" fillId="0" borderId="0" applyNumberFormat="0" applyFont="0" applyAlignment="0">
      <alignment horizontal="center"/>
    </xf>
    <xf numFmtId="0" fontId="62" fillId="0" borderId="0" applyFill="0">
      <alignment vertical="top" wrapText="1"/>
    </xf>
    <xf numFmtId="0" fontId="17" fillId="0" borderId="0" applyFill="0">
      <alignment horizontal="left" vertical="top" wrapText="1"/>
    </xf>
    <xf numFmtId="173" fontId="23" fillId="0" borderId="0" applyFill="0"/>
    <xf numFmtId="0" fontId="61" fillId="0" borderId="0" applyNumberFormat="0" applyFont="0" applyAlignment="0">
      <alignment horizontal="center"/>
    </xf>
    <xf numFmtId="0" fontId="63" fillId="0" borderId="0" applyFill="0">
      <alignment vertical="center" wrapText="1"/>
    </xf>
    <xf numFmtId="0" fontId="15" fillId="0" borderId="0">
      <alignment horizontal="left" vertical="center" wrapText="1"/>
    </xf>
    <xf numFmtId="173" fontId="55" fillId="0" borderId="0" applyFill="0"/>
    <xf numFmtId="0" fontId="61" fillId="0" borderId="0" applyNumberFormat="0" applyFont="0" applyAlignment="0">
      <alignment horizontal="center"/>
    </xf>
    <xf numFmtId="0" fontId="64" fillId="0" borderId="0" applyFill="0">
      <alignment horizontal="center" vertical="center" wrapText="1"/>
    </xf>
    <xf numFmtId="0" fontId="23" fillId="0" borderId="0" applyFill="0">
      <alignment horizontal="center" vertical="center" wrapText="1"/>
    </xf>
    <xf numFmtId="173" fontId="65" fillId="0" borderId="0" applyFill="0"/>
    <xf numFmtId="0" fontId="61" fillId="0" borderId="0" applyNumberFormat="0" applyFont="0" applyAlignment="0">
      <alignment horizontal="center"/>
    </xf>
    <xf numFmtId="0" fontId="66" fillId="0" borderId="0" applyFill="0">
      <alignment horizontal="center" vertical="center" wrapText="1"/>
    </xf>
    <xf numFmtId="0" fontId="67" fillId="0" borderId="0" applyFill="0">
      <alignment horizontal="center" vertical="center" wrapText="1"/>
    </xf>
    <xf numFmtId="173" fontId="68" fillId="0" borderId="0" applyFill="0"/>
    <xf numFmtId="0" fontId="61" fillId="0" borderId="0" applyNumberFormat="0" applyFont="0" applyAlignment="0">
      <alignment horizontal="center"/>
    </xf>
    <xf numFmtId="0" fontId="69" fillId="0" borderId="0">
      <alignment horizontal="center" wrapText="1"/>
    </xf>
    <xf numFmtId="0" fontId="65" fillId="0" borderId="0" applyFill="0">
      <alignment horizontal="center" wrapText="1"/>
    </xf>
    <xf numFmtId="190" fontId="70" fillId="0" borderId="0" applyFont="0" applyFill="0" applyBorder="0" applyAlignment="0" applyProtection="0">
      <protection locked="0"/>
    </xf>
    <xf numFmtId="191" fontId="70" fillId="0" borderId="0" applyFont="0" applyFill="0" applyBorder="0" applyAlignment="0" applyProtection="0">
      <protection locked="0"/>
    </xf>
    <xf numFmtId="39" fontId="23" fillId="0" borderId="0" applyFont="0" applyFill="0" applyBorder="0" applyAlignment="0" applyProtection="0"/>
    <xf numFmtId="192" fontId="71" fillId="0" borderId="0" applyFont="0" applyFill="0" applyBorder="0" applyAlignment="0" applyProtection="0"/>
    <xf numFmtId="193" fontId="58" fillId="0" borderId="0" applyFont="0" applyFill="0" applyBorder="0" applyAlignment="0" applyProtection="0"/>
    <xf numFmtId="0" fontId="23" fillId="0" borderId="6" applyNumberFormat="0" applyFont="0" applyFill="0" applyBorder="0" applyProtection="0">
      <alignment horizontal="centerContinuous" vertical="center"/>
    </xf>
    <xf numFmtId="0" fontId="72" fillId="0" borderId="0" applyFill="0" applyBorder="0" applyProtection="0">
      <alignment horizontal="center"/>
      <protection locked="0"/>
    </xf>
    <xf numFmtId="0" fontId="2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194" fontId="56" fillId="0" borderId="0" applyFont="0" applyFill="0" applyBorder="0" applyAlignment="0" applyProtection="0"/>
    <xf numFmtId="195" fontId="56" fillId="0" borderId="0" applyFont="0" applyFill="0" applyBorder="0" applyAlignment="0" applyProtection="0"/>
    <xf numFmtId="196" fontId="56" fillId="0" borderId="0" applyFont="0" applyFill="0" applyBorder="0" applyAlignment="0" applyProtection="0"/>
    <xf numFmtId="197" fontId="74" fillId="0" borderId="0" applyFont="0" applyFill="0" applyBorder="0" applyAlignment="0" applyProtection="0"/>
    <xf numFmtId="198" fontId="75" fillId="0" borderId="0" applyFont="0" applyFill="0" applyBorder="0" applyAlignment="0" applyProtection="0"/>
    <xf numFmtId="199" fontId="75" fillId="0" borderId="0" applyFont="0" applyFill="0" applyBorder="0" applyAlignment="0" applyProtection="0"/>
    <xf numFmtId="200" fontId="40" fillId="0" borderId="0" applyFont="0" applyFill="0" applyBorder="0" applyAlignment="0" applyProtection="0">
      <protection locked="0"/>
    </xf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3" fillId="0" borderId="0" applyFont="0" applyFill="0" applyBorder="0" applyAlignment="0" applyProtection="0"/>
    <xf numFmtId="37" fontId="76" fillId="0" borderId="0" applyFill="0" applyBorder="0" applyAlignment="0" applyProtection="0"/>
    <xf numFmtId="3" fontId="23" fillId="0" borderId="0" applyFont="0" applyFill="0" applyBorder="0" applyAlignment="0" applyProtection="0"/>
    <xf numFmtId="0" fontId="39" fillId="0" borderId="0" applyFill="0" applyBorder="0" applyAlignment="0" applyProtection="0">
      <protection locked="0"/>
    </xf>
    <xf numFmtId="201" fontId="56" fillId="0" borderId="0" applyFont="0" applyFill="0" applyBorder="0" applyAlignment="0" applyProtection="0"/>
    <xf numFmtId="202" fontId="56" fillId="0" borderId="0" applyFont="0" applyFill="0" applyBorder="0" applyAlignment="0" applyProtection="0"/>
    <xf numFmtId="203" fontId="56" fillId="0" borderId="0" applyFont="0" applyFill="0" applyBorder="0" applyAlignment="0" applyProtection="0"/>
    <xf numFmtId="204" fontId="75" fillId="0" borderId="0" applyFont="0" applyFill="0" applyBorder="0" applyAlignment="0" applyProtection="0"/>
    <xf numFmtId="205" fontId="75" fillId="0" borderId="0" applyFont="0" applyFill="0" applyBorder="0" applyAlignment="0" applyProtection="0"/>
    <xf numFmtId="206" fontId="75" fillId="0" borderId="0" applyFont="0" applyFill="0" applyBorder="0" applyAlignment="0" applyProtection="0"/>
    <xf numFmtId="207" fontId="40" fillId="0" borderId="0" applyFont="0" applyFill="0" applyBorder="0" applyAlignment="0" applyProtection="0">
      <protection locked="0"/>
    </xf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5" fontId="76" fillId="0" borderId="0" applyFill="0" applyBorder="0" applyAlignment="0" applyProtection="0"/>
    <xf numFmtId="5" fontId="23" fillId="0" borderId="0" applyFont="0" applyFill="0" applyBorder="0" applyAlignment="0" applyProtection="0"/>
    <xf numFmtId="5" fontId="23" fillId="0" borderId="0" applyFont="0" applyFill="0" applyBorder="0" applyAlignment="0" applyProtection="0"/>
    <xf numFmtId="208" fontId="58" fillId="0" borderId="0" applyFont="0" applyFill="0" applyBorder="0" applyAlignment="0" applyProtection="0"/>
    <xf numFmtId="209" fontId="23" fillId="0" borderId="0" applyFont="0" applyFill="0" applyBorder="0" applyAlignment="0" applyProtection="0"/>
    <xf numFmtId="210" fontId="70" fillId="0" borderId="0" applyFont="0" applyFill="0" applyBorder="0" applyAlignment="0" applyProtection="0">
      <protection locked="0"/>
    </xf>
    <xf numFmtId="7" fontId="36" fillId="0" borderId="0" applyFont="0" applyFill="0" applyBorder="0" applyAlignment="0" applyProtection="0"/>
    <xf numFmtId="211" fontId="71" fillId="0" borderId="0" applyFont="0" applyFill="0" applyBorder="0" applyAlignment="0" applyProtection="0"/>
    <xf numFmtId="212" fontId="77" fillId="0" borderId="0" applyFont="0" applyFill="0" applyBorder="0" applyAlignment="0" applyProtection="0"/>
    <xf numFmtId="0" fontId="78" fillId="7" borderId="19" applyNumberFormat="0" applyFont="0" applyFill="0" applyAlignment="0" applyProtection="0">
      <alignment horizontal="left" indent="1"/>
    </xf>
    <xf numFmtId="14" fontId="23" fillId="0" borderId="0" applyFont="0" applyFill="0" applyBorder="0" applyAlignment="0" applyProtection="0"/>
    <xf numFmtId="213" fontId="56" fillId="0" borderId="0" applyFont="0" applyFill="0" applyBorder="0" applyProtection="0"/>
    <xf numFmtId="214" fontId="56" fillId="0" borderId="0" applyFont="0" applyFill="0" applyBorder="0" applyProtection="0"/>
    <xf numFmtId="215" fontId="56" fillId="0" borderId="0" applyFont="0" applyFill="0" applyBorder="0" applyAlignment="0" applyProtection="0"/>
    <xf numFmtId="216" fontId="56" fillId="0" borderId="0" applyFont="0" applyFill="0" applyBorder="0" applyAlignment="0" applyProtection="0"/>
    <xf numFmtId="217" fontId="56" fillId="0" borderId="0" applyFont="0" applyFill="0" applyBorder="0" applyAlignment="0" applyProtection="0"/>
    <xf numFmtId="218" fontId="79" fillId="0" borderId="0" applyFont="0" applyFill="0" applyBorder="0" applyAlignment="0" applyProtection="0"/>
    <xf numFmtId="5" fontId="80" fillId="0" borderId="0" applyBorder="0"/>
    <xf numFmtId="209" fontId="80" fillId="0" borderId="0" applyBorder="0"/>
    <xf numFmtId="7" fontId="80" fillId="0" borderId="0" applyBorder="0"/>
    <xf numFmtId="37" fontId="80" fillId="0" borderId="0" applyBorder="0"/>
    <xf numFmtId="190" fontId="80" fillId="0" borderId="0" applyBorder="0"/>
    <xf numFmtId="219" fontId="80" fillId="0" borderId="0" applyBorder="0"/>
    <xf numFmtId="39" fontId="80" fillId="0" borderId="0" applyBorder="0"/>
    <xf numFmtId="220" fontId="80" fillId="0" borderId="0" applyBorder="0"/>
    <xf numFmtId="7" fontId="23" fillId="0" borderId="0" applyFont="0" applyFill="0" applyBorder="0" applyAlignment="0" applyProtection="0"/>
    <xf numFmtId="221" fontId="58" fillId="0" borderId="0" applyFont="0" applyFill="0" applyBorder="0" applyAlignment="0" applyProtection="0"/>
    <xf numFmtId="222" fontId="58" fillId="0" borderId="0" applyFont="0" applyFill="0" applyAlignment="0" applyProtection="0"/>
    <xf numFmtId="221" fontId="58" fillId="0" borderId="0" applyFont="0" applyFill="0" applyBorder="0" applyAlignment="0" applyProtection="0"/>
    <xf numFmtId="223" fontId="36" fillId="0" borderId="0" applyFont="0" applyFill="0" applyBorder="0" applyAlignment="0" applyProtection="0"/>
    <xf numFmtId="2" fontId="23" fillId="0" borderId="0" applyFont="0" applyFill="0" applyBorder="0" applyAlignment="0" applyProtection="0"/>
    <xf numFmtId="0" fontId="81" fillId="0" borderId="0"/>
    <xf numFmtId="190" fontId="82" fillId="0" borderId="0" applyNumberFormat="0" applyFill="0" applyBorder="0" applyAlignment="0" applyProtection="0"/>
    <xf numFmtId="0" fontId="36" fillId="0" borderId="0" applyFont="0" applyFill="0" applyBorder="0" applyAlignment="0" applyProtection="0"/>
    <xf numFmtId="0" fontId="56" fillId="0" borderId="0" applyFont="0" applyFill="0" applyBorder="0" applyProtection="0">
      <alignment horizontal="center" wrapText="1"/>
    </xf>
    <xf numFmtId="224" fontId="56" fillId="0" borderId="0" applyFont="0" applyFill="0" applyBorder="0" applyProtection="0">
      <alignment horizontal="right"/>
    </xf>
    <xf numFmtId="0" fontId="82" fillId="0" borderId="0" applyNumberFormat="0" applyFill="0" applyBorder="0" applyAlignment="0" applyProtection="0"/>
    <xf numFmtId="0" fontId="83" fillId="8" borderId="0" applyNumberFormat="0" applyFill="0" applyBorder="0" applyAlignment="0" applyProtection="0"/>
    <xf numFmtId="0" fontId="17" fillId="0" borderId="20" applyNumberFormat="0" applyAlignment="0" applyProtection="0">
      <alignment horizontal="left" vertical="center"/>
    </xf>
    <xf numFmtId="0" fontId="17" fillId="0" borderId="16">
      <alignment horizontal="left" vertical="center"/>
    </xf>
    <xf numFmtId="14" fontId="27" fillId="9" borderId="1">
      <alignment horizontal="center" vertical="center" wrapText="1"/>
    </xf>
    <xf numFmtId="0" fontId="72" fillId="0" borderId="0" applyFill="0" applyAlignment="0" applyProtection="0">
      <protection locked="0"/>
    </xf>
    <xf numFmtId="0" fontId="72" fillId="0" borderId="6" applyFill="0" applyAlignment="0" applyProtection="0">
      <protection locked="0"/>
    </xf>
    <xf numFmtId="0" fontId="84" fillId="0" borderId="1"/>
    <xf numFmtId="0" fontId="85" fillId="0" borderId="0"/>
    <xf numFmtId="0" fontId="86" fillId="0" borderId="6" applyNumberFormat="0" applyFill="0" applyAlignment="0" applyProtection="0"/>
    <xf numFmtId="0" fontId="79" fillId="10" borderId="0" applyNumberFormat="0" applyFont="0" applyBorder="0" applyAlignment="0" applyProtection="0"/>
    <xf numFmtId="0" fontId="54" fillId="3" borderId="14" applyNumberFormat="0" applyAlignment="0" applyProtection="0"/>
    <xf numFmtId="225" fontId="56" fillId="0" borderId="0" applyFont="0" applyFill="0" applyBorder="0" applyProtection="0">
      <alignment horizontal="left"/>
    </xf>
    <xf numFmtId="226" fontId="56" fillId="0" borderId="0" applyFont="0" applyFill="0" applyBorder="0" applyProtection="0">
      <alignment horizontal="left"/>
    </xf>
    <xf numFmtId="227" fontId="56" fillId="0" borderId="0" applyFont="0" applyFill="0" applyBorder="0" applyProtection="0">
      <alignment horizontal="left"/>
    </xf>
    <xf numFmtId="228" fontId="56" fillId="0" borderId="0" applyFont="0" applyFill="0" applyBorder="0" applyProtection="0">
      <alignment horizontal="left"/>
    </xf>
    <xf numFmtId="10" fontId="36" fillId="11" borderId="14" applyNumberFormat="0" applyBorder="0" applyAlignment="0" applyProtection="0"/>
    <xf numFmtId="5" fontId="87" fillId="0" borderId="0" applyBorder="0"/>
    <xf numFmtId="209" fontId="87" fillId="0" borderId="0" applyBorder="0"/>
    <xf numFmtId="7" fontId="87" fillId="0" borderId="0" applyBorder="0"/>
    <xf numFmtId="37" fontId="87" fillId="0" borderId="0" applyBorder="0"/>
    <xf numFmtId="190" fontId="87" fillId="0" borderId="0" applyBorder="0"/>
    <xf numFmtId="219" fontId="87" fillId="0" borderId="0" applyBorder="0"/>
    <xf numFmtId="39" fontId="87" fillId="0" borderId="0" applyBorder="0"/>
    <xf numFmtId="220" fontId="87" fillId="0" borderId="0" applyBorder="0"/>
    <xf numFmtId="0" fontId="79" fillId="0" borderId="3" applyNumberFormat="0" applyFont="0" applyFill="0" applyAlignment="0" applyProtection="0"/>
    <xf numFmtId="0" fontId="88" fillId="0" borderId="0"/>
    <xf numFmtId="229" fontId="23" fillId="0" borderId="0" applyFont="0" applyFill="0" applyBorder="0" applyAlignment="0" applyProtection="0"/>
    <xf numFmtId="230" fontId="23" fillId="0" borderId="0" applyFont="0" applyFill="0" applyBorder="0" applyAlignment="0" applyProtection="0"/>
    <xf numFmtId="231" fontId="23" fillId="0" borderId="0" applyFont="0" applyFill="0" applyBorder="0" applyAlignment="0" applyProtection="0"/>
    <xf numFmtId="232" fontId="23" fillId="0" borderId="0" applyFont="0" applyFill="0" applyBorder="0" applyAlignment="0" applyProtection="0"/>
    <xf numFmtId="0" fontId="23" fillId="0" borderId="0" applyFont="0" applyFill="0" applyBorder="0" applyAlignment="0" applyProtection="0">
      <alignment horizontal="right"/>
    </xf>
    <xf numFmtId="233" fontId="23" fillId="0" borderId="0" applyFont="0" applyFill="0" applyBorder="0" applyAlignment="0" applyProtection="0"/>
    <xf numFmtId="37" fontId="89" fillId="0" borderId="0"/>
    <xf numFmtId="0" fontId="58" fillId="0" borderId="0"/>
    <xf numFmtId="0" fontId="23" fillId="0" borderId="0"/>
    <xf numFmtId="0" fontId="23" fillId="0" borderId="0"/>
    <xf numFmtId="173" fontId="12" fillId="0" borderId="0" applyProtection="0"/>
    <xf numFmtId="0" fontId="23" fillId="0" borderId="0"/>
    <xf numFmtId="0" fontId="23" fillId="0" borderId="0"/>
    <xf numFmtId="0" fontId="23" fillId="0" borderId="0"/>
    <xf numFmtId="0" fontId="13" fillId="12" borderId="0" applyNumberFormat="0" applyFont="0" applyBorder="0" applyAlignment="0"/>
    <xf numFmtId="234" fontId="23" fillId="0" borderId="0" applyFont="0" applyFill="0" applyBorder="0" applyAlignment="0" applyProtection="0"/>
    <xf numFmtId="235" fontId="90" fillId="0" borderId="0"/>
    <xf numFmtId="234" fontId="23" fillId="0" borderId="0" applyFont="0" applyFill="0" applyBorder="0" applyAlignment="0" applyProtection="0"/>
    <xf numFmtId="234" fontId="23" fillId="0" borderId="0" applyFont="0" applyFill="0" applyBorder="0" applyAlignment="0" applyProtection="0"/>
    <xf numFmtId="234" fontId="23" fillId="0" borderId="0" applyFont="0" applyFill="0" applyBorder="0" applyAlignment="0" applyProtection="0"/>
    <xf numFmtId="236" fontId="23" fillId="0" borderId="0"/>
    <xf numFmtId="237" fontId="58" fillId="0" borderId="0"/>
    <xf numFmtId="237" fontId="58" fillId="0" borderId="0"/>
    <xf numFmtId="235" fontId="90" fillId="0" borderId="0"/>
    <xf numFmtId="0" fontId="58" fillId="0" borderId="0"/>
    <xf numFmtId="235" fontId="76" fillId="0" borderId="0"/>
    <xf numFmtId="236" fontId="23" fillId="0" borderId="0"/>
    <xf numFmtId="237" fontId="58" fillId="0" borderId="0"/>
    <xf numFmtId="237" fontId="58" fillId="0" borderId="0"/>
    <xf numFmtId="0" fontId="58" fillId="0" borderId="0"/>
    <xf numFmtId="0" fontId="58" fillId="0" borderId="0"/>
    <xf numFmtId="238" fontId="58" fillId="0" borderId="0"/>
    <xf numFmtId="170" fontId="58" fillId="0" borderId="0"/>
    <xf numFmtId="239" fontId="58" fillId="0" borderId="0"/>
    <xf numFmtId="238" fontId="58" fillId="0" borderId="0"/>
    <xf numFmtId="170" fontId="58" fillId="0" borderId="0"/>
    <xf numFmtId="240" fontId="58" fillId="0" borderId="0"/>
    <xf numFmtId="240" fontId="58" fillId="0" borderId="0"/>
    <xf numFmtId="241" fontId="58" fillId="0" borderId="0"/>
    <xf numFmtId="239" fontId="58" fillId="0" borderId="0"/>
    <xf numFmtId="169" fontId="58" fillId="0" borderId="0"/>
    <xf numFmtId="241" fontId="58" fillId="0" borderId="0"/>
    <xf numFmtId="241" fontId="58" fillId="0" borderId="0"/>
    <xf numFmtId="0" fontId="58" fillId="0" borderId="0"/>
    <xf numFmtId="234" fontId="23" fillId="0" borderId="0" applyFont="0" applyFill="0" applyBorder="0" applyAlignment="0" applyProtection="0"/>
    <xf numFmtId="234" fontId="23" fillId="0" borderId="0" applyFont="0" applyFill="0" applyBorder="0" applyAlignment="0" applyProtection="0"/>
    <xf numFmtId="234" fontId="23" fillId="0" borderId="0" applyFont="0" applyFill="0" applyBorder="0" applyAlignment="0" applyProtection="0"/>
    <xf numFmtId="235" fontId="90" fillId="0" borderId="0"/>
    <xf numFmtId="235" fontId="90" fillId="0" borderId="0"/>
    <xf numFmtId="234" fontId="23" fillId="0" borderId="0" applyFont="0" applyFill="0" applyBorder="0" applyAlignment="0" applyProtection="0"/>
    <xf numFmtId="235" fontId="90" fillId="0" borderId="0"/>
    <xf numFmtId="235" fontId="90" fillId="0" borderId="0"/>
    <xf numFmtId="238" fontId="58" fillId="0" borderId="0"/>
    <xf numFmtId="170" fontId="58" fillId="0" borderId="0"/>
    <xf numFmtId="239" fontId="58" fillId="0" borderId="0"/>
    <xf numFmtId="238" fontId="58" fillId="0" borderId="0"/>
    <xf numFmtId="170" fontId="58" fillId="0" borderId="0"/>
    <xf numFmtId="240" fontId="58" fillId="0" borderId="0"/>
    <xf numFmtId="240" fontId="58" fillId="0" borderId="0"/>
    <xf numFmtId="241" fontId="58" fillId="0" borderId="0"/>
    <xf numFmtId="239" fontId="58" fillId="0" borderId="0"/>
    <xf numFmtId="169" fontId="58" fillId="0" borderId="0"/>
    <xf numFmtId="241" fontId="58" fillId="0" borderId="0"/>
    <xf numFmtId="241" fontId="58" fillId="0" borderId="0"/>
    <xf numFmtId="242" fontId="55" fillId="5" borderId="0" applyFont="0" applyFill="0" applyBorder="0" applyAlignment="0" applyProtection="0"/>
    <xf numFmtId="243" fontId="55" fillId="5" borderId="0" applyFont="0" applyFill="0" applyBorder="0" applyAlignment="0" applyProtection="0"/>
    <xf numFmtId="244" fontId="23" fillId="0" borderId="0" applyFont="0" applyFill="0" applyBorder="0" applyAlignment="0" applyProtection="0"/>
    <xf numFmtId="245" fontId="75" fillId="0" borderId="0" applyFont="0" applyFill="0" applyBorder="0" applyAlignment="0" applyProtection="0"/>
    <xf numFmtId="246" fontId="74" fillId="0" borderId="0" applyFont="0" applyFill="0" applyBorder="0" applyAlignment="0" applyProtection="0"/>
    <xf numFmtId="247" fontId="23" fillId="0" borderId="0" applyFont="0" applyFill="0" applyBorder="0" applyAlignment="0" applyProtection="0"/>
    <xf numFmtId="248" fontId="56" fillId="0" borderId="0" applyFont="0" applyFill="0" applyBorder="0" applyAlignment="0" applyProtection="0"/>
    <xf numFmtId="249" fontId="56" fillId="0" borderId="0" applyFont="0" applyFill="0" applyBorder="0" applyAlignment="0" applyProtection="0"/>
    <xf numFmtId="250" fontId="56" fillId="0" borderId="0" applyFont="0" applyFill="0" applyBorder="0" applyAlignment="0" applyProtection="0"/>
    <xf numFmtId="251" fontId="56" fillId="0" borderId="0" applyFont="0" applyFill="0" applyBorder="0" applyAlignment="0" applyProtection="0"/>
    <xf numFmtId="252" fontId="75" fillId="0" borderId="0" applyFont="0" applyFill="0" applyBorder="0" applyAlignment="0" applyProtection="0"/>
    <xf numFmtId="253" fontId="74" fillId="0" borderId="0" applyFont="0" applyFill="0" applyBorder="0" applyAlignment="0" applyProtection="0"/>
    <xf numFmtId="254" fontId="75" fillId="0" borderId="0" applyFont="0" applyFill="0" applyBorder="0" applyAlignment="0" applyProtection="0"/>
    <xf numFmtId="255" fontId="74" fillId="0" borderId="0" applyFont="0" applyFill="0" applyBorder="0" applyAlignment="0" applyProtection="0"/>
    <xf numFmtId="256" fontId="75" fillId="0" borderId="0" applyFont="0" applyFill="0" applyBorder="0" applyAlignment="0" applyProtection="0"/>
    <xf numFmtId="257" fontId="74" fillId="0" borderId="0" applyFont="0" applyFill="0" applyBorder="0" applyAlignment="0" applyProtection="0"/>
    <xf numFmtId="258" fontId="40" fillId="0" borderId="0" applyFont="0" applyFill="0" applyBorder="0" applyAlignment="0" applyProtection="0">
      <protection locked="0"/>
    </xf>
    <xf numFmtId="259" fontId="7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84" fontId="76" fillId="0" borderId="0" applyFill="0" applyBorder="0" applyAlignment="0" applyProtection="0"/>
    <xf numFmtId="9" fontId="80" fillId="0" borderId="0" applyBorder="0"/>
    <xf numFmtId="260" fontId="80" fillId="0" borderId="0" applyBorder="0"/>
    <xf numFmtId="10" fontId="80" fillId="0" borderId="0" applyBorder="0"/>
    <xf numFmtId="0" fontId="44" fillId="0" borderId="0" applyNumberFormat="0" applyFont="0" applyFill="0" applyBorder="0" applyAlignment="0" applyProtection="0">
      <alignment horizontal="left"/>
    </xf>
    <xf numFmtId="15" fontId="44" fillId="0" borderId="0" applyFont="0" applyFill="0" applyBorder="0" applyAlignment="0" applyProtection="0"/>
    <xf numFmtId="4" fontId="44" fillId="0" borderId="0" applyFont="0" applyFill="0" applyBorder="0" applyAlignment="0" applyProtection="0"/>
    <xf numFmtId="3" fontId="23" fillId="0" borderId="0">
      <alignment horizontal="left" vertical="top"/>
    </xf>
    <xf numFmtId="0" fontId="91" fillId="0" borderId="1">
      <alignment horizontal="center"/>
    </xf>
    <xf numFmtId="3" fontId="44" fillId="0" borderId="0" applyFont="0" applyFill="0" applyBorder="0" applyAlignment="0" applyProtection="0"/>
    <xf numFmtId="0" fontId="44" fillId="13" borderId="0" applyNumberFormat="0" applyFont="0" applyBorder="0" applyAlignment="0" applyProtection="0"/>
    <xf numFmtId="3" fontId="23" fillId="0" borderId="0">
      <alignment horizontal="right" vertical="top"/>
    </xf>
    <xf numFmtId="41" fontId="15" fillId="14" borderId="17" applyFill="0"/>
    <xf numFmtId="0" fontId="92" fillId="0" borderId="0">
      <alignment horizontal="left" indent="7"/>
    </xf>
    <xf numFmtId="41" fontId="15" fillId="0" borderId="17" applyFill="0">
      <alignment horizontal="left" indent="2"/>
    </xf>
    <xf numFmtId="173" fontId="72" fillId="0" borderId="6" applyFill="0">
      <alignment horizontal="right"/>
    </xf>
    <xf numFmtId="0" fontId="27" fillId="0" borderId="14" applyNumberFormat="0" applyFont="0" applyBorder="0">
      <alignment horizontal="right"/>
    </xf>
    <xf numFmtId="0" fontId="93" fillId="0" borderId="0" applyFill="0"/>
    <xf numFmtId="0" fontId="17" fillId="0" borderId="0" applyFill="0"/>
    <xf numFmtId="4" fontId="72" fillId="0" borderId="6" applyFill="0"/>
    <xf numFmtId="0" fontId="23" fillId="0" borderId="0" applyNumberFormat="0" applyFont="0" applyBorder="0" applyAlignment="0"/>
    <xf numFmtId="0" fontId="62" fillId="0" borderId="0" applyFill="0">
      <alignment horizontal="left" indent="1"/>
    </xf>
    <xf numFmtId="0" fontId="94" fillId="0" borderId="0" applyFill="0">
      <alignment horizontal="left" indent="1"/>
    </xf>
    <xf numFmtId="4" fontId="55" fillId="0" borderId="0" applyFill="0"/>
    <xf numFmtId="0" fontId="23" fillId="0" borderId="0" applyNumberFormat="0" applyFont="0" applyFill="0" applyBorder="0" applyAlignment="0"/>
    <xf numFmtId="0" fontId="62" fillId="0" borderId="0" applyFill="0">
      <alignment horizontal="left" indent="2"/>
    </xf>
    <xf numFmtId="0" fontId="17" fillId="0" borderId="0" applyFill="0">
      <alignment horizontal="left" indent="2"/>
    </xf>
    <xf numFmtId="4" fontId="55" fillId="0" borderId="0" applyFill="0"/>
    <xf numFmtId="0" fontId="23" fillId="0" borderId="0" applyNumberFormat="0" applyFont="0" applyBorder="0" applyAlignment="0"/>
    <xf numFmtId="0" fontId="95" fillId="0" borderId="0">
      <alignment horizontal="left" indent="3"/>
    </xf>
    <xf numFmtId="0" fontId="19" fillId="0" borderId="0" applyFill="0">
      <alignment horizontal="left" indent="3"/>
    </xf>
    <xf numFmtId="4" fontId="55" fillId="0" borderId="0" applyFill="0"/>
    <xf numFmtId="0" fontId="23" fillId="0" borderId="0" applyNumberFormat="0" applyFont="0" applyBorder="0" applyAlignment="0"/>
    <xf numFmtId="0" fontId="64" fillId="0" borderId="0">
      <alignment horizontal="left" indent="4"/>
    </xf>
    <xf numFmtId="0" fontId="23" fillId="0" borderId="0" applyFill="0">
      <alignment horizontal="left" indent="4"/>
    </xf>
    <xf numFmtId="4" fontId="65" fillId="0" borderId="0" applyFill="0"/>
    <xf numFmtId="0" fontId="23" fillId="0" borderId="0" applyNumberFormat="0" applyFont="0" applyBorder="0" applyAlignment="0"/>
    <xf numFmtId="0" fontId="66" fillId="0" borderId="0">
      <alignment horizontal="left" indent="5"/>
    </xf>
    <xf numFmtId="0" fontId="67" fillId="0" borderId="0" applyFill="0">
      <alignment horizontal="left" indent="5"/>
    </xf>
    <xf numFmtId="4" fontId="68" fillId="0" borderId="0" applyFill="0"/>
    <xf numFmtId="0" fontId="23" fillId="0" borderId="0" applyNumberFormat="0" applyFont="0" applyFill="0" applyBorder="0" applyAlignment="0"/>
    <xf numFmtId="0" fontId="69" fillId="0" borderId="0" applyFill="0">
      <alignment horizontal="left" indent="6"/>
    </xf>
    <xf numFmtId="0" fontId="65" fillId="0" borderId="0" applyFill="0">
      <alignment horizontal="left" indent="6"/>
    </xf>
    <xf numFmtId="0" fontId="79" fillId="0" borderId="4" applyNumberFormat="0" applyFont="0" applyFill="0" applyAlignment="0" applyProtection="0"/>
    <xf numFmtId="0" fontId="96" fillId="0" borderId="0" applyNumberFormat="0" applyFill="0" applyBorder="0" applyAlignment="0" applyProtection="0"/>
    <xf numFmtId="0" fontId="97" fillId="0" borderId="0"/>
    <xf numFmtId="0" fontId="97" fillId="0" borderId="0"/>
    <xf numFmtId="0" fontId="98" fillId="0" borderId="1">
      <alignment horizontal="right"/>
    </xf>
    <xf numFmtId="261" fontId="77" fillId="0" borderId="0">
      <alignment horizontal="center"/>
    </xf>
    <xf numFmtId="262" fontId="99" fillId="0" borderId="0">
      <alignment horizontal="center"/>
    </xf>
    <xf numFmtId="0" fontId="100" fillId="0" borderId="0" applyNumberFormat="0" applyFill="0" applyBorder="0" applyAlignment="0" applyProtection="0"/>
    <xf numFmtId="0" fontId="101" fillId="0" borderId="0" applyNumberFormat="0" applyBorder="0" applyAlignment="0"/>
    <xf numFmtId="0" fontId="102" fillId="0" borderId="0" applyNumberFormat="0" applyBorder="0" applyAlignment="0"/>
    <xf numFmtId="0" fontId="79" fillId="7" borderId="0" applyNumberFormat="0" applyFont="0" applyBorder="0" applyAlignment="0" applyProtection="0"/>
    <xf numFmtId="242" fontId="103" fillId="0" borderId="16" applyNumberFormat="0" applyFont="0" applyFill="0" applyAlignment="0" applyProtection="0"/>
    <xf numFmtId="0" fontId="104" fillId="0" borderId="0" applyFill="0" applyBorder="0" applyProtection="0">
      <alignment horizontal="left" vertical="top"/>
    </xf>
    <xf numFmtId="0" fontId="105" fillId="0" borderId="0" applyAlignment="0">
      <alignment horizontal="centerContinuous"/>
    </xf>
    <xf numFmtId="0" fontId="23" fillId="0" borderId="10" applyNumberFormat="0" applyFont="0" applyFill="0" applyAlignment="0" applyProtection="0"/>
    <xf numFmtId="0" fontId="106" fillId="0" borderId="0" applyNumberFormat="0" applyFill="0" applyBorder="0" applyAlignment="0" applyProtection="0"/>
    <xf numFmtId="263" fontId="74" fillId="0" borderId="0" applyFont="0" applyFill="0" applyBorder="0" applyAlignment="0" applyProtection="0"/>
    <xf numFmtId="264" fontId="74" fillId="0" borderId="0" applyFont="0" applyFill="0" applyBorder="0" applyAlignment="0" applyProtection="0"/>
    <xf numFmtId="265" fontId="74" fillId="0" borderId="0" applyFont="0" applyFill="0" applyBorder="0" applyAlignment="0" applyProtection="0"/>
    <xf numFmtId="266" fontId="74" fillId="0" borderId="0" applyFont="0" applyFill="0" applyBorder="0" applyAlignment="0" applyProtection="0"/>
    <xf numFmtId="267" fontId="74" fillId="0" borderId="0" applyFont="0" applyFill="0" applyBorder="0" applyAlignment="0" applyProtection="0"/>
    <xf numFmtId="268" fontId="74" fillId="0" borderId="0" applyFont="0" applyFill="0" applyBorder="0" applyAlignment="0" applyProtection="0"/>
    <xf numFmtId="269" fontId="74" fillId="0" borderId="0" applyFont="0" applyFill="0" applyBorder="0" applyAlignment="0" applyProtection="0"/>
    <xf numFmtId="270" fontId="74" fillId="0" borderId="0" applyFont="0" applyFill="0" applyBorder="0" applyAlignment="0" applyProtection="0"/>
    <xf numFmtId="271" fontId="107" fillId="7" borderId="21" applyFont="0" applyFill="0" applyBorder="0" applyAlignment="0" applyProtection="0"/>
    <xf numFmtId="271" fontId="58" fillId="0" borderId="0" applyFont="0" applyFill="0" applyBorder="0" applyAlignment="0" applyProtection="0"/>
    <xf numFmtId="272" fontId="71" fillId="0" borderId="0" applyFont="0" applyFill="0" applyBorder="0" applyAlignment="0" applyProtection="0"/>
    <xf numFmtId="273" fontId="77" fillId="0" borderId="16" applyFont="0" applyFill="0" applyBorder="0" applyAlignment="0" applyProtection="0">
      <alignment horizontal="right"/>
      <protection locked="0"/>
    </xf>
    <xf numFmtId="173" fontId="12" fillId="0" borderId="0" applyProtection="0"/>
    <xf numFmtId="0" fontId="111" fillId="0" borderId="0"/>
    <xf numFmtId="44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1" fillId="0" borderId="0"/>
    <xf numFmtId="0" fontId="119" fillId="0" borderId="0"/>
    <xf numFmtId="0" fontId="123" fillId="0" borderId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0" borderId="0"/>
    <xf numFmtId="0" fontId="10" fillId="0" borderId="0"/>
    <xf numFmtId="0" fontId="123" fillId="0" borderId="0"/>
    <xf numFmtId="0" fontId="123" fillId="0" borderId="0"/>
    <xf numFmtId="0" fontId="23" fillId="0" borderId="0"/>
    <xf numFmtId="44" fontId="23" fillId="0" borderId="0" applyFont="0" applyFill="0" applyBorder="0" applyAlignment="0" applyProtection="0"/>
    <xf numFmtId="0" fontId="23" fillId="0" borderId="0"/>
    <xf numFmtId="44" fontId="23" fillId="0" borderId="0" applyFont="0" applyFill="0" applyBorder="0" applyAlignment="0" applyProtection="0"/>
    <xf numFmtId="0" fontId="23" fillId="0" borderId="0"/>
    <xf numFmtId="44" fontId="23" fillId="0" borderId="0" applyFont="0" applyFill="0" applyBorder="0" applyAlignment="0" applyProtection="0"/>
    <xf numFmtId="0" fontId="23" fillId="0" borderId="0"/>
    <xf numFmtId="44" fontId="23" fillId="0" borderId="0" applyFont="0" applyFill="0" applyBorder="0" applyAlignment="0" applyProtection="0"/>
    <xf numFmtId="0" fontId="23" fillId="0" borderId="0"/>
    <xf numFmtId="44" fontId="23" fillId="0" borderId="0" applyFont="0" applyFill="0" applyBorder="0" applyAlignment="0" applyProtection="0"/>
    <xf numFmtId="0" fontId="23" fillId="0" borderId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0" borderId="0"/>
    <xf numFmtId="43" fontId="23" fillId="0" borderId="0" applyFont="0" applyFill="0" applyBorder="0" applyAlignment="0" applyProtection="0"/>
    <xf numFmtId="0" fontId="9" fillId="0" borderId="0"/>
    <xf numFmtId="0" fontId="8" fillId="0" borderId="0"/>
    <xf numFmtId="0" fontId="123" fillId="0" borderId="0"/>
    <xf numFmtId="43" fontId="1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8" fillId="0" borderId="0"/>
    <xf numFmtId="4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7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6" fillId="0" borderId="0"/>
    <xf numFmtId="43" fontId="23" fillId="0" borderId="0" applyFont="0" applyFill="0" applyBorder="0" applyAlignment="0" applyProtection="0"/>
    <xf numFmtId="0" fontId="5" fillId="0" borderId="0"/>
    <xf numFmtId="43" fontId="23" fillId="0" borderId="0" applyFont="0" applyFill="0" applyBorder="0" applyAlignment="0" applyProtection="0"/>
    <xf numFmtId="0" fontId="2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0" borderId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23" fillId="0" borderId="0" applyFont="0" applyFill="0" applyBorder="0" applyAlignment="0" applyProtection="0"/>
    <xf numFmtId="0" fontId="44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4" fillId="0" borderId="0"/>
    <xf numFmtId="0" fontId="23" fillId="0" borderId="0"/>
    <xf numFmtId="0" fontId="4" fillId="0" borderId="0"/>
    <xf numFmtId="43" fontId="23" fillId="0" borderId="0" applyFont="0" applyFill="0" applyBorder="0" applyAlignment="0" applyProtection="0"/>
    <xf numFmtId="0" fontId="4" fillId="0" borderId="0"/>
    <xf numFmtId="0" fontId="4" fillId="0" borderId="0"/>
    <xf numFmtId="43" fontId="23" fillId="0" borderId="0" applyFont="0" applyFill="0" applyBorder="0" applyAlignment="0" applyProtection="0"/>
    <xf numFmtId="0" fontId="4" fillId="0" borderId="0"/>
    <xf numFmtId="43" fontId="2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23" fillId="0" borderId="0" applyFont="0" applyFill="0" applyBorder="0" applyAlignment="0" applyProtection="0"/>
    <xf numFmtId="0" fontId="4" fillId="0" borderId="0"/>
    <xf numFmtId="43" fontId="2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2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2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1" fillId="0" borderId="0" applyNumberFormat="0" applyFill="0" applyBorder="0" applyAlignment="0" applyProtection="0"/>
    <xf numFmtId="0" fontId="142" fillId="0" borderId="31" applyNumberFormat="0" applyFill="0" applyAlignment="0" applyProtection="0"/>
    <xf numFmtId="0" fontId="143" fillId="0" borderId="32" applyNumberFormat="0" applyFill="0" applyAlignment="0" applyProtection="0"/>
    <xf numFmtId="0" fontId="144" fillId="0" borderId="33" applyNumberFormat="0" applyFill="0" applyAlignment="0" applyProtection="0"/>
    <xf numFmtId="0" fontId="144" fillId="0" borderId="0" applyNumberFormat="0" applyFill="0" applyBorder="0" applyAlignment="0" applyProtection="0"/>
    <xf numFmtId="0" fontId="145" fillId="19" borderId="0" applyNumberFormat="0" applyBorder="0" applyAlignment="0" applyProtection="0"/>
    <xf numFmtId="0" fontId="146" fillId="20" borderId="0" applyNumberFormat="0" applyBorder="0" applyAlignment="0" applyProtection="0"/>
    <xf numFmtId="0" fontId="147" fillId="21" borderId="0" applyNumberFormat="0" applyBorder="0" applyAlignment="0" applyProtection="0"/>
    <xf numFmtId="0" fontId="148" fillId="22" borderId="34" applyNumberFormat="0" applyAlignment="0" applyProtection="0"/>
    <xf numFmtId="0" fontId="149" fillId="23" borderId="35" applyNumberFormat="0" applyAlignment="0" applyProtection="0"/>
    <xf numFmtId="0" fontId="150" fillId="23" borderId="34" applyNumberFormat="0" applyAlignment="0" applyProtection="0"/>
    <xf numFmtId="0" fontId="151" fillId="0" borderId="36" applyNumberFormat="0" applyFill="0" applyAlignment="0" applyProtection="0"/>
    <xf numFmtId="0" fontId="152" fillId="24" borderId="37" applyNumberFormat="0" applyAlignment="0" applyProtection="0"/>
    <xf numFmtId="0" fontId="153" fillId="0" borderId="0" applyNumberFormat="0" applyFill="0" applyBorder="0" applyAlignment="0" applyProtection="0"/>
    <xf numFmtId="0" fontId="154" fillId="0" borderId="0" applyNumberFormat="0" applyFill="0" applyBorder="0" applyAlignment="0" applyProtection="0"/>
    <xf numFmtId="0" fontId="155" fillId="0" borderId="39" applyNumberFormat="0" applyFill="0" applyAlignment="0" applyProtection="0"/>
    <xf numFmtId="0" fontId="156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56" fillId="29" borderId="0" applyNumberFormat="0" applyBorder="0" applyAlignment="0" applyProtection="0"/>
    <xf numFmtId="0" fontId="156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56" fillId="33" borderId="0" applyNumberFormat="0" applyBorder="0" applyAlignment="0" applyProtection="0"/>
    <xf numFmtId="0" fontId="156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56" fillId="37" borderId="0" applyNumberFormat="0" applyBorder="0" applyAlignment="0" applyProtection="0"/>
    <xf numFmtId="0" fontId="156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56" fillId="41" borderId="0" applyNumberFormat="0" applyBorder="0" applyAlignment="0" applyProtection="0"/>
    <xf numFmtId="0" fontId="156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156" fillId="45" borderId="0" applyNumberFormat="0" applyBorder="0" applyAlignment="0" applyProtection="0"/>
    <xf numFmtId="0" fontId="156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56" fillId="4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5" borderId="3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039">
    <xf numFmtId="173" fontId="0" fillId="0" borderId="0" xfId="0" applyAlignment="1"/>
    <xf numFmtId="0" fontId="15" fillId="0" borderId="0" xfId="0" applyNumberFormat="1" applyFont="1"/>
    <xf numFmtId="3" fontId="15" fillId="0" borderId="0" xfId="0" applyNumberFormat="1" applyFont="1"/>
    <xf numFmtId="0" fontId="15" fillId="0" borderId="0" xfId="0" applyNumberFormat="1" applyFont="1" applyAlignment="1"/>
    <xf numFmtId="0" fontId="15" fillId="0" borderId="0" xfId="0" applyNumberFormat="1" applyFont="1" applyAlignment="1">
      <alignment horizontal="center"/>
    </xf>
    <xf numFmtId="3" fontId="15" fillId="0" borderId="0" xfId="0" applyNumberFormat="1" applyFont="1" applyAlignment="1"/>
    <xf numFmtId="3" fontId="15" fillId="0" borderId="0" xfId="0" applyNumberFormat="1" applyFont="1" applyAlignment="1">
      <alignment horizontal="center"/>
    </xf>
    <xf numFmtId="49" fontId="15" fillId="0" borderId="0" xfId="0" applyNumberFormat="1" applyFont="1" applyAlignment="1">
      <alignment horizontal="left"/>
    </xf>
    <xf numFmtId="49" fontId="15" fillId="0" borderId="0" xfId="0" applyNumberFormat="1" applyFont="1" applyAlignment="1">
      <alignment horizontal="center"/>
    </xf>
    <xf numFmtId="0" fontId="16" fillId="0" borderId="0" xfId="0" applyNumberFormat="1" applyFont="1" applyAlignment="1">
      <alignment horizontal="center"/>
    </xf>
    <xf numFmtId="3" fontId="16" fillId="0" borderId="0" xfId="0" applyNumberFormat="1" applyFont="1" applyAlignment="1"/>
    <xf numFmtId="0" fontId="17" fillId="0" borderId="0" xfId="0" applyNumberFormat="1" applyFont="1" applyAlignment="1">
      <alignment horizontal="center"/>
    </xf>
    <xf numFmtId="173" fontId="15" fillId="0" borderId="0" xfId="0" applyFont="1" applyAlignment="1"/>
    <xf numFmtId="0" fontId="17" fillId="0" borderId="0" xfId="0" applyNumberFormat="1" applyFont="1" applyAlignment="1"/>
    <xf numFmtId="165" fontId="15" fillId="0" borderId="0" xfId="0" applyNumberFormat="1" applyFont="1" applyAlignment="1"/>
    <xf numFmtId="3" fontId="15" fillId="0" borderId="0" xfId="0" applyNumberFormat="1" applyFont="1" applyAlignment="1">
      <alignment horizontal="left"/>
    </xf>
    <xf numFmtId="166" fontId="15" fillId="0" borderId="0" xfId="0" applyNumberFormat="1" applyFont="1" applyAlignment="1">
      <alignment horizontal="center"/>
    </xf>
    <xf numFmtId="3" fontId="15" fillId="0" borderId="0" xfId="0" applyNumberFormat="1" applyFont="1" applyAlignment="1">
      <alignment horizontal="fill"/>
    </xf>
    <xf numFmtId="164" fontId="15" fillId="0" borderId="0" xfId="0" applyNumberFormat="1" applyFont="1" applyAlignment="1">
      <alignment horizontal="center"/>
    </xf>
    <xf numFmtId="166" fontId="15" fillId="0" borderId="0" xfId="0" applyNumberFormat="1" applyFont="1" applyAlignment="1"/>
    <xf numFmtId="167" fontId="15" fillId="0" borderId="0" xfId="0" applyNumberFormat="1" applyFont="1" applyAlignment="1"/>
    <xf numFmtId="49" fontId="15" fillId="0" borderId="0" xfId="0" applyNumberFormat="1" applyFont="1"/>
    <xf numFmtId="4" fontId="15" fillId="0" borderId="0" xfId="0" applyNumberFormat="1" applyFont="1" applyAlignment="1"/>
    <xf numFmtId="169" fontId="15" fillId="0" borderId="0" xfId="0" applyNumberFormat="1" applyFont="1" applyAlignment="1"/>
    <xf numFmtId="3" fontId="15" fillId="0" borderId="0" xfId="0" quotePrefix="1" applyNumberFormat="1" applyFont="1" applyAlignment="1"/>
    <xf numFmtId="172" fontId="15" fillId="0" borderId="0" xfId="0" applyNumberFormat="1" applyFont="1" applyAlignment="1"/>
    <xf numFmtId="3" fontId="17" fillId="0" borderId="0" xfId="0" applyNumberFormat="1" applyFont="1" applyAlignment="1">
      <alignment horizontal="center"/>
    </xf>
    <xf numFmtId="164" fontId="15" fillId="0" borderId="0" xfId="0" applyNumberFormat="1" applyFont="1" applyAlignment="1">
      <alignment horizontal="left"/>
    </xf>
    <xf numFmtId="173" fontId="18" fillId="0" borderId="0" xfId="0" applyFont="1" applyAlignment="1"/>
    <xf numFmtId="0" fontId="15" fillId="0" borderId="0" xfId="0" applyNumberFormat="1" applyFont="1" applyAlignment="1" applyProtection="1">
      <protection locked="0"/>
    </xf>
    <xf numFmtId="0" fontId="15" fillId="0" borderId="0" xfId="0" applyNumberFormat="1" applyFont="1" applyAlignment="1" applyProtection="1">
      <alignment horizontal="left"/>
      <protection locked="0"/>
    </xf>
    <xf numFmtId="0" fontId="15" fillId="0" borderId="0" xfId="0" applyNumberFormat="1" applyFont="1" applyProtection="1">
      <protection locked="0"/>
    </xf>
    <xf numFmtId="0" fontId="15" fillId="0" borderId="0" xfId="0" applyNumberFormat="1" applyFont="1" applyAlignment="1" applyProtection="1">
      <alignment horizontal="center"/>
      <protection locked="0"/>
    </xf>
    <xf numFmtId="0" fontId="17" fillId="0" borderId="0" xfId="0" applyNumberFormat="1" applyFont="1" applyAlignment="1" applyProtection="1">
      <alignment horizontal="center"/>
      <protection locked="0"/>
    </xf>
    <xf numFmtId="166" fontId="15" fillId="0" borderId="0" xfId="0" applyNumberFormat="1" applyFont="1" applyAlignment="1" applyProtection="1">
      <alignment horizontal="center"/>
      <protection locked="0"/>
    </xf>
    <xf numFmtId="0" fontId="18" fillId="0" borderId="0" xfId="0" applyNumberFormat="1" applyFont="1" applyProtection="1">
      <protection locked="0"/>
    </xf>
    <xf numFmtId="42" fontId="15" fillId="0" borderId="0" xfId="0" applyNumberFormat="1" applyFont="1"/>
    <xf numFmtId="3" fontId="15" fillId="0" borderId="0" xfId="0" applyNumberFormat="1" applyFont="1" applyFill="1" applyAlignment="1"/>
    <xf numFmtId="3" fontId="15" fillId="0" borderId="0" xfId="0" applyNumberFormat="1" applyFont="1" applyFill="1" applyBorder="1"/>
    <xf numFmtId="173" fontId="15" fillId="0" borderId="0" xfId="0" applyNumberFormat="1" applyFont="1" applyAlignment="1" applyProtection="1">
      <protection locked="0"/>
    </xf>
    <xf numFmtId="0" fontId="15" fillId="0" borderId="1" xfId="0" applyNumberFormat="1" applyFont="1" applyBorder="1" applyAlignment="1" applyProtection="1">
      <alignment horizontal="center"/>
      <protection locked="0"/>
    </xf>
    <xf numFmtId="170" fontId="15" fillId="0" borderId="0" xfId="0" applyNumberFormat="1" applyFont="1" applyFill="1" applyBorder="1" applyProtection="1"/>
    <xf numFmtId="1" fontId="15" fillId="0" borderId="0" xfId="0" applyNumberFormat="1" applyFont="1" applyFill="1" applyProtection="1"/>
    <xf numFmtId="1" fontId="15" fillId="0" borderId="0" xfId="0" applyNumberFormat="1" applyFont="1" applyFill="1" applyAlignment="1" applyProtection="1"/>
    <xf numFmtId="3" fontId="15" fillId="0" borderId="1" xfId="0" applyNumberFormat="1" applyFont="1" applyBorder="1" applyAlignment="1"/>
    <xf numFmtId="3" fontId="15" fillId="0" borderId="1" xfId="0" applyNumberFormat="1" applyFont="1" applyBorder="1" applyAlignment="1">
      <alignment horizontal="center"/>
    </xf>
    <xf numFmtId="172" fontId="15" fillId="0" borderId="0" xfId="0" applyNumberFormat="1" applyFont="1" applyProtection="1">
      <protection locked="0"/>
    </xf>
    <xf numFmtId="3" fontId="15" fillId="0" borderId="0" xfId="0" applyNumberFormat="1" applyFont="1" applyBorder="1" applyAlignment="1">
      <alignment horizontal="center"/>
    </xf>
    <xf numFmtId="10" fontId="15" fillId="0" borderId="0" xfId="0" applyNumberFormat="1" applyFont="1" applyAlignment="1">
      <alignment horizontal="left"/>
    </xf>
    <xf numFmtId="0" fontId="15" fillId="0" borderId="1" xfId="0" applyNumberFormat="1" applyFont="1" applyBorder="1" applyAlignment="1" applyProtection="1">
      <alignment horizontal="centerContinuous"/>
      <protection locked="0"/>
    </xf>
    <xf numFmtId="42" fontId="15" fillId="0" borderId="2" xfId="0" applyNumberFormat="1" applyFont="1" applyBorder="1" applyAlignment="1" applyProtection="1">
      <alignment horizontal="right"/>
      <protection locked="0"/>
    </xf>
    <xf numFmtId="0" fontId="17" fillId="0" borderId="0" xfId="0" applyNumberFormat="1" applyFont="1" applyProtection="1">
      <protection locked="0"/>
    </xf>
    <xf numFmtId="0" fontId="15" fillId="0" borderId="1" xfId="0" applyNumberFormat="1" applyFont="1" applyBorder="1" applyProtection="1">
      <protection locked="0"/>
    </xf>
    <xf numFmtId="0" fontId="15" fillId="0" borderId="1" xfId="0" applyNumberFormat="1" applyFont="1" applyBorder="1"/>
    <xf numFmtId="0" fontId="15" fillId="0" borderId="1" xfId="0" applyNumberFormat="1" applyFont="1" applyBorder="1" applyAlignment="1"/>
    <xf numFmtId="9" fontId="15" fillId="0" borderId="0" xfId="0" applyNumberFormat="1" applyFont="1" applyAlignment="1"/>
    <xf numFmtId="173" fontId="15" fillId="0" borderId="1" xfId="0" applyFont="1" applyBorder="1" applyAlignment="1"/>
    <xf numFmtId="168" fontId="15" fillId="0" borderId="0" xfId="0" applyNumberFormat="1" applyFont="1" applyProtection="1">
      <protection locked="0"/>
    </xf>
    <xf numFmtId="0" fontId="15" fillId="0" borderId="0" xfId="0" applyNumberFormat="1" applyFont="1" applyBorder="1" applyAlignment="1" applyProtection="1">
      <alignment horizontal="center"/>
      <protection locked="0"/>
    </xf>
    <xf numFmtId="38" fontId="15" fillId="0" borderId="0" xfId="0" applyNumberFormat="1" applyFont="1" applyFill="1" applyBorder="1" applyProtection="1"/>
    <xf numFmtId="0" fontId="15" fillId="0" borderId="0" xfId="0" applyNumberFormat="1" applyFont="1" applyFill="1" applyProtection="1">
      <protection locked="0"/>
    </xf>
    <xf numFmtId="169" fontId="15" fillId="0" borderId="1" xfId="0" applyNumberFormat="1" applyFont="1" applyBorder="1" applyAlignment="1"/>
    <xf numFmtId="165" fontId="15" fillId="0" borderId="0" xfId="0" applyNumberFormat="1" applyFont="1" applyFill="1" applyAlignment="1">
      <alignment horizontal="right"/>
    </xf>
    <xf numFmtId="171" fontId="15" fillId="0" borderId="0" xfId="0" applyNumberFormat="1" applyFont="1" applyFill="1" applyAlignment="1">
      <alignment horizontal="left"/>
    </xf>
    <xf numFmtId="165" fontId="15" fillId="0" borderId="0" xfId="0" applyNumberFormat="1" applyFont="1" applyFill="1" applyAlignment="1"/>
    <xf numFmtId="0" fontId="15" fillId="0" borderId="0" xfId="0" applyNumberFormat="1" applyFont="1" applyFill="1" applyAlignment="1" applyProtection="1">
      <protection locked="0"/>
    </xf>
    <xf numFmtId="0" fontId="15" fillId="0" borderId="0" xfId="0" applyNumberFormat="1" applyFont="1" applyFill="1"/>
    <xf numFmtId="173" fontId="15" fillId="0" borderId="0" xfId="0" applyFont="1" applyFill="1" applyAlignment="1"/>
    <xf numFmtId="0" fontId="15" fillId="0" borderId="1" xfId="0" applyNumberFormat="1" applyFont="1" applyFill="1" applyBorder="1"/>
    <xf numFmtId="3" fontId="15" fillId="0" borderId="1" xfId="0" applyNumberFormat="1" applyFont="1" applyFill="1" applyBorder="1" applyAlignment="1"/>
    <xf numFmtId="3" fontId="15" fillId="0" borderId="0" xfId="0" applyNumberFormat="1" applyFont="1" applyFill="1" applyAlignment="1">
      <alignment horizontal="center"/>
    </xf>
    <xf numFmtId="49" fontId="15" fillId="0" borderId="0" xfId="0" applyNumberFormat="1" applyFont="1" applyFill="1"/>
    <xf numFmtId="49" fontId="15" fillId="0" borderId="0" xfId="0" applyNumberFormat="1" applyFont="1" applyFill="1" applyAlignment="1"/>
    <xf numFmtId="49" fontId="15" fillId="0" borderId="0" xfId="0" applyNumberFormat="1" applyFont="1" applyFill="1" applyAlignment="1">
      <alignment horizontal="center"/>
    </xf>
    <xf numFmtId="0" fontId="15" fillId="0" borderId="0" xfId="0" applyNumberFormat="1" applyFont="1" applyFill="1" applyAlignment="1">
      <alignment horizontal="center"/>
    </xf>
    <xf numFmtId="165" fontId="15" fillId="0" borderId="0" xfId="0" applyNumberFormat="1" applyFont="1" applyFill="1"/>
    <xf numFmtId="166" fontId="15" fillId="0" borderId="0" xfId="0" applyNumberFormat="1" applyFont="1" applyFill="1"/>
    <xf numFmtId="0" fontId="15" fillId="0" borderId="0" xfId="0" applyNumberFormat="1" applyFont="1" applyAlignment="1">
      <alignment horizontal="right"/>
    </xf>
    <xf numFmtId="173" fontId="0" fillId="0" borderId="0" xfId="0" applyAlignment="1">
      <alignment horizontal="center"/>
    </xf>
    <xf numFmtId="170" fontId="18" fillId="0" borderId="0" xfId="0" applyNumberFormat="1" applyFont="1" applyFill="1" applyBorder="1" applyProtection="1"/>
    <xf numFmtId="173" fontId="23" fillId="0" borderId="0" xfId="0" applyFont="1" applyAlignment="1"/>
    <xf numFmtId="165" fontId="30" fillId="0" borderId="0" xfId="0" applyNumberFormat="1" applyFont="1" applyFill="1" applyAlignment="1">
      <alignment horizontal="right"/>
    </xf>
    <xf numFmtId="166" fontId="30" fillId="0" borderId="0" xfId="0" applyNumberFormat="1" applyFont="1" applyFill="1" applyAlignment="1">
      <alignment horizontal="right"/>
    </xf>
    <xf numFmtId="4" fontId="30" fillId="0" borderId="0" xfId="0" applyNumberFormat="1" applyFont="1" applyAlignment="1"/>
    <xf numFmtId="42" fontId="15" fillId="0" borderId="0" xfId="0" applyNumberFormat="1" applyFont="1" applyFill="1" applyAlignment="1"/>
    <xf numFmtId="0" fontId="23" fillId="0" borderId="0" xfId="8" applyFont="1"/>
    <xf numFmtId="0" fontId="28" fillId="0" borderId="0" xfId="10"/>
    <xf numFmtId="0" fontId="33" fillId="0" borderId="0" xfId="10" applyFont="1" applyAlignment="1">
      <alignment horizontal="center"/>
    </xf>
    <xf numFmtId="0" fontId="34" fillId="0" borderId="0" xfId="10" applyFont="1" applyAlignment="1">
      <alignment horizontal="center"/>
    </xf>
    <xf numFmtId="41" fontId="28" fillId="0" borderId="0" xfId="1" applyNumberFormat="1"/>
    <xf numFmtId="41" fontId="26" fillId="0" borderId="0" xfId="1" applyNumberFormat="1" applyFont="1" applyAlignment="1">
      <alignment vertical="center"/>
    </xf>
    <xf numFmtId="0" fontId="30" fillId="0" borderId="0" xfId="0" applyNumberFormat="1" applyFont="1" applyAlignment="1" applyProtection="1">
      <alignment horizontal="right"/>
      <protection locked="0"/>
    </xf>
    <xf numFmtId="0" fontId="15" fillId="0" borderId="0" xfId="0" applyNumberFormat="1" applyFont="1" applyAlignment="1" applyProtection="1">
      <alignment horizontal="right"/>
      <protection locked="0"/>
    </xf>
    <xf numFmtId="0" fontId="23" fillId="0" borderId="0" xfId="0" applyNumberFormat="1" applyFont="1" applyAlignment="1" applyProtection="1">
      <alignment horizontal="right"/>
      <protection locked="0"/>
    </xf>
    <xf numFmtId="3" fontId="15" fillId="0" borderId="0" xfId="0" applyNumberFormat="1" applyFont="1" applyBorder="1" applyAlignment="1"/>
    <xf numFmtId="41" fontId="23" fillId="0" borderId="0" xfId="8" applyNumberFormat="1" applyFont="1"/>
    <xf numFmtId="0" fontId="25" fillId="0" borderId="0" xfId="8" applyFont="1" applyBorder="1" applyAlignment="1">
      <alignment horizontal="center"/>
    </xf>
    <xf numFmtId="0" fontId="32" fillId="0" borderId="0" xfId="10" applyFont="1" applyAlignment="1">
      <alignment horizontal="centerContinuous"/>
    </xf>
    <xf numFmtId="0" fontId="24" fillId="0" borderId="0" xfId="10" applyFont="1" applyAlignment="1">
      <alignment horizontal="centerContinuous"/>
    </xf>
    <xf numFmtId="173" fontId="23" fillId="0" borderId="0" xfId="0" applyFont="1" applyFill="1" applyBorder="1" applyAlignment="1"/>
    <xf numFmtId="0" fontId="28" fillId="0" borderId="0" xfId="6"/>
    <xf numFmtId="0" fontId="28" fillId="0" borderId="0" xfId="7"/>
    <xf numFmtId="173" fontId="23" fillId="0" borderId="0" xfId="0" applyFont="1" applyAlignment="1">
      <alignment horizontal="centerContinuous"/>
    </xf>
    <xf numFmtId="173" fontId="23" fillId="0" borderId="0" xfId="0" applyFont="1"/>
    <xf numFmtId="173" fontId="23" fillId="0" borderId="0" xfId="0" quotePrefix="1" applyFont="1"/>
    <xf numFmtId="7" fontId="23" fillId="0" borderId="0" xfId="0" applyNumberFormat="1" applyFont="1"/>
    <xf numFmtId="173" fontId="15" fillId="0" borderId="0" xfId="0" applyFont="1"/>
    <xf numFmtId="173" fontId="15" fillId="0" borderId="0" xfId="0" applyFont="1" applyFill="1" applyBorder="1" applyAlignment="1"/>
    <xf numFmtId="0" fontId="15" fillId="0" borderId="0" xfId="0" applyNumberFormat="1" applyFont="1" applyFill="1" applyBorder="1" applyAlignment="1"/>
    <xf numFmtId="0" fontId="15" fillId="0" borderId="0" xfId="0" applyNumberFormat="1" applyFont="1" applyFill="1" applyBorder="1" applyAlignment="1">
      <alignment horizontal="center"/>
    </xf>
    <xf numFmtId="173" fontId="12" fillId="0" borderId="0" xfId="0" applyFont="1" applyFill="1" applyBorder="1" applyAlignment="1"/>
    <xf numFmtId="0" fontId="15" fillId="0" borderId="0" xfId="0" applyNumberFormat="1" applyFont="1" applyFill="1" applyBorder="1"/>
    <xf numFmtId="3" fontId="15" fillId="0" borderId="0" xfId="0" applyNumberFormat="1" applyFont="1" applyFill="1" applyBorder="1" applyAlignment="1"/>
    <xf numFmtId="0" fontId="15" fillId="0" borderId="0" xfId="0" applyNumberFormat="1" applyFont="1" applyFill="1" applyBorder="1" applyAlignment="1" applyProtection="1">
      <protection locked="0"/>
    </xf>
    <xf numFmtId="173" fontId="15" fillId="0" borderId="0" xfId="0" applyFont="1" applyFill="1" applyBorder="1" applyAlignment="1">
      <alignment horizontal="center"/>
    </xf>
    <xf numFmtId="41" fontId="29" fillId="0" borderId="0" xfId="7" applyNumberFormat="1" applyFont="1"/>
    <xf numFmtId="42" fontId="15" fillId="2" borderId="0" xfId="0" applyNumberFormat="1" applyFont="1" applyFill="1" applyBorder="1" applyProtection="1"/>
    <xf numFmtId="173" fontId="17" fillId="0" borderId="0" xfId="0" applyFont="1" applyAlignment="1">
      <alignment horizontal="centerContinuous"/>
    </xf>
    <xf numFmtId="173" fontId="15" fillId="0" borderId="0" xfId="0" applyFont="1" applyAlignment="1">
      <alignment horizontal="centerContinuous"/>
    </xf>
    <xf numFmtId="0" fontId="15" fillId="0" borderId="0" xfId="7" applyFont="1"/>
    <xf numFmtId="0" fontId="17" fillId="0" borderId="0" xfId="5" applyFont="1" applyBorder="1" applyAlignment="1">
      <alignment horizontal="center"/>
    </xf>
    <xf numFmtId="0" fontId="37" fillId="0" borderId="0" xfId="5" applyFont="1" applyAlignment="1">
      <alignment horizontal="centerContinuous"/>
    </xf>
    <xf numFmtId="0" fontId="15" fillId="0" borderId="0" xfId="5" applyFont="1" applyAlignment="1">
      <alignment horizontal="centerContinuous"/>
    </xf>
    <xf numFmtId="0" fontId="37" fillId="0" borderId="0" xfId="7" applyFont="1" applyAlignment="1">
      <alignment horizontal="center"/>
    </xf>
    <xf numFmtId="0" fontId="15" fillId="0" borderId="0" xfId="5" applyFont="1" applyBorder="1" applyAlignment="1">
      <alignment horizontal="left"/>
    </xf>
    <xf numFmtId="0" fontId="15" fillId="0" borderId="0" xfId="7" applyFont="1" applyAlignment="1">
      <alignment horizontal="left"/>
    </xf>
    <xf numFmtId="41" fontId="48" fillId="0" borderId="0" xfId="6" applyNumberFormat="1" applyFont="1" applyFill="1"/>
    <xf numFmtId="0" fontId="15" fillId="0" borderId="0" xfId="7" applyFont="1" applyAlignment="1">
      <alignment horizontal="left" vertical="center"/>
    </xf>
    <xf numFmtId="42" fontId="45" fillId="0" borderId="0" xfId="7" applyNumberFormat="1" applyFont="1" applyAlignment="1">
      <alignment horizontal="left" vertical="center"/>
    </xf>
    <xf numFmtId="173" fontId="39" fillId="0" borderId="0" xfId="0" applyFont="1" applyAlignment="1">
      <alignment horizontal="centerContinuous"/>
    </xf>
    <xf numFmtId="41" fontId="38" fillId="0" borderId="0" xfId="6" applyNumberFormat="1" applyFont="1" applyFill="1"/>
    <xf numFmtId="0" fontId="15" fillId="0" borderId="0" xfId="7" applyFont="1" applyAlignment="1">
      <alignment horizontal="left" vertical="center" indent="1"/>
    </xf>
    <xf numFmtId="0" fontId="15" fillId="0" borderId="0" xfId="7" applyFont="1" applyAlignment="1">
      <alignment horizontal="left" wrapText="1"/>
    </xf>
    <xf numFmtId="0" fontId="15" fillId="0" borderId="0" xfId="6" applyFont="1" applyAlignment="1">
      <alignment horizontal="left" vertical="center"/>
    </xf>
    <xf numFmtId="0" fontId="15" fillId="0" borderId="0" xfId="6" applyFont="1"/>
    <xf numFmtId="41" fontId="30" fillId="0" borderId="0" xfId="7" applyNumberFormat="1" applyFont="1"/>
    <xf numFmtId="42" fontId="45" fillId="0" borderId="0" xfId="7" applyNumberFormat="1" applyFont="1" applyAlignment="1">
      <alignment vertical="center"/>
    </xf>
    <xf numFmtId="0" fontId="23" fillId="0" borderId="0" xfId="8" applyFont="1" applyAlignment="1">
      <alignment horizontal="left"/>
    </xf>
    <xf numFmtId="173" fontId="0" fillId="0" borderId="0" xfId="0" applyFill="1" applyBorder="1" applyAlignment="1"/>
    <xf numFmtId="0" fontId="15" fillId="0" borderId="0" xfId="0" applyNumberFormat="1" applyFont="1" applyFill="1" applyBorder="1" applyAlignment="1" applyProtection="1">
      <alignment horizontal="right"/>
      <protection locked="0"/>
    </xf>
    <xf numFmtId="0" fontId="0" fillId="0" borderId="0" xfId="0" applyNumberFormat="1" applyFont="1" applyFill="1" applyBorder="1"/>
    <xf numFmtId="0" fontId="21" fillId="0" borderId="0" xfId="0" applyNumberFormat="1" applyFont="1" applyFill="1" applyBorder="1"/>
    <xf numFmtId="173" fontId="0" fillId="0" borderId="0" xfId="0" applyFont="1" applyFill="1" applyBorder="1" applyAlignment="1"/>
    <xf numFmtId="0" fontId="0" fillId="0" borderId="0" xfId="0" applyNumberFormat="1" applyFill="1" applyBorder="1" applyAlignment="1" applyProtection="1">
      <alignment horizontal="center"/>
      <protection locked="0"/>
    </xf>
    <xf numFmtId="49" fontId="15" fillId="0" borderId="0" xfId="0" applyNumberFormat="1" applyFont="1" applyFill="1" applyBorder="1"/>
    <xf numFmtId="49" fontId="15" fillId="0" borderId="0" xfId="0" applyNumberFormat="1" applyFont="1" applyFill="1" applyBorder="1" applyAlignment="1">
      <alignment horizontal="center"/>
    </xf>
    <xf numFmtId="3" fontId="0" fillId="0" borderId="0" xfId="0" applyNumberFormat="1" applyFont="1" applyFill="1" applyBorder="1" applyAlignment="1"/>
    <xf numFmtId="0" fontId="0" fillId="0" borderId="0" xfId="0" applyNumberFormat="1" applyFont="1" applyFill="1" applyBorder="1" applyAlignment="1"/>
    <xf numFmtId="3" fontId="17" fillId="0" borderId="0" xfId="0" applyNumberFormat="1" applyFont="1" applyFill="1" applyBorder="1" applyAlignment="1">
      <alignment horizontal="center"/>
    </xf>
    <xf numFmtId="0" fontId="0" fillId="0" borderId="0" xfId="0" applyNumberFormat="1" applyFont="1" applyFill="1" applyBorder="1" applyAlignment="1">
      <alignment horizontal="center"/>
    </xf>
    <xf numFmtId="0" fontId="17" fillId="0" borderId="0" xfId="0" applyNumberFormat="1" applyFont="1" applyFill="1" applyBorder="1" applyAlignment="1" applyProtection="1">
      <alignment horizontal="center"/>
      <protection locked="0"/>
    </xf>
    <xf numFmtId="0" fontId="17" fillId="0" borderId="0" xfId="0" applyNumberFormat="1" applyFont="1" applyFill="1" applyBorder="1" applyAlignment="1"/>
    <xf numFmtId="0" fontId="51" fillId="0" borderId="0" xfId="0" applyNumberFormat="1" applyFont="1" applyFill="1" applyBorder="1" applyAlignment="1" applyProtection="1">
      <alignment horizontal="center"/>
      <protection locked="0"/>
    </xf>
    <xf numFmtId="3" fontId="0" fillId="0" borderId="0" xfId="0" applyNumberFormat="1" applyFill="1" applyBorder="1" applyAlignment="1">
      <alignment horizontal="center"/>
    </xf>
    <xf numFmtId="3" fontId="15" fillId="0" borderId="0" xfId="0" applyNumberFormat="1" applyFont="1" applyFill="1" applyBorder="1" applyAlignment="1">
      <alignment horizontal="center"/>
    </xf>
    <xf numFmtId="41" fontId="15" fillId="2" borderId="0" xfId="0" applyNumberFormat="1" applyFont="1" applyFill="1" applyBorder="1" applyAlignment="1"/>
    <xf numFmtId="10" fontId="15" fillId="0" borderId="0" xfId="0" applyNumberFormat="1" applyFont="1" applyFill="1" applyBorder="1" applyAlignment="1"/>
    <xf numFmtId="10" fontId="0" fillId="0" borderId="0" xfId="11" applyNumberFormat="1" applyFont="1" applyFill="1" applyBorder="1" applyAlignment="1"/>
    <xf numFmtId="10" fontId="17" fillId="0" borderId="0" xfId="0" applyNumberFormat="1" applyFont="1" applyFill="1" applyBorder="1" applyAlignment="1"/>
    <xf numFmtId="3" fontId="20" fillId="0" borderId="0" xfId="0" applyNumberFormat="1" applyFont="1" applyFill="1" applyBorder="1" applyAlignment="1"/>
    <xf numFmtId="49" fontId="0" fillId="0" borderId="0" xfId="0" applyNumberFormat="1" applyFill="1" applyBorder="1" applyAlignment="1">
      <alignment horizontal="center"/>
    </xf>
    <xf numFmtId="3" fontId="0" fillId="0" borderId="0" xfId="0" applyNumberFormat="1" applyFont="1" applyFill="1" applyBorder="1" applyAlignment="1">
      <alignment horizontal="center"/>
    </xf>
    <xf numFmtId="49" fontId="20" fillId="0" borderId="0" xfId="0" applyNumberFormat="1" applyFont="1" applyFill="1" applyBorder="1" applyAlignment="1">
      <alignment horizontal="center"/>
    </xf>
    <xf numFmtId="173" fontId="20" fillId="0" borderId="0" xfId="0" applyFont="1" applyFill="1" applyBorder="1" applyAlignment="1"/>
    <xf numFmtId="3" fontId="17" fillId="0" borderId="0" xfId="0" applyNumberFormat="1" applyFont="1" applyFill="1" applyBorder="1" applyAlignment="1"/>
    <xf numFmtId="10" fontId="17" fillId="0" borderId="0" xfId="11" applyNumberFormat="1" applyFont="1" applyFill="1" applyBorder="1" applyAlignment="1"/>
    <xf numFmtId="49" fontId="0" fillId="0" borderId="0" xfId="0" applyNumberFormat="1" applyFont="1" applyFill="1" applyBorder="1" applyAlignment="1">
      <alignment horizontal="center"/>
    </xf>
    <xf numFmtId="173" fontId="22" fillId="0" borderId="0" xfId="0" applyFont="1" applyFill="1" applyBorder="1" applyAlignment="1"/>
    <xf numFmtId="164" fontId="15" fillId="0" borderId="0" xfId="0" applyNumberFormat="1" applyFont="1" applyFill="1" applyBorder="1" applyAlignment="1">
      <alignment horizontal="center"/>
    </xf>
    <xf numFmtId="10" fontId="15" fillId="0" borderId="0" xfId="11" applyNumberFormat="1" applyFont="1" applyFill="1" applyBorder="1" applyAlignment="1"/>
    <xf numFmtId="49" fontId="13" fillId="0" borderId="0" xfId="0" applyNumberFormat="1" applyFont="1" applyFill="1" applyBorder="1" applyAlignment="1">
      <alignment horizontal="left"/>
    </xf>
    <xf numFmtId="0" fontId="13" fillId="0" borderId="0" xfId="0" applyNumberFormat="1" applyFont="1" applyFill="1" applyBorder="1" applyAlignment="1">
      <alignment horizontal="right"/>
    </xf>
    <xf numFmtId="49" fontId="0" fillId="0" borderId="0" xfId="0" applyNumberFormat="1" applyFill="1" applyBorder="1" applyAlignment="1">
      <alignment horizontal="left"/>
    </xf>
    <xf numFmtId="173" fontId="15" fillId="0" borderId="0" xfId="0" applyFont="1" applyFill="1" applyBorder="1" applyAlignment="1">
      <alignment horizontal="right"/>
    </xf>
    <xf numFmtId="177" fontId="17" fillId="0" borderId="0" xfId="0" applyNumberFormat="1" applyFont="1" applyFill="1" applyBorder="1" applyAlignment="1">
      <alignment horizontal="center"/>
    </xf>
    <xf numFmtId="173" fontId="20" fillId="0" borderId="15" xfId="0" applyFont="1" applyFill="1" applyBorder="1" applyAlignment="1">
      <alignment horizontal="center" wrapText="1"/>
    </xf>
    <xf numFmtId="173" fontId="20" fillId="0" borderId="16" xfId="0" applyFont="1" applyFill="1" applyBorder="1" applyAlignment="1"/>
    <xf numFmtId="173" fontId="20" fillId="0" borderId="16" xfId="0" applyFont="1" applyFill="1" applyBorder="1" applyAlignment="1">
      <alignment horizontal="center" wrapText="1"/>
    </xf>
    <xf numFmtId="0" fontId="17" fillId="0" borderId="16" xfId="0" applyNumberFormat="1" applyFont="1" applyFill="1" applyBorder="1" applyAlignment="1">
      <alignment horizontal="center" wrapText="1"/>
    </xf>
    <xf numFmtId="173" fontId="20" fillId="0" borderId="14" xfId="0" applyFont="1" applyFill="1" applyBorder="1" applyAlignment="1">
      <alignment horizontal="center" wrapText="1"/>
    </xf>
    <xf numFmtId="3" fontId="17" fillId="0" borderId="14" xfId="0" applyNumberFormat="1" applyFont="1" applyFill="1" applyBorder="1" applyAlignment="1">
      <alignment horizontal="center" wrapText="1"/>
    </xf>
    <xf numFmtId="3" fontId="17" fillId="0" borderId="16" xfId="0" applyNumberFormat="1" applyFont="1" applyFill="1" applyBorder="1" applyAlignment="1">
      <alignment horizontal="center" wrapText="1"/>
    </xf>
    <xf numFmtId="0" fontId="15" fillId="0" borderId="15" xfId="0" applyNumberFormat="1" applyFont="1" applyFill="1" applyBorder="1"/>
    <xf numFmtId="0" fontId="15" fillId="0" borderId="16" xfId="0" applyNumberFormat="1" applyFont="1" applyFill="1" applyBorder="1"/>
    <xf numFmtId="0" fontId="15" fillId="0" borderId="16" xfId="0" applyNumberFormat="1" applyFont="1" applyFill="1" applyBorder="1" applyAlignment="1">
      <alignment horizontal="center"/>
    </xf>
    <xf numFmtId="0" fontId="15" fillId="0" borderId="14" xfId="0" applyNumberFormat="1" applyFont="1" applyFill="1" applyBorder="1" applyAlignment="1">
      <alignment horizontal="center"/>
    </xf>
    <xf numFmtId="3" fontId="15" fillId="0" borderId="16" xfId="0" applyNumberFormat="1" applyFont="1" applyFill="1" applyBorder="1" applyAlignment="1">
      <alignment horizontal="center"/>
    </xf>
    <xf numFmtId="3" fontId="15" fillId="0" borderId="14" xfId="0" applyNumberFormat="1" applyFont="1" applyFill="1" applyBorder="1" applyAlignment="1">
      <alignment horizontal="center" wrapText="1"/>
    </xf>
    <xf numFmtId="0" fontId="15" fillId="0" borderId="3" xfId="0" applyNumberFormat="1" applyFont="1" applyFill="1" applyBorder="1"/>
    <xf numFmtId="0" fontId="15" fillId="0" borderId="17" xfId="0" applyNumberFormat="1" applyFont="1" applyFill="1" applyBorder="1"/>
    <xf numFmtId="3" fontId="15" fillId="0" borderId="17" xfId="0" applyNumberFormat="1" applyFont="1" applyFill="1" applyBorder="1" applyAlignment="1"/>
    <xf numFmtId="173" fontId="0" fillId="0" borderId="3" xfId="0" applyFill="1" applyBorder="1" applyAlignment="1"/>
    <xf numFmtId="175" fontId="0" fillId="2" borderId="0" xfId="12" applyNumberFormat="1" applyFont="1" applyFill="1" applyBorder="1" applyAlignment="1"/>
    <xf numFmtId="173" fontId="0" fillId="0" borderId="17" xfId="0" applyFill="1" applyBorder="1" applyAlignment="1"/>
    <xf numFmtId="170" fontId="0" fillId="2" borderId="0" xfId="0" applyNumberFormat="1" applyFill="1" applyBorder="1" applyAlignment="1"/>
    <xf numFmtId="175" fontId="15" fillId="2" borderId="0" xfId="12" applyNumberFormat="1" applyFont="1" applyFill="1" applyBorder="1" applyAlignment="1"/>
    <xf numFmtId="173" fontId="14" fillId="0" borderId="0" xfId="0" applyFont="1" applyFill="1" applyBorder="1" applyAlignment="1"/>
    <xf numFmtId="173" fontId="14" fillId="0" borderId="17" xfId="0" applyFont="1" applyFill="1" applyBorder="1" applyAlignment="1"/>
    <xf numFmtId="173" fontId="0" fillId="0" borderId="5" xfId="0" applyFill="1" applyBorder="1" applyAlignment="1"/>
    <xf numFmtId="173" fontId="0" fillId="0" borderId="6" xfId="0" applyFill="1" applyBorder="1" applyAlignment="1"/>
    <xf numFmtId="173" fontId="14" fillId="0" borderId="6" xfId="0" applyFont="1" applyFill="1" applyBorder="1" applyAlignment="1"/>
    <xf numFmtId="173" fontId="14" fillId="0" borderId="12" xfId="0" applyFont="1" applyFill="1" applyBorder="1" applyAlignment="1"/>
    <xf numFmtId="1" fontId="15" fillId="0" borderId="0" xfId="13" applyNumberFormat="1" applyFont="1" applyFill="1" applyBorder="1" applyAlignment="1">
      <alignment horizontal="center"/>
    </xf>
    <xf numFmtId="170" fontId="15" fillId="0" borderId="0" xfId="0" applyNumberFormat="1" applyFont="1" applyFill="1" applyBorder="1" applyAlignment="1"/>
    <xf numFmtId="173" fontId="15" fillId="0" borderId="1" xfId="0" applyFont="1" applyFill="1" applyBorder="1" applyAlignment="1"/>
    <xf numFmtId="173" fontId="12" fillId="0" borderId="0" xfId="0" applyFont="1" applyFill="1" applyBorder="1" applyAlignment="1">
      <alignment horizontal="center"/>
    </xf>
    <xf numFmtId="173" fontId="12" fillId="0" borderId="0" xfId="0" applyFont="1" applyFill="1" applyBorder="1" applyAlignment="1">
      <alignment horizontal="center" vertical="top"/>
    </xf>
    <xf numFmtId="173" fontId="13" fillId="0" borderId="0" xfId="0" applyFont="1" applyFill="1" applyBorder="1" applyAlignment="1"/>
    <xf numFmtId="49" fontId="13" fillId="0" borderId="0" xfId="0" applyNumberFormat="1" applyFont="1" applyFill="1" applyBorder="1" applyAlignment="1">
      <alignment horizontal="center"/>
    </xf>
    <xf numFmtId="10" fontId="23" fillId="0" borderId="0" xfId="11" applyNumberFormat="1" applyFont="1"/>
    <xf numFmtId="0" fontId="23" fillId="0" borderId="0" xfId="10" applyFont="1" applyAlignment="1">
      <alignment horizontal="left" indent="1"/>
    </xf>
    <xf numFmtId="173" fontId="23" fillId="0" borderId="0" xfId="0" applyFont="1" applyFill="1"/>
    <xf numFmtId="42" fontId="15" fillId="0" borderId="0" xfId="0" applyNumberFormat="1" applyFont="1" applyAlignment="1">
      <alignment horizontal="center"/>
    </xf>
    <xf numFmtId="169" fontId="17" fillId="2" borderId="0" xfId="0" applyNumberFormat="1" applyFont="1" applyFill="1" applyAlignment="1"/>
    <xf numFmtId="0" fontId="47" fillId="0" borderId="0" xfId="7" applyFont="1"/>
    <xf numFmtId="0" fontId="17" fillId="0" borderId="0" xfId="7" applyFont="1" applyBorder="1" applyAlignment="1">
      <alignment horizontal="center"/>
    </xf>
    <xf numFmtId="0" fontId="37" fillId="0" borderId="0" xfId="5" applyFont="1" applyFill="1" applyAlignment="1">
      <alignment horizontal="centerContinuous"/>
    </xf>
    <xf numFmtId="0" fontId="37" fillId="0" borderId="0" xfId="7" applyFont="1" applyFill="1" applyAlignment="1">
      <alignment horizontal="center"/>
    </xf>
    <xf numFmtId="42" fontId="15" fillId="0" borderId="0" xfId="7" applyNumberFormat="1" applyFont="1" applyFill="1"/>
    <xf numFmtId="0" fontId="15" fillId="0" borderId="0" xfId="7" applyFont="1" applyFill="1"/>
    <xf numFmtId="42" fontId="45" fillId="0" borderId="0" xfId="7" applyNumberFormat="1" applyFont="1" applyFill="1" applyAlignment="1">
      <alignment vertical="center"/>
    </xf>
    <xf numFmtId="0" fontId="15" fillId="0" borderId="0" xfId="0" applyNumberFormat="1" applyFont="1" applyFill="1" applyBorder="1" applyAlignment="1" applyProtection="1">
      <alignment horizontal="centerContinuous"/>
      <protection locked="0"/>
    </xf>
    <xf numFmtId="3" fontId="15" fillId="0" borderId="0" xfId="0" applyNumberFormat="1" applyFont="1" applyFill="1" applyBorder="1" applyAlignment="1">
      <alignment horizontal="centerContinuous"/>
    </xf>
    <xf numFmtId="0" fontId="15" fillId="0" borderId="0" xfId="0" applyNumberFormat="1" applyFont="1" applyFill="1" applyBorder="1" applyAlignment="1">
      <alignment horizontal="centerContinuous"/>
    </xf>
    <xf numFmtId="173" fontId="15" fillId="0" borderId="0" xfId="0" applyFont="1" applyFill="1" applyBorder="1" applyAlignment="1">
      <alignment horizontal="centerContinuous"/>
    </xf>
    <xf numFmtId="37" fontId="15" fillId="0" borderId="0" xfId="0" applyNumberFormat="1" applyFont="1" applyFill="1" applyAlignment="1"/>
    <xf numFmtId="37" fontId="15" fillId="0" borderId="1" xfId="0" applyNumberFormat="1" applyFont="1" applyFill="1" applyBorder="1" applyAlignment="1"/>
    <xf numFmtId="37" fontId="15" fillId="0" borderId="0" xfId="0" applyNumberFormat="1" applyFont="1" applyAlignment="1"/>
    <xf numFmtId="37" fontId="15" fillId="0" borderId="1" xfId="0" applyNumberFormat="1" applyFont="1" applyBorder="1" applyAlignment="1"/>
    <xf numFmtId="37" fontId="30" fillId="0" borderId="0" xfId="0" applyNumberFormat="1" applyFont="1" applyAlignment="1"/>
    <xf numFmtId="37" fontId="15" fillId="0" borderId="0" xfId="0" applyNumberFormat="1" applyFont="1" applyBorder="1" applyAlignment="1"/>
    <xf numFmtId="37" fontId="15" fillId="0" borderId="0" xfId="0" applyNumberFormat="1" applyFont="1" applyFill="1"/>
    <xf numFmtId="37" fontId="15" fillId="0" borderId="0" xfId="0" applyNumberFormat="1" applyFont="1"/>
    <xf numFmtId="37" fontId="30" fillId="2" borderId="0" xfId="0" applyNumberFormat="1" applyFont="1" applyFill="1" applyAlignment="1"/>
    <xf numFmtId="37" fontId="15" fillId="2" borderId="1" xfId="0" applyNumberFormat="1" applyFont="1" applyFill="1" applyBorder="1" applyAlignment="1"/>
    <xf numFmtId="0" fontId="15" fillId="0" borderId="0" xfId="0" applyNumberFormat="1" applyFont="1" applyFill="1" applyAlignment="1" applyProtection="1">
      <alignment horizontal="center"/>
      <protection locked="0"/>
    </xf>
    <xf numFmtId="173" fontId="15" fillId="0" borderId="0" xfId="0" applyFont="1" applyBorder="1" applyAlignment="1"/>
    <xf numFmtId="173" fontId="15" fillId="0" borderId="0" xfId="0" applyFont="1" applyFill="1" applyAlignment="1" applyProtection="1"/>
    <xf numFmtId="38" fontId="15" fillId="0" borderId="0" xfId="0" applyNumberFormat="1" applyFont="1" applyAlignment="1" applyProtection="1"/>
    <xf numFmtId="38" fontId="15" fillId="0" borderId="0" xfId="0" applyNumberFormat="1" applyFont="1" applyAlignment="1"/>
    <xf numFmtId="3" fontId="15" fillId="0" borderId="0" xfId="0" applyNumberFormat="1" applyFont="1" applyFill="1" applyAlignment="1" applyProtection="1"/>
    <xf numFmtId="170" fontId="15" fillId="0" borderId="0" xfId="0" applyNumberFormat="1" applyFont="1" applyProtection="1">
      <protection locked="0"/>
    </xf>
    <xf numFmtId="0" fontId="42" fillId="0" borderId="0" xfId="0" applyNumberFormat="1" applyFont="1" applyProtection="1">
      <protection locked="0"/>
    </xf>
    <xf numFmtId="0" fontId="42" fillId="0" borderId="0" xfId="0" applyNumberFormat="1" applyFont="1" applyFill="1" applyProtection="1">
      <protection locked="0"/>
    </xf>
    <xf numFmtId="173" fontId="53" fillId="0" borderId="0" xfId="0" applyFont="1" applyAlignment="1"/>
    <xf numFmtId="10" fontId="15" fillId="0" borderId="0" xfId="0" applyNumberFormat="1" applyFont="1" applyFill="1"/>
    <xf numFmtId="0" fontId="23" fillId="0" borderId="0" xfId="0" applyNumberFormat="1" applyFont="1" applyFill="1"/>
    <xf numFmtId="0" fontId="23" fillId="0" borderId="0" xfId="0" applyNumberFormat="1" applyFont="1"/>
    <xf numFmtId="37" fontId="15" fillId="0" borderId="0" xfId="0" applyNumberFormat="1" applyFont="1" applyFill="1" applyBorder="1" applyProtection="1"/>
    <xf numFmtId="175" fontId="46" fillId="2" borderId="0" xfId="12" applyNumberFormat="1" applyFont="1" applyFill="1" applyBorder="1" applyAlignment="1"/>
    <xf numFmtId="0" fontId="23" fillId="0" borderId="0" xfId="8" applyFont="1" applyAlignment="1">
      <alignment horizontal="right"/>
    </xf>
    <xf numFmtId="0" fontId="54" fillId="0" borderId="0" xfId="8" applyFont="1" applyAlignment="1">
      <alignment horizontal="left"/>
    </xf>
    <xf numFmtId="0" fontId="29" fillId="0" borderId="0" xfId="8" applyFont="1" applyAlignment="1">
      <alignment horizontal="left"/>
    </xf>
    <xf numFmtId="10" fontId="25" fillId="0" borderId="0" xfId="11" applyNumberFormat="1" applyFont="1" applyBorder="1"/>
    <xf numFmtId="0" fontId="23" fillId="0" borderId="0" xfId="8" applyFont="1" applyBorder="1"/>
    <xf numFmtId="41" fontId="23" fillId="0" borderId="0" xfId="13" applyNumberFormat="1" applyFont="1" applyBorder="1"/>
    <xf numFmtId="41" fontId="23" fillId="0" borderId="0" xfId="8" applyNumberFormat="1" applyFont="1" applyBorder="1"/>
    <xf numFmtId="0" fontId="23" fillId="0" borderId="0" xfId="8" applyFont="1" applyFill="1" applyBorder="1"/>
    <xf numFmtId="0" fontId="23" fillId="0" borderId="0" xfId="8" applyFont="1" applyFill="1" applyBorder="1" applyAlignment="1">
      <alignment horizontal="left"/>
    </xf>
    <xf numFmtId="0" fontId="25" fillId="0" borderId="0" xfId="8" applyFont="1" applyFill="1" applyBorder="1" applyAlignment="1">
      <alignment horizontal="center"/>
    </xf>
    <xf numFmtId="41" fontId="23" fillId="0" borderId="0" xfId="8" applyNumberFormat="1" applyFont="1" applyFill="1" applyBorder="1"/>
    <xf numFmtId="41" fontId="25" fillId="0" borderId="0" xfId="8" applyNumberFormat="1" applyFont="1" applyFill="1" applyBorder="1"/>
    <xf numFmtId="41" fontId="35" fillId="0" borderId="0" xfId="8" applyNumberFormat="1" applyFont="1" applyFill="1" applyBorder="1" applyAlignment="1">
      <alignment vertical="center"/>
    </xf>
    <xf numFmtId="0" fontId="23" fillId="0" borderId="0" xfId="8" applyFont="1" applyFill="1" applyBorder="1" applyAlignment="1">
      <alignment horizontal="center"/>
    </xf>
    <xf numFmtId="37" fontId="23" fillId="0" borderId="0" xfId="8" applyNumberFormat="1" applyFont="1" applyFill="1" applyBorder="1"/>
    <xf numFmtId="41" fontId="23" fillId="0" borderId="0" xfId="13" applyNumberFormat="1" applyFont="1" applyFill="1" applyBorder="1"/>
    <xf numFmtId="41" fontId="50" fillId="0" borderId="0" xfId="8" applyNumberFormat="1" applyFont="1"/>
    <xf numFmtId="0" fontId="19" fillId="0" borderId="0" xfId="15" applyFont="1" applyFill="1"/>
    <xf numFmtId="0" fontId="19" fillId="0" borderId="0" xfId="15" applyFont="1" applyFill="1" applyBorder="1"/>
    <xf numFmtId="15" fontId="19" fillId="0" borderId="0" xfId="15" applyNumberFormat="1" applyFont="1" applyFill="1" applyAlignment="1">
      <alignment horizontal="center"/>
    </xf>
    <xf numFmtId="0" fontId="40" fillId="0" borderId="0" xfId="15" applyFont="1" applyFill="1"/>
    <xf numFmtId="9" fontId="40" fillId="0" borderId="0" xfId="15" applyNumberFormat="1" applyFont="1" applyFill="1"/>
    <xf numFmtId="0" fontId="15" fillId="0" borderId="0" xfId="0" applyNumberFormat="1" applyFont="1" applyAlignment="1" applyProtection="1">
      <alignment horizontal="centerContinuous"/>
      <protection locked="0"/>
    </xf>
    <xf numFmtId="0" fontId="15" fillId="0" borderId="0" xfId="0" applyNumberFormat="1" applyFont="1" applyFill="1" applyAlignment="1">
      <alignment horizontal="centerContinuous"/>
    </xf>
    <xf numFmtId="3" fontId="15" fillId="0" borderId="0" xfId="0" applyNumberFormat="1" applyFont="1" applyAlignment="1">
      <alignment horizontal="centerContinuous"/>
    </xf>
    <xf numFmtId="0" fontId="15" fillId="0" borderId="0" xfId="0" applyNumberFormat="1" applyFont="1" applyAlignment="1">
      <alignment horizontal="centerContinuous"/>
    </xf>
    <xf numFmtId="49" fontId="31" fillId="0" borderId="0" xfId="0" applyNumberFormat="1" applyFont="1" applyFill="1" applyAlignment="1">
      <alignment horizontal="centerContinuous"/>
    </xf>
    <xf numFmtId="0" fontId="15" fillId="0" borderId="0" xfId="0" applyNumberFormat="1" applyFont="1" applyFill="1" applyAlignment="1" applyProtection="1">
      <alignment horizontal="centerContinuous"/>
      <protection locked="0"/>
    </xf>
    <xf numFmtId="173" fontId="47" fillId="0" borderId="0" xfId="0" applyFont="1" applyFill="1" applyAlignment="1">
      <alignment horizontal="centerContinuous"/>
    </xf>
    <xf numFmtId="173" fontId="15" fillId="0" borderId="0" xfId="0" applyFont="1" applyFill="1" applyAlignment="1">
      <alignment horizontal="centerContinuous"/>
    </xf>
    <xf numFmtId="3" fontId="15" fillId="0" borderId="0" xfId="0" applyNumberFormat="1" applyFont="1" applyFill="1" applyAlignment="1">
      <alignment horizontal="centerContinuous"/>
    </xf>
    <xf numFmtId="0" fontId="17" fillId="0" borderId="0" xfId="0" applyNumberFormat="1" applyFont="1" applyAlignment="1">
      <alignment horizontal="centerContinuous"/>
    </xf>
    <xf numFmtId="173" fontId="15" fillId="0" borderId="0" xfId="0" applyFont="1" applyFill="1" applyBorder="1" applyAlignment="1">
      <alignment horizontal="left"/>
    </xf>
    <xf numFmtId="173" fontId="0" fillId="0" borderId="0" xfId="0" applyFill="1" applyBorder="1" applyAlignment="1">
      <alignment horizontal="centerContinuous"/>
    </xf>
    <xf numFmtId="0" fontId="17" fillId="0" borderId="0" xfId="0" applyNumberFormat="1" applyFont="1" applyFill="1" applyBorder="1" applyAlignment="1">
      <alignment horizontal="centerContinuous"/>
    </xf>
    <xf numFmtId="49" fontId="47" fillId="0" borderId="0" xfId="0" applyNumberFormat="1" applyFont="1" applyFill="1" applyBorder="1" applyAlignment="1">
      <alignment horizontal="centerContinuous"/>
    </xf>
    <xf numFmtId="49" fontId="15" fillId="0" borderId="0" xfId="0" applyNumberFormat="1" applyFont="1" applyFill="1" applyBorder="1" applyAlignment="1">
      <alignment horizontal="centerContinuous"/>
    </xf>
    <xf numFmtId="37" fontId="47" fillId="4" borderId="0" xfId="0" applyNumberFormat="1" applyFont="1" applyFill="1" applyAlignment="1"/>
    <xf numFmtId="0" fontId="23" fillId="0" borderId="0" xfId="10" applyFont="1"/>
    <xf numFmtId="0" fontId="15" fillId="0" borderId="0" xfId="0" applyNumberFormat="1" applyFont="1" applyBorder="1"/>
    <xf numFmtId="0" fontId="109" fillId="0" borderId="0" xfId="0" applyNumberFormat="1" applyFont="1" applyBorder="1" applyAlignment="1" applyProtection="1">
      <alignment horizontal="center"/>
      <protection locked="0"/>
    </xf>
    <xf numFmtId="0" fontId="16" fillId="0" borderId="0" xfId="0" applyNumberFormat="1" applyFont="1" applyAlignment="1"/>
    <xf numFmtId="173" fontId="109" fillId="0" borderId="0" xfId="0" applyFont="1" applyAlignment="1"/>
    <xf numFmtId="0" fontId="110" fillId="0" borderId="0" xfId="0" applyNumberFormat="1" applyFont="1" applyAlignment="1" applyProtection="1">
      <alignment horizontal="center"/>
      <protection locked="0"/>
    </xf>
    <xf numFmtId="173" fontId="109" fillId="0" borderId="0" xfId="0" applyFont="1" applyAlignment="1">
      <alignment horizontal="centerContinuous"/>
    </xf>
    <xf numFmtId="0" fontId="109" fillId="0" borderId="0" xfId="0" applyNumberFormat="1" applyFont="1" applyAlignment="1"/>
    <xf numFmtId="0" fontId="15" fillId="0" borderId="0" xfId="0" applyNumberFormat="1" applyFont="1" applyFill="1" applyAlignment="1" applyProtection="1">
      <alignment horizontal="right"/>
      <protection locked="0"/>
    </xf>
    <xf numFmtId="173" fontId="109" fillId="0" borderId="0" xfId="0" applyFont="1" applyBorder="1" applyAlignment="1"/>
    <xf numFmtId="0" fontId="109" fillId="0" borderId="0" xfId="0" applyNumberFormat="1" applyFont="1" applyBorder="1"/>
    <xf numFmtId="0" fontId="109" fillId="0" borderId="0" xfId="0" applyNumberFormat="1" applyFont="1" applyBorder="1" applyAlignment="1"/>
    <xf numFmtId="0" fontId="16" fillId="0" borderId="0" xfId="0" applyNumberFormat="1" applyFont="1" applyBorder="1" applyAlignment="1" applyProtection="1">
      <alignment horizontal="center"/>
      <protection locked="0"/>
    </xf>
    <xf numFmtId="173" fontId="16" fillId="0" borderId="0" xfId="0" applyFont="1" applyBorder="1" applyAlignment="1">
      <alignment horizontal="center"/>
    </xf>
    <xf numFmtId="3" fontId="16" fillId="0" borderId="0" xfId="0" applyNumberFormat="1" applyFont="1" applyBorder="1" applyAlignment="1"/>
    <xf numFmtId="0" fontId="16" fillId="0" borderId="0" xfId="0" applyNumberFormat="1" applyFont="1" applyBorder="1" applyAlignment="1" applyProtection="1">
      <alignment horizontal="centerContinuous"/>
      <protection locked="0"/>
    </xf>
    <xf numFmtId="173" fontId="109" fillId="0" borderId="0" xfId="0" applyFont="1" applyBorder="1" applyAlignment="1">
      <alignment horizontal="centerContinuous"/>
    </xf>
    <xf numFmtId="0" fontId="47" fillId="0" borderId="0" xfId="0" applyNumberFormat="1" applyFont="1" applyFill="1" applyAlignment="1" applyProtection="1">
      <alignment horizontal="centerContinuous"/>
      <protection locked="0"/>
    </xf>
    <xf numFmtId="0" fontId="23" fillId="0" borderId="0" xfId="6" applyFont="1"/>
    <xf numFmtId="10" fontId="35" fillId="0" borderId="0" xfId="8" applyNumberFormat="1" applyFont="1" applyFill="1" applyBorder="1" applyAlignment="1">
      <alignment vertical="center"/>
    </xf>
    <xf numFmtId="173" fontId="15" fillId="0" borderId="0" xfId="325" applyFont="1" applyAlignment="1"/>
    <xf numFmtId="173" fontId="12" fillId="0" borderId="0" xfId="325" applyFont="1" applyAlignment="1"/>
    <xf numFmtId="173" fontId="15" fillId="0" borderId="0" xfId="325" applyFont="1" applyFill="1" applyAlignment="1"/>
    <xf numFmtId="173" fontId="12" fillId="0" borderId="0" xfId="325" applyFont="1" applyFill="1" applyAlignment="1"/>
    <xf numFmtId="0" fontId="15" fillId="0" borderId="0" xfId="325" applyNumberFormat="1" applyFont="1" applyFill="1"/>
    <xf numFmtId="0" fontId="12" fillId="0" borderId="0" xfId="325" applyNumberFormat="1" applyFont="1" applyFill="1"/>
    <xf numFmtId="0" fontId="111" fillId="0" borderId="0" xfId="326"/>
    <xf numFmtId="0" fontId="15" fillId="0" borderId="0" xfId="325" applyNumberFormat="1" applyFont="1" applyFill="1" applyProtection="1">
      <protection locked="0"/>
    </xf>
    <xf numFmtId="0" fontId="12" fillId="0" borderId="0" xfId="325" applyNumberFormat="1" applyFont="1" applyFill="1" applyProtection="1">
      <protection locked="0"/>
    </xf>
    <xf numFmtId="0" fontId="15" fillId="0" borderId="0" xfId="326" applyFont="1"/>
    <xf numFmtId="173" fontId="15" fillId="0" borderId="0" xfId="325" applyFont="1" applyAlignment="1" applyProtection="1">
      <protection locked="0"/>
    </xf>
    <xf numFmtId="0" fontId="15" fillId="0" borderId="0" xfId="326" applyNumberFormat="1" applyFont="1" applyFill="1"/>
    <xf numFmtId="0" fontId="15" fillId="0" borderId="0" xfId="326" applyFont="1" applyFill="1"/>
    <xf numFmtId="0" fontId="12" fillId="0" borderId="0" xfId="325" applyNumberFormat="1" applyFont="1" applyFill="1" applyAlignment="1" applyProtection="1">
      <alignment horizontal="center"/>
      <protection locked="0"/>
    </xf>
    <xf numFmtId="274" fontId="15" fillId="0" borderId="0" xfId="325" applyNumberFormat="1" applyFont="1" applyAlignment="1"/>
    <xf numFmtId="0" fontId="15" fillId="0" borderId="0" xfId="326" quotePrefix="1" applyFont="1"/>
    <xf numFmtId="0" fontId="15" fillId="0" borderId="0" xfId="326" applyFont="1" applyAlignment="1">
      <alignment horizontal="center"/>
    </xf>
    <xf numFmtId="0" fontId="15" fillId="0" borderId="0" xfId="325" applyNumberFormat="1" applyFont="1" applyProtection="1">
      <protection locked="0"/>
    </xf>
    <xf numFmtId="43" fontId="15" fillId="0" borderId="0" xfId="89" applyFont="1" applyAlignment="1"/>
    <xf numFmtId="1" fontId="15" fillId="0" borderId="0" xfId="325" applyNumberFormat="1" applyFont="1" applyAlignment="1" applyProtection="1">
      <alignment horizontal="center"/>
      <protection locked="0"/>
    </xf>
    <xf numFmtId="0" fontId="15" fillId="0" borderId="0" xfId="325" applyNumberFormat="1" applyFont="1" applyAlignment="1" applyProtection="1">
      <alignment horizontal="center"/>
      <protection locked="0"/>
    </xf>
    <xf numFmtId="0" fontId="12" fillId="0" borderId="0" xfId="325" applyNumberFormat="1" applyFont="1" applyAlignment="1" applyProtection="1">
      <alignment horizontal="center"/>
      <protection locked="0"/>
    </xf>
    <xf numFmtId="0" fontId="15" fillId="0" borderId="0" xfId="325" applyNumberFormat="1" applyFont="1" applyBorder="1" applyAlignment="1" applyProtection="1">
      <alignment horizontal="center"/>
      <protection locked="0"/>
    </xf>
    <xf numFmtId="173" fontId="17" fillId="0" borderId="0" xfId="325" applyFont="1" applyAlignment="1">
      <alignment horizontal="center"/>
    </xf>
    <xf numFmtId="170" fontId="15" fillId="0" borderId="0" xfId="325" applyNumberFormat="1" applyFont="1" applyFill="1" applyBorder="1" applyAlignment="1" applyProtection="1">
      <protection locked="0"/>
    </xf>
    <xf numFmtId="0" fontId="15" fillId="0" borderId="0" xfId="325" applyNumberFormat="1" applyFont="1" applyFill="1" applyBorder="1" applyProtection="1">
      <protection locked="0"/>
    </xf>
    <xf numFmtId="0" fontId="15" fillId="0" borderId="0" xfId="326" applyNumberFormat="1" applyFont="1"/>
    <xf numFmtId="42" fontId="15" fillId="0" borderId="0" xfId="325" applyNumberFormat="1" applyFont="1" applyFill="1" applyBorder="1" applyAlignment="1" applyProtection="1">
      <protection locked="0"/>
    </xf>
    <xf numFmtId="42" fontId="15" fillId="0" borderId="0" xfId="325" applyNumberFormat="1" applyFont="1" applyFill="1" applyBorder="1" applyProtection="1">
      <protection locked="0"/>
    </xf>
    <xf numFmtId="42" fontId="15" fillId="0" borderId="22" xfId="325" applyNumberFormat="1" applyFont="1" applyFill="1" applyBorder="1" applyAlignment="1" applyProtection="1">
      <protection locked="0"/>
    </xf>
    <xf numFmtId="1" fontId="15" fillId="0" borderId="20" xfId="325" applyNumberFormat="1" applyFont="1" applyBorder="1" applyAlignment="1" applyProtection="1">
      <alignment horizontal="center"/>
      <protection locked="0"/>
    </xf>
    <xf numFmtId="0" fontId="15" fillId="0" borderId="20" xfId="325" applyNumberFormat="1" applyFont="1" applyBorder="1" applyProtection="1">
      <protection locked="0"/>
    </xf>
    <xf numFmtId="0" fontId="15" fillId="0" borderId="23" xfId="326" applyNumberFormat="1" applyFont="1" applyBorder="1"/>
    <xf numFmtId="42" fontId="15" fillId="0" borderId="0" xfId="325" applyNumberFormat="1" applyFont="1" applyFill="1" applyAlignment="1"/>
    <xf numFmtId="42" fontId="15" fillId="0" borderId="0" xfId="325" applyNumberFormat="1" applyFont="1" applyFill="1" applyAlignment="1" applyProtection="1">
      <protection locked="0"/>
    </xf>
    <xf numFmtId="42" fontId="15" fillId="0" borderId="0" xfId="325" applyNumberFormat="1" applyFont="1" applyBorder="1" applyAlignment="1" applyProtection="1">
      <protection locked="0"/>
    </xf>
    <xf numFmtId="42" fontId="15" fillId="0" borderId="0" xfId="325" applyNumberFormat="1" applyFont="1" applyBorder="1" applyProtection="1">
      <protection locked="0"/>
    </xf>
    <xf numFmtId="0" fontId="12" fillId="0" borderId="0" xfId="325" applyNumberFormat="1" applyFont="1" applyBorder="1" applyAlignment="1" applyProtection="1">
      <alignment horizontal="center"/>
      <protection locked="0"/>
    </xf>
    <xf numFmtId="0" fontId="17" fillId="0" borderId="0" xfId="325" applyNumberFormat="1" applyFont="1" applyAlignment="1" applyProtection="1">
      <alignment horizontal="center"/>
      <protection locked="0"/>
    </xf>
    <xf numFmtId="49" fontId="15" fillId="0" borderId="0" xfId="325" applyNumberFormat="1" applyFont="1" applyAlignment="1" applyProtection="1">
      <alignment horizontal="center"/>
      <protection locked="0"/>
    </xf>
    <xf numFmtId="49" fontId="31" fillId="0" borderId="0" xfId="325" applyNumberFormat="1" applyFont="1" applyAlignment="1" applyProtection="1">
      <alignment horizontal="center"/>
      <protection locked="0"/>
    </xf>
    <xf numFmtId="49" fontId="31" fillId="0" borderId="0" xfId="325" applyNumberFormat="1" applyFont="1" applyAlignment="1" applyProtection="1">
      <alignment horizontal="left"/>
      <protection locked="0"/>
    </xf>
    <xf numFmtId="49" fontId="31" fillId="0" borderId="0" xfId="325" applyNumberFormat="1" applyFont="1" applyAlignment="1" applyProtection="1">
      <alignment horizontal="centerContinuous"/>
      <protection locked="0"/>
    </xf>
    <xf numFmtId="0" fontId="15" fillId="0" borderId="0" xfId="326" applyNumberFormat="1" applyFont="1" applyAlignment="1">
      <alignment horizontal="left"/>
    </xf>
    <xf numFmtId="0" fontId="15" fillId="0" borderId="0" xfId="326" applyNumberFormat="1" applyFont="1" applyAlignment="1">
      <alignment horizontal="centerContinuous"/>
    </xf>
    <xf numFmtId="3" fontId="15" fillId="0" borderId="0" xfId="326" applyNumberFormat="1" applyFont="1" applyAlignment="1">
      <alignment horizontal="left"/>
    </xf>
    <xf numFmtId="3" fontId="15" fillId="0" borderId="0" xfId="326" applyNumberFormat="1" applyFont="1" applyAlignment="1">
      <alignment horizontal="centerContinuous"/>
    </xf>
    <xf numFmtId="174" fontId="15" fillId="0" borderId="0" xfId="89" applyNumberFormat="1" applyFont="1" applyAlignment="1"/>
    <xf numFmtId="173" fontId="15" fillId="0" borderId="0" xfId="325" applyFont="1" applyAlignment="1">
      <alignment horizontal="right"/>
    </xf>
    <xf numFmtId="0" fontId="0" fillId="0" borderId="0" xfId="325" applyNumberFormat="1" applyFont="1" applyFill="1" applyAlignment="1" applyProtection="1">
      <alignment horizontal="center"/>
      <protection locked="0"/>
    </xf>
    <xf numFmtId="0" fontId="112" fillId="0" borderId="0" xfId="325" applyNumberFormat="1" applyFont="1" applyFill="1" applyAlignment="1" applyProtection="1">
      <alignment horizontal="center"/>
      <protection locked="0"/>
    </xf>
    <xf numFmtId="0" fontId="0" fillId="0" borderId="0" xfId="326" applyFont="1" applyAlignment="1">
      <alignment horizontal="center"/>
    </xf>
    <xf numFmtId="0" fontId="12" fillId="0" borderId="0" xfId="326" applyFont="1" applyAlignment="1">
      <alignment horizontal="center"/>
    </xf>
    <xf numFmtId="173" fontId="15" fillId="0" borderId="0" xfId="325" applyFont="1" applyAlignment="1">
      <alignment horizontal="center"/>
    </xf>
    <xf numFmtId="0" fontId="27" fillId="0" borderId="0" xfId="8" applyFont="1"/>
    <xf numFmtId="173" fontId="20" fillId="0" borderId="0" xfId="0" applyFont="1" applyAlignment="1"/>
    <xf numFmtId="0" fontId="47" fillId="0" borderId="0" xfId="0" applyNumberFormat="1" applyFont="1" applyFill="1" applyBorder="1" applyAlignment="1">
      <alignment horizontal="centerContinuous"/>
    </xf>
    <xf numFmtId="42" fontId="15" fillId="0" borderId="0" xfId="0" applyNumberFormat="1" applyFont="1" applyFill="1" applyBorder="1" applyProtection="1"/>
    <xf numFmtId="42" fontId="15" fillId="0" borderId="0" xfId="0" applyNumberFormat="1" applyFont="1" applyAlignment="1"/>
    <xf numFmtId="42" fontId="15" fillId="0" borderId="2" xfId="0" applyNumberFormat="1" applyFont="1" applyBorder="1" applyAlignment="1"/>
    <xf numFmtId="37" fontId="15" fillId="4" borderId="0" xfId="0" applyNumberFormat="1" applyFont="1" applyFill="1" applyAlignment="1"/>
    <xf numFmtId="42" fontId="15" fillId="0" borderId="0" xfId="0" applyNumberFormat="1" applyFont="1" applyFill="1" applyAlignment="1">
      <alignment horizontal="right"/>
    </xf>
    <xf numFmtId="42" fontId="15" fillId="0" borderId="2" xfId="0" applyNumberFormat="1" applyFont="1" applyFill="1" applyBorder="1" applyAlignment="1"/>
    <xf numFmtId="49" fontId="23" fillId="0" borderId="0" xfId="0" applyNumberFormat="1" applyFont="1" applyFill="1" applyBorder="1" applyAlignment="1">
      <alignment horizontal="center"/>
    </xf>
    <xf numFmtId="173" fontId="23" fillId="0" borderId="0" xfId="325" applyFont="1" applyAlignment="1"/>
    <xf numFmtId="0" fontId="23" fillId="0" borderId="0" xfId="8" applyFont="1" applyFill="1"/>
    <xf numFmtId="0" fontId="28" fillId="0" borderId="0" xfId="6" applyFill="1"/>
    <xf numFmtId="0" fontId="15" fillId="0" borderId="0" xfId="0" applyNumberFormat="1" applyFont="1" applyFill="1" applyBorder="1" applyAlignment="1" applyProtection="1">
      <alignment horizontal="center"/>
      <protection locked="0"/>
    </xf>
    <xf numFmtId="173" fontId="15" fillId="0" borderId="0" xfId="0" applyFont="1" applyAlignment="1">
      <alignment horizontal="center"/>
    </xf>
    <xf numFmtId="173" fontId="38" fillId="0" borderId="0" xfId="0" applyFont="1" applyAlignment="1">
      <alignment horizontal="center"/>
    </xf>
    <xf numFmtId="173" fontId="38" fillId="0" borderId="0" xfId="0" applyFont="1" applyAlignment="1">
      <alignment horizontal="center" wrapText="1"/>
    </xf>
    <xf numFmtId="173" fontId="38" fillId="0" borderId="0" xfId="0" applyFont="1" applyAlignment="1"/>
    <xf numFmtId="41" fontId="15" fillId="0" borderId="0" xfId="0" applyNumberFormat="1" applyFont="1" applyAlignment="1"/>
    <xf numFmtId="173" fontId="17" fillId="0" borderId="0" xfId="0" applyFont="1" applyAlignment="1"/>
    <xf numFmtId="41" fontId="38" fillId="0" borderId="0" xfId="0" applyNumberFormat="1" applyFont="1" applyAlignment="1"/>
    <xf numFmtId="173" fontId="15" fillId="0" borderId="0" xfId="0" applyFont="1" applyAlignment="1">
      <alignment horizontal="left" indent="2"/>
    </xf>
    <xf numFmtId="42" fontId="45" fillId="0" borderId="0" xfId="0" applyNumberFormat="1" applyFont="1" applyAlignment="1"/>
    <xf numFmtId="173" fontId="15" fillId="0" borderId="0" xfId="0" applyFont="1" applyBorder="1" applyAlignment="1">
      <alignment horizontal="center"/>
    </xf>
    <xf numFmtId="41" fontId="45" fillId="0" borderId="0" xfId="0" applyNumberFormat="1" applyFont="1" applyAlignment="1"/>
    <xf numFmtId="44" fontId="15" fillId="0" borderId="0" xfId="0" applyNumberFormat="1" applyFont="1" applyAlignment="1"/>
    <xf numFmtId="10" fontId="15" fillId="0" borderId="0" xfId="0" applyNumberFormat="1" applyFont="1" applyAlignment="1"/>
    <xf numFmtId="0" fontId="23" fillId="0" borderId="0" xfId="8" applyFont="1" applyAlignment="1">
      <alignment horizontal="centerContinuous"/>
    </xf>
    <xf numFmtId="0" fontId="27" fillId="0" borderId="0" xfId="8" applyFont="1" applyAlignment="1">
      <alignment horizontal="centerContinuous"/>
    </xf>
    <xf numFmtId="173" fontId="0" fillId="15" borderId="0" xfId="0" applyFill="1" applyAlignment="1"/>
    <xf numFmtId="0" fontId="17" fillId="0" borderId="0" xfId="0" applyNumberFormat="1" applyFont="1" applyAlignment="1" applyProtection="1">
      <protection locked="0"/>
    </xf>
    <xf numFmtId="0" fontId="17" fillId="0" borderId="0" xfId="0" applyNumberFormat="1" applyFont="1" applyFill="1" applyAlignment="1"/>
    <xf numFmtId="0" fontId="17" fillId="0" borderId="0" xfId="0" applyNumberFormat="1" applyFont="1" applyFill="1" applyBorder="1" applyAlignment="1" applyProtection="1">
      <protection locked="0"/>
    </xf>
    <xf numFmtId="173" fontId="0" fillId="0" borderId="0" xfId="0" applyFont="1" applyAlignment="1"/>
    <xf numFmtId="173" fontId="15" fillId="0" borderId="0" xfId="0" applyFont="1" applyFill="1"/>
    <xf numFmtId="0" fontId="15" fillId="0" borderId="0" xfId="5" applyFont="1"/>
    <xf numFmtId="0" fontId="38" fillId="0" borderId="0" xfId="5" applyFont="1" applyBorder="1" applyAlignment="1">
      <alignment horizontal="centerContinuous"/>
    </xf>
    <xf numFmtId="0" fontId="15" fillId="0" borderId="0" xfId="5" applyFont="1" applyBorder="1" applyAlignment="1">
      <alignment horizontal="left" indent="1"/>
    </xf>
    <xf numFmtId="0" fontId="15" fillId="0" borderId="0" xfId="7" applyFont="1" applyAlignment="1">
      <alignment horizontal="left" indent="1"/>
    </xf>
    <xf numFmtId="42" fontId="45" fillId="0" borderId="0" xfId="7" applyNumberFormat="1" applyFont="1"/>
    <xf numFmtId="41" fontId="30" fillId="0" borderId="0" xfId="7" applyNumberFormat="1" applyFont="1" applyFill="1"/>
    <xf numFmtId="42" fontId="45" fillId="0" borderId="0" xfId="7" applyNumberFormat="1" applyFont="1" applyFill="1"/>
    <xf numFmtId="0" fontId="15" fillId="0" borderId="0" xfId="7" applyFont="1" applyAlignment="1">
      <alignment horizontal="right"/>
    </xf>
    <xf numFmtId="173" fontId="109" fillId="0" borderId="0" xfId="0" applyFont="1" applyAlignment="1">
      <alignment horizontal="center"/>
    </xf>
    <xf numFmtId="0" fontId="109" fillId="0" borderId="0" xfId="0" applyNumberFormat="1" applyFont="1" applyAlignment="1" applyProtection="1">
      <alignment horizontal="center"/>
      <protection locked="0"/>
    </xf>
    <xf numFmtId="3" fontId="109" fillId="0" borderId="0" xfId="0" applyNumberFormat="1" applyFont="1" applyAlignment="1"/>
    <xf numFmtId="0" fontId="109" fillId="0" borderId="0" xfId="0" applyNumberFormat="1" applyFont="1" applyAlignment="1" applyProtection="1">
      <alignment horizontal="centerContinuous"/>
      <protection locked="0"/>
    </xf>
    <xf numFmtId="173" fontId="109" fillId="0" borderId="0" xfId="0" applyFont="1" applyBorder="1" applyAlignment="1">
      <alignment horizontal="center"/>
    </xf>
    <xf numFmtId="275" fontId="15" fillId="0" borderId="0" xfId="0" applyNumberFormat="1" applyFont="1" applyFill="1" applyAlignment="1">
      <alignment horizontal="right"/>
    </xf>
    <xf numFmtId="42" fontId="15" fillId="0" borderId="0" xfId="7" applyNumberFormat="1" applyFont="1"/>
    <xf numFmtId="37" fontId="30" fillId="0" borderId="0" xfId="0" applyNumberFormat="1" applyFont="1" applyFill="1" applyBorder="1" applyProtection="1">
      <protection locked="0"/>
    </xf>
    <xf numFmtId="37" fontId="30" fillId="0" borderId="1" xfId="0" applyNumberFormat="1" applyFont="1" applyFill="1" applyBorder="1" applyProtection="1">
      <protection locked="0"/>
    </xf>
    <xf numFmtId="10" fontId="30" fillId="2" borderId="0" xfId="0" applyNumberFormat="1" applyFont="1" applyFill="1" applyProtection="1">
      <protection locked="0"/>
    </xf>
    <xf numFmtId="10" fontId="15" fillId="0" borderId="0" xfId="0" applyNumberFormat="1" applyFont="1" applyFill="1" applyProtection="1">
      <protection locked="0"/>
    </xf>
    <xf numFmtId="0" fontId="112" fillId="0" borderId="0" xfId="325" applyNumberFormat="1" applyFont="1" applyBorder="1" applyAlignment="1" applyProtection="1">
      <alignment horizontal="left"/>
      <protection locked="0"/>
    </xf>
    <xf numFmtId="0" fontId="12" fillId="0" borderId="6" xfId="325" applyNumberFormat="1" applyFont="1" applyBorder="1" applyAlignment="1" applyProtection="1">
      <alignment horizontal="center"/>
      <protection locked="0"/>
    </xf>
    <xf numFmtId="173" fontId="0" fillId="0" borderId="0" xfId="0" applyFont="1" applyFill="1" applyBorder="1" applyAlignment="1">
      <alignment horizontal="center"/>
    </xf>
    <xf numFmtId="0" fontId="109" fillId="0" borderId="0" xfId="0" applyNumberFormat="1" applyFont="1" applyFill="1" applyBorder="1" applyAlignment="1" applyProtection="1">
      <alignment horizontal="center"/>
      <protection locked="0"/>
    </xf>
    <xf numFmtId="173" fontId="112" fillId="0" borderId="0" xfId="0" applyFont="1" applyFill="1" applyBorder="1" applyAlignment="1"/>
    <xf numFmtId="0" fontId="109" fillId="0" borderId="0" xfId="0" applyNumberFormat="1" applyFont="1" applyFill="1" applyBorder="1" applyAlignment="1"/>
    <xf numFmtId="173" fontId="109" fillId="0" borderId="0" xfId="0" applyFont="1" applyFill="1" applyBorder="1" applyAlignment="1">
      <alignment horizontal="center"/>
    </xf>
    <xf numFmtId="0" fontId="0" fillId="0" borderId="0" xfId="0" applyNumberFormat="1" applyFill="1" applyBorder="1" applyAlignment="1" applyProtection="1">
      <alignment horizontal="centerContinuous"/>
      <protection locked="0"/>
    </xf>
    <xf numFmtId="0" fontId="15" fillId="0" borderId="0" xfId="0" applyNumberFormat="1" applyFont="1" applyFill="1" applyBorder="1" applyAlignment="1">
      <alignment horizontal="right"/>
    </xf>
    <xf numFmtId="173" fontId="112" fillId="0" borderId="0" xfId="0" applyFont="1" applyAlignment="1">
      <alignment horizontal="center"/>
    </xf>
    <xf numFmtId="37" fontId="15" fillId="0" borderId="6" xfId="0" applyNumberFormat="1" applyFont="1" applyFill="1" applyBorder="1" applyAlignment="1"/>
    <xf numFmtId="3" fontId="17" fillId="0" borderId="0" xfId="0" applyNumberFormat="1" applyFont="1" applyAlignment="1">
      <alignment horizontal="centerContinuous"/>
    </xf>
    <xf numFmtId="0" fontId="15" fillId="0" borderId="0" xfId="0" quotePrefix="1" applyNumberFormat="1" applyFont="1" applyAlignment="1">
      <alignment horizontal="left" indent="1"/>
    </xf>
    <xf numFmtId="0" fontId="15" fillId="0" borderId="0" xfId="0" quotePrefix="1" applyNumberFormat="1" applyFont="1" applyFill="1" applyAlignment="1">
      <alignment horizontal="left" indent="1"/>
    </xf>
    <xf numFmtId="0" fontId="15" fillId="0" borderId="0" xfId="0" quotePrefix="1" applyNumberFormat="1" applyFont="1" applyAlignment="1" applyProtection="1">
      <alignment horizontal="left"/>
      <protection locked="0"/>
    </xf>
    <xf numFmtId="0" fontId="15" fillId="0" borderId="0" xfId="0" quotePrefix="1" applyNumberFormat="1" applyFont="1" applyAlignment="1">
      <alignment horizontal="left"/>
    </xf>
    <xf numFmtId="0" fontId="15" fillId="0" borderId="0" xfId="0" quotePrefix="1" applyNumberFormat="1" applyFont="1" applyFill="1" applyAlignment="1" applyProtection="1">
      <alignment horizontal="left"/>
      <protection locked="0"/>
    </xf>
    <xf numFmtId="0" fontId="15" fillId="0" borderId="1" xfId="0" quotePrefix="1" applyNumberFormat="1" applyFont="1" applyFill="1" applyBorder="1" applyAlignment="1" applyProtection="1">
      <alignment horizontal="left"/>
      <protection locked="0"/>
    </xf>
    <xf numFmtId="0" fontId="17" fillId="0" borderId="0" xfId="0" quotePrefix="1" applyNumberFormat="1" applyFont="1" applyAlignment="1">
      <alignment horizontal="left"/>
    </xf>
    <xf numFmtId="173" fontId="0" fillId="4" borderId="0" xfId="0" applyFill="1" applyBorder="1" applyAlignment="1"/>
    <xf numFmtId="3" fontId="17" fillId="0" borderId="0" xfId="0" applyNumberFormat="1" applyFont="1" applyAlignment="1"/>
    <xf numFmtId="0" fontId="40" fillId="0" borderId="1" xfId="0" applyNumberFormat="1" applyFont="1" applyBorder="1" applyAlignment="1" applyProtection="1">
      <alignment horizontal="center"/>
      <protection locked="0"/>
    </xf>
    <xf numFmtId="173" fontId="17" fillId="0" borderId="1" xfId="0" applyFont="1" applyBorder="1" applyAlignment="1">
      <alignment horizontal="center"/>
    </xf>
    <xf numFmtId="0" fontId="17" fillId="0" borderId="1" xfId="0" applyNumberFormat="1" applyFont="1" applyBorder="1" applyAlignment="1" applyProtection="1">
      <alignment horizontal="center"/>
      <protection locked="0"/>
    </xf>
    <xf numFmtId="0" fontId="17" fillId="0" borderId="1" xfId="0" applyNumberFormat="1" applyFont="1" applyBorder="1" applyAlignment="1" applyProtection="1">
      <alignment horizontal="centerContinuous"/>
      <protection locked="0"/>
    </xf>
    <xf numFmtId="164" fontId="15" fillId="0" borderId="0" xfId="0" applyNumberFormat="1" applyFont="1" applyAlignment="1">
      <alignment horizontal="right"/>
    </xf>
    <xf numFmtId="174" fontId="15" fillId="0" borderId="0" xfId="1" applyNumberFormat="1" applyFont="1"/>
    <xf numFmtId="174" fontId="15" fillId="0" borderId="0" xfId="0" applyNumberFormat="1" applyFont="1"/>
    <xf numFmtId="41" fontId="15" fillId="0" borderId="0" xfId="0" applyNumberFormat="1" applyFont="1" applyFill="1" applyBorder="1" applyAlignment="1"/>
    <xf numFmtId="0" fontId="15" fillId="0" borderId="0" xfId="0" applyNumberFormat="1" applyFont="1" applyFill="1" applyAlignment="1">
      <alignment horizontal="right"/>
    </xf>
    <xf numFmtId="0" fontId="47" fillId="0" borderId="0" xfId="326" applyNumberFormat="1" applyFont="1" applyFill="1" applyAlignment="1">
      <alignment horizontal="centerContinuous"/>
    </xf>
    <xf numFmtId="175" fontId="0" fillId="0" borderId="0" xfId="12" applyNumberFormat="1" applyFont="1" applyFill="1" applyBorder="1" applyAlignment="1"/>
    <xf numFmtId="170" fontId="0" fillId="0" borderId="0" xfId="0" applyNumberFormat="1" applyFill="1" applyBorder="1" applyAlignment="1"/>
    <xf numFmtId="0" fontId="15" fillId="0" borderId="0" xfId="0" quotePrefix="1" applyNumberFormat="1" applyFont="1" applyFill="1" applyAlignment="1" applyProtection="1">
      <alignment horizontal="center"/>
      <protection locked="0"/>
    </xf>
    <xf numFmtId="0" fontId="15" fillId="0" borderId="0" xfId="0" applyNumberFormat="1" applyFont="1" applyAlignment="1">
      <alignment wrapText="1"/>
    </xf>
    <xf numFmtId="172" fontId="15" fillId="0" borderId="0" xfId="0" applyNumberFormat="1" applyFont="1" applyAlignment="1">
      <alignment horizontal="center"/>
    </xf>
    <xf numFmtId="0" fontId="109" fillId="0" borderId="0" xfId="0" applyNumberFormat="1" applyFont="1" applyFill="1" applyBorder="1" applyAlignment="1">
      <alignment horizontal="left" indent="1"/>
    </xf>
    <xf numFmtId="3" fontId="15" fillId="0" borderId="0" xfId="0" applyNumberFormat="1" applyFont="1" applyFill="1" applyBorder="1" applyAlignment="1">
      <alignment horizontal="left"/>
    </xf>
    <xf numFmtId="0" fontId="0" fillId="0" borderId="0" xfId="0" quotePrefix="1" applyNumberFormat="1" applyFill="1" applyBorder="1" applyAlignment="1" applyProtection="1">
      <alignment horizontal="center"/>
      <protection locked="0"/>
    </xf>
    <xf numFmtId="173" fontId="17" fillId="0" borderId="6" xfId="0" quotePrefix="1" applyFont="1" applyFill="1" applyBorder="1" applyAlignment="1">
      <alignment horizontal="center"/>
    </xf>
    <xf numFmtId="0" fontId="17" fillId="0" borderId="6" xfId="0" quotePrefix="1" applyNumberFormat="1" applyFont="1" applyFill="1" applyBorder="1" applyAlignment="1" applyProtection="1">
      <alignment horizontal="center"/>
      <protection locked="0"/>
    </xf>
    <xf numFmtId="0" fontId="20" fillId="0" borderId="0" xfId="0" quotePrefix="1" applyNumberFormat="1" applyFont="1" applyFill="1" applyBorder="1" applyAlignment="1" applyProtection="1">
      <alignment horizontal="center"/>
      <protection locked="0"/>
    </xf>
    <xf numFmtId="173" fontId="20" fillId="0" borderId="0" xfId="0" quotePrefix="1" applyFont="1" applyAlignment="1">
      <alignment horizontal="center"/>
    </xf>
    <xf numFmtId="173" fontId="20" fillId="0" borderId="0" xfId="0" applyFont="1" applyAlignment="1">
      <alignment horizontal="center"/>
    </xf>
    <xf numFmtId="0" fontId="20" fillId="0" borderId="6" xfId="0" quotePrefix="1" applyNumberFormat="1" applyFont="1" applyFill="1" applyBorder="1" applyAlignment="1" applyProtection="1">
      <alignment horizontal="center"/>
      <protection locked="0"/>
    </xf>
    <xf numFmtId="173" fontId="20" fillId="0" borderId="6" xfId="0" quotePrefix="1" applyFont="1" applyBorder="1" applyAlignment="1">
      <alignment horizontal="center"/>
    </xf>
    <xf numFmtId="173" fontId="20" fillId="0" borderId="6" xfId="0" applyFont="1" applyBorder="1" applyAlignment="1">
      <alignment horizontal="center"/>
    </xf>
    <xf numFmtId="175" fontId="0" fillId="0" borderId="0" xfId="327" applyNumberFormat="1" applyFont="1" applyAlignment="1"/>
    <xf numFmtId="174" fontId="0" fillId="0" borderId="0" xfId="329" applyNumberFormat="1" applyFont="1" applyAlignment="1"/>
    <xf numFmtId="174" fontId="0" fillId="0" borderId="0" xfId="329" applyNumberFormat="1" applyFont="1" applyBorder="1" applyAlignment="1"/>
    <xf numFmtId="174" fontId="0" fillId="0" borderId="28" xfId="329" applyNumberFormat="1" applyFont="1" applyBorder="1" applyAlignment="1"/>
    <xf numFmtId="276" fontId="20" fillId="0" borderId="0" xfId="0" applyNumberFormat="1" applyFont="1" applyFill="1" applyBorder="1" applyAlignment="1" applyProtection="1">
      <alignment horizontal="center"/>
      <protection locked="0"/>
    </xf>
    <xf numFmtId="174" fontId="0" fillId="0" borderId="0" xfId="329" quotePrefix="1" applyNumberFormat="1" applyFont="1" applyAlignment="1">
      <alignment horizontal="left"/>
    </xf>
    <xf numFmtId="173" fontId="15" fillId="0" borderId="0" xfId="0" applyFont="1" applyAlignment="1">
      <alignment wrapText="1"/>
    </xf>
    <xf numFmtId="0" fontId="23" fillId="0" borderId="0" xfId="8" quotePrefix="1" applyFont="1"/>
    <xf numFmtId="41" fontId="26" fillId="0" borderId="0" xfId="8" applyNumberFormat="1" applyFont="1" applyFill="1" applyBorder="1" applyAlignment="1">
      <alignment vertical="center"/>
    </xf>
    <xf numFmtId="41" fontId="25" fillId="0" borderId="0" xfId="8" applyNumberFormat="1" applyFont="1"/>
    <xf numFmtId="10" fontId="26" fillId="0" borderId="0" xfId="8" applyNumberFormat="1" applyFont="1" applyFill="1" applyBorder="1" applyAlignment="1">
      <alignment vertical="center"/>
    </xf>
    <xf numFmtId="41" fontId="23" fillId="0" borderId="0" xfId="8" quotePrefix="1" applyNumberFormat="1" applyFont="1"/>
    <xf numFmtId="0" fontId="15" fillId="0" borderId="0" xfId="8" applyFont="1" applyAlignment="1">
      <alignment horizontal="right"/>
    </xf>
    <xf numFmtId="173" fontId="17" fillId="0" borderId="0" xfId="0" applyFont="1" applyBorder="1" applyAlignment="1">
      <alignment horizontal="left"/>
    </xf>
    <xf numFmtId="41" fontId="15" fillId="0" borderId="0" xfId="7" applyNumberFormat="1" applyFont="1" applyFill="1"/>
    <xf numFmtId="0" fontId="15" fillId="0" borderId="0" xfId="7" applyFont="1" applyAlignment="1">
      <alignment horizontal="left" vertical="center" wrapText="1" indent="1"/>
    </xf>
    <xf numFmtId="174" fontId="15" fillId="0" borderId="0" xfId="13" applyNumberFormat="1" applyFont="1"/>
    <xf numFmtId="176" fontId="38" fillId="0" borderId="0" xfId="7" applyNumberFormat="1" applyFont="1"/>
    <xf numFmtId="41" fontId="15" fillId="0" borderId="0" xfId="7" applyNumberFormat="1" applyFont="1"/>
    <xf numFmtId="41" fontId="38" fillId="0" borderId="0" xfId="7" applyNumberFormat="1" applyFont="1" applyFill="1"/>
    <xf numFmtId="0" fontId="15" fillId="0" borderId="0" xfId="7" applyFont="1" applyBorder="1"/>
    <xf numFmtId="0" fontId="15" fillId="0" borderId="0" xfId="7" applyFont="1" applyBorder="1" applyAlignment="1">
      <alignment horizontal="right"/>
    </xf>
    <xf numFmtId="173" fontId="0" fillId="0" borderId="0" xfId="0" applyFont="1" applyBorder="1" applyAlignment="1"/>
    <xf numFmtId="0" fontId="15" fillId="0" borderId="0" xfId="7" applyFont="1" applyFill="1" applyBorder="1"/>
    <xf numFmtId="0" fontId="15" fillId="4" borderId="0" xfId="0" applyNumberFormat="1" applyFont="1" applyFill="1" applyAlignment="1" applyProtection="1">
      <protection locked="0"/>
    </xf>
    <xf numFmtId="0" fontId="15" fillId="4" borderId="0" xfId="0" applyNumberFormat="1" applyFont="1" applyFill="1" applyProtection="1">
      <protection locked="0"/>
    </xf>
    <xf numFmtId="49" fontId="31" fillId="4" borderId="0" xfId="0" applyNumberFormat="1" applyFont="1" applyFill="1" applyAlignment="1">
      <alignment horizontal="centerContinuous"/>
    </xf>
    <xf numFmtId="173" fontId="15" fillId="4" borderId="0" xfId="0" applyFont="1" applyFill="1" applyAlignment="1">
      <alignment horizontal="centerContinuous"/>
    </xf>
    <xf numFmtId="0" fontId="15" fillId="4" borderId="0" xfId="0" applyNumberFormat="1" applyFont="1" applyFill="1" applyAlignment="1">
      <alignment horizontal="centerContinuous"/>
    </xf>
    <xf numFmtId="37" fontId="15" fillId="4" borderId="1" xfId="0" applyNumberFormat="1" applyFont="1" applyFill="1" applyBorder="1" applyAlignment="1"/>
    <xf numFmtId="165" fontId="30" fillId="4" borderId="0" xfId="0" applyNumberFormat="1" applyFont="1" applyFill="1" applyAlignment="1"/>
    <xf numFmtId="42" fontId="15" fillId="4" borderId="0" xfId="0" applyNumberFormat="1" applyFont="1" applyFill="1" applyAlignment="1"/>
    <xf numFmtId="38" fontId="30" fillId="4" borderId="0" xfId="0" applyNumberFormat="1" applyFont="1" applyFill="1" applyBorder="1" applyProtection="1">
      <protection locked="0"/>
    </xf>
    <xf numFmtId="38" fontId="30" fillId="4" borderId="1" xfId="0" applyNumberFormat="1" applyFont="1" applyFill="1" applyBorder="1" applyProtection="1">
      <protection locked="0"/>
    </xf>
    <xf numFmtId="37" fontId="15" fillId="4" borderId="0" xfId="0" applyNumberFormat="1" applyFont="1" applyFill="1" applyBorder="1" applyAlignment="1"/>
    <xf numFmtId="173" fontId="0" fillId="4" borderId="3" xfId="0" applyFill="1" applyBorder="1" applyAlignment="1"/>
    <xf numFmtId="0" fontId="0" fillId="4" borderId="0" xfId="0" applyNumberFormat="1" applyFill="1" applyBorder="1" applyAlignment="1">
      <alignment horizontal="left"/>
    </xf>
    <xf numFmtId="175" fontId="0" fillId="4" borderId="0" xfId="12" applyNumberFormat="1" applyFont="1" applyFill="1" applyBorder="1" applyAlignment="1"/>
    <xf numFmtId="173" fontId="0" fillId="4" borderId="3" xfId="0" quotePrefix="1" applyFill="1" applyBorder="1" applyAlignment="1">
      <alignment horizontal="left"/>
    </xf>
    <xf numFmtId="173" fontId="0" fillId="4" borderId="0" xfId="0" quotePrefix="1" applyFill="1" applyBorder="1" applyAlignment="1">
      <alignment horizontal="left"/>
    </xf>
    <xf numFmtId="41" fontId="15" fillId="4" borderId="0" xfId="0" applyNumberFormat="1" applyFont="1" applyFill="1" applyBorder="1" applyAlignment="1"/>
    <xf numFmtId="10" fontId="15" fillId="4" borderId="0" xfId="0" applyNumberFormat="1" applyFont="1" applyFill="1" applyAlignment="1">
      <alignment horizontal="right"/>
    </xf>
    <xf numFmtId="0" fontId="19" fillId="0" borderId="0" xfId="9" applyFont="1" applyFill="1"/>
    <xf numFmtId="175" fontId="0" fillId="4" borderId="0" xfId="327" applyNumberFormat="1" applyFont="1" applyFill="1" applyAlignment="1"/>
    <xf numFmtId="174" fontId="0" fillId="4" borderId="0" xfId="329" applyNumberFormat="1" applyFont="1" applyFill="1" applyAlignment="1"/>
    <xf numFmtId="174" fontId="0" fillId="4" borderId="0" xfId="329" applyNumberFormat="1" applyFont="1" applyFill="1" applyBorder="1" applyAlignment="1"/>
    <xf numFmtId="174" fontId="38" fillId="0" borderId="0" xfId="13" applyNumberFormat="1" applyFont="1"/>
    <xf numFmtId="166" fontId="47" fillId="0" borderId="0" xfId="0" applyNumberFormat="1" applyFont="1" applyFill="1" applyAlignment="1"/>
    <xf numFmtId="0" fontId="0" fillId="0" borderId="0" xfId="0" applyNumberFormat="1" applyFont="1" applyFill="1" applyBorder="1" applyAlignment="1" applyProtection="1">
      <alignment horizontal="centerContinuous"/>
      <protection locked="0"/>
    </xf>
    <xf numFmtId="173" fontId="0" fillId="0" borderId="0" xfId="0" applyFont="1" applyFill="1" applyBorder="1" applyAlignment="1">
      <alignment horizontal="centerContinuous"/>
    </xf>
    <xf numFmtId="0" fontId="0" fillId="0" borderId="0" xfId="0" quotePrefix="1" applyNumberFormat="1" applyFont="1" applyFill="1" applyBorder="1" applyAlignment="1" applyProtection="1">
      <alignment horizontal="center"/>
      <protection locked="0"/>
    </xf>
    <xf numFmtId="49" fontId="15" fillId="0" borderId="0" xfId="0" quotePrefix="1" applyNumberFormat="1" applyFont="1" applyFill="1" applyBorder="1" applyAlignment="1">
      <alignment horizontal="center"/>
    </xf>
    <xf numFmtId="0" fontId="15" fillId="0" borderId="0" xfId="0" quotePrefix="1" applyNumberFormat="1" applyFont="1" applyFill="1" applyBorder="1" applyAlignment="1">
      <alignment horizontal="center"/>
    </xf>
    <xf numFmtId="276" fontId="0" fillId="0" borderId="0" xfId="0" quotePrefix="1" applyNumberFormat="1" applyFont="1" applyFill="1" applyBorder="1" applyAlignment="1" applyProtection="1">
      <alignment horizontal="center"/>
      <protection locked="0"/>
    </xf>
    <xf numFmtId="173" fontId="0" fillId="0" borderId="0" xfId="0" quotePrefix="1" applyFont="1" applyAlignment="1">
      <alignment horizontal="center"/>
    </xf>
    <xf numFmtId="0" fontId="17" fillId="0" borderId="0" xfId="10" applyFont="1" applyAlignment="1">
      <alignment horizontal="centerContinuous"/>
    </xf>
    <xf numFmtId="0" fontId="15" fillId="0" borderId="0" xfId="0" applyNumberFormat="1" applyFont="1" applyAlignment="1">
      <alignment horizontal="left"/>
    </xf>
    <xf numFmtId="166" fontId="15" fillId="0" borderId="0" xfId="0" applyNumberFormat="1" applyFont="1" applyAlignment="1">
      <alignment horizontal="left"/>
    </xf>
    <xf numFmtId="0" fontId="11" fillId="0" borderId="0" xfId="330" applyAlignment="1">
      <alignment horizontal="centerContinuous"/>
    </xf>
    <xf numFmtId="0" fontId="11" fillId="0" borderId="0" xfId="330" applyFill="1" applyAlignment="1">
      <alignment horizontal="centerContinuous"/>
    </xf>
    <xf numFmtId="0" fontId="11" fillId="0" borderId="0" xfId="330"/>
    <xf numFmtId="0" fontId="11" fillId="0" borderId="0" xfId="330" applyAlignment="1">
      <alignment horizontal="center"/>
    </xf>
    <xf numFmtId="0" fontId="11" fillId="0" borderId="0" xfId="330" applyFill="1" applyAlignment="1">
      <alignment horizontal="center"/>
    </xf>
    <xf numFmtId="0" fontId="118" fillId="0" borderId="0" xfId="330" applyFont="1" applyAlignment="1">
      <alignment horizontal="center"/>
    </xf>
    <xf numFmtId="0" fontId="118" fillId="0" borderId="0" xfId="330" applyFont="1" applyFill="1" applyAlignment="1">
      <alignment horizontal="center"/>
    </xf>
    <xf numFmtId="0" fontId="11" fillId="0" borderId="0" xfId="330" quotePrefix="1" applyAlignment="1">
      <alignment horizontal="center"/>
    </xf>
    <xf numFmtId="0" fontId="11" fillId="0" borderId="0" xfId="330" quotePrefix="1" applyFill="1" applyAlignment="1">
      <alignment horizontal="center"/>
    </xf>
    <xf numFmtId="0" fontId="117" fillId="0" borderId="0" xfId="330" applyFont="1" applyAlignment="1">
      <alignment horizontal="centerContinuous"/>
    </xf>
    <xf numFmtId="2" fontId="11" fillId="0" borderId="0" xfId="330" applyNumberFormat="1" applyFill="1"/>
    <xf numFmtId="2" fontId="11" fillId="0" borderId="0" xfId="330" applyNumberFormat="1" applyFill="1" applyAlignment="1">
      <alignment horizontal="centerContinuous"/>
    </xf>
    <xf numFmtId="0" fontId="11" fillId="0" borderId="0" xfId="330" applyFill="1"/>
    <xf numFmtId="0" fontId="23" fillId="0" borderId="0" xfId="330" applyFont="1" applyFill="1" applyAlignment="1">
      <alignment horizontal="center"/>
    </xf>
    <xf numFmtId="0" fontId="23" fillId="0" borderId="0" xfId="330" applyNumberFormat="1" applyFont="1" applyFill="1" applyAlignment="1" applyProtection="1">
      <alignment horizontal="center"/>
    </xf>
    <xf numFmtId="0" fontId="23" fillId="0" borderId="0" xfId="330" applyFont="1" applyFill="1" applyAlignment="1" applyProtection="1">
      <alignment horizontal="center"/>
    </xf>
    <xf numFmtId="0" fontId="11" fillId="0" borderId="0" xfId="330" applyAlignment="1">
      <alignment horizontal="left"/>
    </xf>
    <xf numFmtId="0" fontId="15" fillId="0" borderId="0" xfId="331" applyFont="1" applyAlignment="1" applyProtection="1">
      <alignment horizontal="center"/>
    </xf>
    <xf numFmtId="0" fontId="120" fillId="0" borderId="0" xfId="330" quotePrefix="1" applyFont="1"/>
    <xf numFmtId="2" fontId="11" fillId="0" borderId="0" xfId="330" applyNumberFormat="1" applyAlignment="1">
      <alignment horizontal="right"/>
    </xf>
    <xf numFmtId="0" fontId="33" fillId="0" borderId="0" xfId="8" applyFont="1" applyAlignment="1">
      <alignment horizontal="center" vertical="center"/>
    </xf>
    <xf numFmtId="0" fontId="19" fillId="0" borderId="0" xfId="15" applyFont="1" applyFill="1" applyAlignment="1">
      <alignment horizontal="centerContinuous"/>
    </xf>
    <xf numFmtId="15" fontId="19" fillId="0" borderId="0" xfId="15" quotePrefix="1" applyNumberFormat="1" applyFont="1" applyFill="1" applyAlignment="1">
      <alignment horizontal="centerContinuous"/>
    </xf>
    <xf numFmtId="15" fontId="19" fillId="0" borderId="0" xfId="15" applyNumberFormat="1" applyFont="1" applyFill="1" applyAlignment="1">
      <alignment horizontal="centerContinuous"/>
    </xf>
    <xf numFmtId="0" fontId="28" fillId="0" borderId="0" xfId="10" applyFill="1"/>
    <xf numFmtId="0" fontId="23" fillId="0" borderId="0" xfId="10" applyFont="1" applyFill="1"/>
    <xf numFmtId="0" fontId="15" fillId="0" borderId="0" xfId="5" applyFont="1" applyFill="1" applyAlignment="1">
      <alignment horizontal="centerContinuous"/>
    </xf>
    <xf numFmtId="0" fontId="15" fillId="0" borderId="0" xfId="7" applyFont="1" applyFill="1" applyAlignment="1">
      <alignment horizontal="right"/>
    </xf>
    <xf numFmtId="174" fontId="47" fillId="0" borderId="0" xfId="89" applyNumberFormat="1" applyFont="1" applyFill="1"/>
    <xf numFmtId="0" fontId="47" fillId="0" borderId="0" xfId="7" applyFont="1" applyFill="1"/>
    <xf numFmtId="0" fontId="17" fillId="0" borderId="0" xfId="7" applyFont="1" applyFill="1" applyAlignment="1">
      <alignment horizontal="right"/>
    </xf>
    <xf numFmtId="174" fontId="15" fillId="0" borderId="0" xfId="7" applyNumberFormat="1" applyFont="1" applyFill="1"/>
    <xf numFmtId="174" fontId="48" fillId="0" borderId="0" xfId="89" applyNumberFormat="1" applyFont="1" applyFill="1"/>
    <xf numFmtId="174" fontId="15" fillId="0" borderId="0" xfId="89" applyNumberFormat="1" applyFont="1" applyFill="1"/>
    <xf numFmtId="174" fontId="38" fillId="0" borderId="0" xfId="89" applyNumberFormat="1" applyFont="1" applyFill="1"/>
    <xf numFmtId="0" fontId="19" fillId="0" borderId="0" xfId="8" applyFont="1" applyFill="1" applyAlignment="1">
      <alignment horizontal="right"/>
    </xf>
    <xf numFmtId="175" fontId="121" fillId="0" borderId="0" xfId="16" applyNumberFormat="1" applyFont="1" applyFill="1"/>
    <xf numFmtId="175" fontId="19" fillId="0" borderId="0" xfId="16" applyNumberFormat="1" applyFont="1" applyFill="1"/>
    <xf numFmtId="175" fontId="19" fillId="0" borderId="0" xfId="16" applyNumberFormat="1" applyFont="1" applyFill="1" applyBorder="1"/>
    <xf numFmtId="37" fontId="121" fillId="0" borderId="0" xfId="16" applyNumberFormat="1" applyFont="1" applyFill="1"/>
    <xf numFmtId="37" fontId="19" fillId="0" borderId="0" xfId="16" applyNumberFormat="1" applyFont="1" applyFill="1"/>
    <xf numFmtId="37" fontId="121" fillId="0" borderId="6" xfId="16" applyNumberFormat="1" applyFont="1" applyFill="1" applyBorder="1"/>
    <xf numFmtId="37" fontId="121" fillId="0" borderId="0" xfId="16" applyNumberFormat="1" applyFont="1" applyFill="1" applyBorder="1"/>
    <xf numFmtId="175" fontId="40" fillId="0" borderId="0" xfId="16" applyNumberFormat="1" applyFont="1" applyFill="1"/>
    <xf numFmtId="3" fontId="19" fillId="0" borderId="0" xfId="15" applyNumberFormat="1" applyFont="1" applyFill="1"/>
    <xf numFmtId="3" fontId="19" fillId="0" borderId="0" xfId="15" applyNumberFormat="1" applyFont="1" applyFill="1" applyBorder="1"/>
    <xf numFmtId="3" fontId="40" fillId="0" borderId="0" xfId="15" applyNumberFormat="1" applyFont="1" applyFill="1"/>
    <xf numFmtId="3" fontId="40" fillId="0" borderId="0" xfId="15" applyNumberFormat="1" applyFont="1" applyFill="1" applyBorder="1"/>
    <xf numFmtId="41" fontId="121" fillId="0" borderId="0" xfId="16" applyNumberFormat="1" applyFont="1" applyFill="1"/>
    <xf numFmtId="41" fontId="19" fillId="0" borderId="0" xfId="16" applyNumberFormat="1" applyFont="1" applyFill="1"/>
    <xf numFmtId="41" fontId="19" fillId="0" borderId="0" xfId="15" applyNumberFormat="1" applyFont="1" applyFill="1"/>
    <xf numFmtId="41" fontId="19" fillId="0" borderId="0" xfId="15" quotePrefix="1" applyNumberFormat="1" applyFont="1" applyFill="1" applyAlignment="1">
      <alignment horizontal="center"/>
    </xf>
    <xf numFmtId="41" fontId="121" fillId="0" borderId="0" xfId="15" applyNumberFormat="1" applyFont="1" applyFill="1"/>
    <xf numFmtId="41" fontId="19" fillId="0" borderId="0" xfId="16" applyNumberFormat="1" applyFont="1" applyFill="1" applyBorder="1"/>
    <xf numFmtId="41" fontId="121" fillId="0" borderId="0" xfId="16" applyNumberFormat="1" applyFont="1" applyFill="1" applyBorder="1"/>
    <xf numFmtId="41" fontId="19" fillId="0" borderId="0" xfId="15" quotePrefix="1" applyNumberFormat="1" applyFont="1" applyFill="1" applyAlignment="1"/>
    <xf numFmtId="175" fontId="40" fillId="0" borderId="0" xfId="16" applyNumberFormat="1" applyFont="1" applyFill="1" applyBorder="1"/>
    <xf numFmtId="41" fontId="50" fillId="0" borderId="0" xfId="8" applyNumberFormat="1" applyFont="1" applyFill="1"/>
    <xf numFmtId="10" fontId="23" fillId="0" borderId="0" xfId="11" applyNumberFormat="1" applyFont="1" applyFill="1"/>
    <xf numFmtId="41" fontId="23" fillId="0" borderId="0" xfId="8" applyNumberFormat="1" applyFont="1" applyFill="1"/>
    <xf numFmtId="0" fontId="23" fillId="0" borderId="0" xfId="8" quotePrefix="1" applyFont="1" applyFill="1"/>
    <xf numFmtId="41" fontId="108" fillId="0" borderId="0" xfId="8" applyNumberFormat="1" applyFont="1" applyFill="1" applyBorder="1"/>
    <xf numFmtId="10" fontId="25" fillId="0" borderId="0" xfId="11" applyNumberFormat="1" applyFont="1" applyFill="1" applyBorder="1"/>
    <xf numFmtId="0" fontId="23" fillId="0" borderId="0" xfId="8" applyFont="1" applyFill="1" applyAlignment="1">
      <alignment horizontal="center"/>
    </xf>
    <xf numFmtId="37" fontId="23" fillId="0" borderId="0" xfId="8" applyNumberFormat="1" applyFont="1" applyFill="1"/>
    <xf numFmtId="42" fontId="45" fillId="0" borderId="0" xfId="7" applyNumberFormat="1" applyFont="1" applyFill="1" applyAlignment="1">
      <alignment horizontal="left" vertical="center"/>
    </xf>
    <xf numFmtId="41" fontId="29" fillId="0" borderId="0" xfId="7" applyNumberFormat="1" applyFont="1" applyFill="1"/>
    <xf numFmtId="7" fontId="23" fillId="0" borderId="0" xfId="0" applyNumberFormat="1" applyFont="1" applyFill="1"/>
    <xf numFmtId="0" fontId="41" fillId="0" borderId="0" xfId="9" applyFont="1" applyFill="1" applyAlignment="1">
      <alignment horizontal="centerContinuous"/>
    </xf>
    <xf numFmtId="173" fontId="23" fillId="0" borderId="0" xfId="0" applyNumberFormat="1" applyFont="1" applyAlignment="1" applyProtection="1">
      <protection locked="0"/>
    </xf>
    <xf numFmtId="38" fontId="29" fillId="4" borderId="1" xfId="0" applyNumberFormat="1" applyFont="1" applyFill="1" applyBorder="1" applyProtection="1">
      <protection locked="0"/>
    </xf>
    <xf numFmtId="38" fontId="29" fillId="4" borderId="0" xfId="0" applyNumberFormat="1" applyFont="1" applyFill="1" applyBorder="1" applyProtection="1">
      <protection locked="0"/>
    </xf>
    <xf numFmtId="0" fontId="23" fillId="0" borderId="0" xfId="0" applyNumberFormat="1" applyFont="1" applyProtection="1">
      <protection locked="0"/>
    </xf>
    <xf numFmtId="37" fontId="50" fillId="4" borderId="0" xfId="0" applyNumberFormat="1" applyFont="1" applyFill="1" applyAlignment="1" applyProtection="1">
      <protection locked="0"/>
    </xf>
    <xf numFmtId="0" fontId="27" fillId="0" borderId="0" xfId="0" applyNumberFormat="1" applyFont="1" applyAlignment="1" applyProtection="1">
      <protection locked="0"/>
    </xf>
    <xf numFmtId="0" fontId="23" fillId="0" borderId="0" xfId="0" applyNumberFormat="1" applyFont="1" applyFill="1" applyProtection="1">
      <protection locked="0"/>
    </xf>
    <xf numFmtId="0" fontId="23" fillId="0" borderId="0" xfId="0" quotePrefix="1" applyNumberFormat="1" applyFont="1" applyFill="1" applyBorder="1" applyAlignment="1" applyProtection="1">
      <alignment horizontal="left"/>
      <protection locked="0"/>
    </xf>
    <xf numFmtId="0" fontId="23" fillId="0" borderId="0" xfId="0" applyNumberFormat="1" applyFont="1" applyFill="1" applyAlignment="1" applyProtection="1">
      <protection locked="0"/>
    </xf>
    <xf numFmtId="0" fontId="27" fillId="0" borderId="0" xfId="0" applyNumberFormat="1" applyFont="1" applyFill="1" applyBorder="1" applyAlignment="1" applyProtection="1">
      <protection locked="0"/>
    </xf>
    <xf numFmtId="0" fontId="23" fillId="0" borderId="0" xfId="0" applyNumberFormat="1" applyFont="1" applyAlignment="1" applyProtection="1">
      <protection locked="0"/>
    </xf>
    <xf numFmtId="0" fontId="27" fillId="0" borderId="1" xfId="0" applyNumberFormat="1" applyFont="1" applyBorder="1" applyAlignment="1" applyProtection="1">
      <alignment horizontal="center"/>
      <protection locked="0"/>
    </xf>
    <xf numFmtId="0" fontId="23" fillId="0" borderId="0" xfId="0" applyNumberFormat="1" applyFont="1" applyBorder="1" applyAlignment="1" applyProtection="1">
      <alignment horizontal="center"/>
      <protection locked="0"/>
    </xf>
    <xf numFmtId="0" fontId="23" fillId="0" borderId="1" xfId="0" applyNumberFormat="1" applyFont="1" applyBorder="1" applyAlignment="1" applyProtection="1">
      <alignment horizontal="center"/>
      <protection locked="0"/>
    </xf>
    <xf numFmtId="37" fontId="23" fillId="0" borderId="0" xfId="0" applyNumberFormat="1" applyFont="1" applyFill="1" applyAlignment="1" applyProtection="1">
      <protection locked="0"/>
    </xf>
    <xf numFmtId="0" fontId="23" fillId="0" borderId="0" xfId="0" applyNumberFormat="1" applyFont="1" applyAlignment="1" applyProtection="1">
      <alignment horizontal="left"/>
      <protection locked="0"/>
    </xf>
    <xf numFmtId="37" fontId="15" fillId="2" borderId="0" xfId="0" applyNumberFormat="1" applyFont="1" applyFill="1" applyBorder="1" applyProtection="1">
      <protection locked="0"/>
    </xf>
    <xf numFmtId="37" fontId="15" fillId="4" borderId="0" xfId="0" quotePrefix="1" applyNumberFormat="1" applyFont="1" applyFill="1" applyAlignment="1"/>
    <xf numFmtId="275" fontId="15" fillId="4" borderId="0" xfId="0" applyNumberFormat="1" applyFont="1" applyFill="1" applyAlignment="1">
      <alignment horizontal="right"/>
    </xf>
    <xf numFmtId="3" fontId="15" fillId="0" borderId="1" xfId="0" applyNumberFormat="1" applyFont="1" applyBorder="1" applyAlignment="1">
      <alignment horizontal="center"/>
    </xf>
    <xf numFmtId="42" fontId="15" fillId="0" borderId="0" xfId="0" applyNumberFormat="1" applyFont="1" applyFill="1" applyAlignment="1"/>
    <xf numFmtId="42" fontId="15" fillId="0" borderId="0" xfId="0" applyNumberFormat="1" applyFont="1" applyAlignment="1"/>
    <xf numFmtId="37" fontId="15" fillId="0" borderId="0" xfId="0" applyNumberFormat="1" applyFont="1" applyFill="1" applyAlignment="1" applyProtection="1">
      <protection locked="0"/>
    </xf>
    <xf numFmtId="3" fontId="15" fillId="0" borderId="0" xfId="0" applyNumberFormat="1" applyFont="1" applyAlignment="1"/>
    <xf numFmtId="3" fontId="15" fillId="0" borderId="1" xfId="0" applyNumberFormat="1" applyFont="1" applyBorder="1" applyAlignment="1">
      <alignment horizontal="center"/>
    </xf>
    <xf numFmtId="169" fontId="17" fillId="2" borderId="0" xfId="0" applyNumberFormat="1" applyFont="1" applyFill="1" applyAlignment="1"/>
    <xf numFmtId="37" fontId="15" fillId="0" borderId="0" xfId="0" applyNumberFormat="1" applyFont="1" applyAlignment="1"/>
    <xf numFmtId="37" fontId="15" fillId="2" borderId="1" xfId="0" applyNumberFormat="1" applyFont="1" applyFill="1" applyBorder="1" applyAlignment="1"/>
    <xf numFmtId="37" fontId="15" fillId="4" borderId="0" xfId="0" applyNumberFormat="1" applyFont="1" applyFill="1" applyAlignment="1"/>
    <xf numFmtId="37" fontId="15" fillId="4" borderId="1" xfId="0" applyNumberFormat="1" applyFont="1" applyFill="1" applyBorder="1" applyAlignment="1"/>
    <xf numFmtId="0" fontId="27" fillId="0" borderId="0" xfId="0" quotePrefix="1" applyNumberFormat="1" applyFont="1" applyAlignment="1" applyProtection="1">
      <alignment horizontal="left"/>
      <protection locked="0"/>
    </xf>
    <xf numFmtId="0" fontId="23" fillId="0" borderId="1" xfId="0" applyNumberFormat="1" applyFont="1" applyBorder="1" applyAlignment="1" applyProtection="1">
      <protection locked="0"/>
    </xf>
    <xf numFmtId="0" fontId="112" fillId="0" borderId="0" xfId="0" quotePrefix="1" applyNumberFormat="1" applyFont="1" applyFill="1" applyBorder="1" applyAlignment="1" applyProtection="1">
      <alignment horizontal="center"/>
      <protection locked="0"/>
    </xf>
    <xf numFmtId="10" fontId="15" fillId="2" borderId="0" xfId="0" applyNumberFormat="1" applyFont="1" applyFill="1" applyProtection="1">
      <protection locked="0"/>
    </xf>
    <xf numFmtId="0" fontId="15" fillId="4" borderId="0" xfId="0" applyNumberFormat="1" applyFont="1" applyFill="1" applyAlignment="1" applyProtection="1">
      <alignment horizontal="right"/>
      <protection locked="0"/>
    </xf>
    <xf numFmtId="0" fontId="17" fillId="0" borderId="0" xfId="0" applyNumberFormat="1" applyFont="1" applyFill="1" applyAlignment="1" applyProtection="1">
      <alignment horizontal="right"/>
      <protection locked="0"/>
    </xf>
    <xf numFmtId="0" fontId="17" fillId="17" borderId="9" xfId="0" applyNumberFormat="1" applyFont="1" applyFill="1" applyBorder="1" applyAlignment="1" applyProtection="1">
      <alignment horizontal="right"/>
      <protection locked="0"/>
    </xf>
    <xf numFmtId="0" fontId="17" fillId="17" borderId="5" xfId="0" applyNumberFormat="1" applyFont="1" applyFill="1" applyBorder="1" applyAlignment="1" applyProtection="1">
      <alignment horizontal="right"/>
      <protection locked="0"/>
    </xf>
    <xf numFmtId="0" fontId="27" fillId="0" borderId="15" xfId="0" applyNumberFormat="1" applyFont="1" applyFill="1" applyBorder="1" applyAlignment="1" applyProtection="1">
      <protection locked="0"/>
    </xf>
    <xf numFmtId="14" fontId="17" fillId="0" borderId="0" xfId="0" applyNumberFormat="1" applyFont="1" applyFill="1" applyAlignment="1" applyProtection="1">
      <alignment horizontal="right"/>
      <protection locked="0"/>
    </xf>
    <xf numFmtId="173" fontId="23" fillId="0" borderId="0" xfId="0" applyFont="1" applyAlignment="1" applyProtection="1">
      <protection locked="0"/>
    </xf>
    <xf numFmtId="14" fontId="17" fillId="0" borderId="0" xfId="0" applyNumberFormat="1" applyFont="1" applyFill="1" applyAlignment="1" applyProtection="1">
      <protection locked="0"/>
    </xf>
    <xf numFmtId="0" fontId="27" fillId="4" borderId="23" xfId="0" applyNumberFormat="1" applyFont="1" applyFill="1" applyBorder="1" applyAlignment="1" applyProtection="1">
      <alignment horizontal="centerContinuous"/>
      <protection locked="0"/>
    </xf>
    <xf numFmtId="173" fontId="27" fillId="4" borderId="20" xfId="0" applyFont="1" applyFill="1" applyBorder="1" applyAlignment="1" applyProtection="1">
      <alignment horizontal="centerContinuous"/>
      <protection locked="0"/>
    </xf>
    <xf numFmtId="173" fontId="27" fillId="4" borderId="22" xfId="0" applyFont="1" applyFill="1" applyBorder="1" applyAlignment="1" applyProtection="1">
      <alignment horizontal="centerContinuous"/>
      <protection locked="0"/>
    </xf>
    <xf numFmtId="3" fontId="27" fillId="0" borderId="0" xfId="0" applyNumberFormat="1" applyFont="1" applyAlignment="1" applyProtection="1">
      <alignment horizontal="center"/>
      <protection locked="0"/>
    </xf>
    <xf numFmtId="3" fontId="27" fillId="0" borderId="0" xfId="0" applyNumberFormat="1" applyFont="1" applyAlignment="1" applyProtection="1">
      <protection locked="0"/>
    </xf>
    <xf numFmtId="0" fontId="27" fillId="0" borderId="1" xfId="0" applyNumberFormat="1" applyFont="1" applyBorder="1" applyAlignment="1" applyProtection="1">
      <protection locked="0"/>
    </xf>
    <xf numFmtId="173" fontId="27" fillId="0" borderId="1" xfId="0" applyFont="1" applyBorder="1" applyAlignment="1" applyProtection="1">
      <alignment horizontal="center"/>
      <protection locked="0"/>
    </xf>
    <xf numFmtId="3" fontId="23" fillId="0" borderId="0" xfId="0" applyNumberFormat="1" applyFont="1" applyAlignment="1" applyProtection="1">
      <protection locked="0"/>
    </xf>
    <xf numFmtId="173" fontId="23" fillId="0" borderId="0" xfId="0" applyFont="1" applyBorder="1" applyAlignment="1" applyProtection="1">
      <protection locked="0"/>
    </xf>
    <xf numFmtId="42" fontId="23" fillId="0" borderId="0" xfId="0" applyNumberFormat="1" applyFont="1" applyFill="1" applyAlignment="1" applyProtection="1">
      <protection locked="0"/>
    </xf>
    <xf numFmtId="3" fontId="23" fillId="0" borderId="1" xfId="0" applyNumberFormat="1" applyFont="1" applyBorder="1" applyAlignment="1" applyProtection="1">
      <protection locked="0"/>
    </xf>
    <xf numFmtId="37" fontId="23" fillId="0" borderId="1" xfId="0" applyNumberFormat="1" applyFont="1" applyFill="1" applyBorder="1" applyAlignment="1" applyProtection="1">
      <protection locked="0"/>
    </xf>
    <xf numFmtId="37" fontId="23" fillId="0" borderId="0" xfId="0" applyNumberFormat="1" applyFont="1" applyFill="1" applyBorder="1" applyAlignment="1" applyProtection="1">
      <protection locked="0"/>
    </xf>
    <xf numFmtId="173" fontId="23" fillId="0" borderId="1" xfId="0" applyFont="1" applyBorder="1" applyAlignment="1" applyProtection="1">
      <protection locked="0"/>
    </xf>
    <xf numFmtId="0" fontId="23" fillId="0" borderId="0" xfId="0" quotePrefix="1" applyNumberFormat="1" applyFont="1" applyAlignment="1" applyProtection="1">
      <alignment horizontal="left"/>
      <protection locked="0"/>
    </xf>
    <xf numFmtId="42" fontId="23" fillId="0" borderId="0" xfId="0" applyNumberFormat="1" applyFont="1" applyAlignment="1" applyProtection="1">
      <protection locked="0"/>
    </xf>
    <xf numFmtId="37" fontId="23" fillId="0" borderId="1" xfId="0" applyNumberFormat="1" applyFont="1" applyBorder="1" applyAlignment="1" applyProtection="1">
      <protection locked="0"/>
    </xf>
    <xf numFmtId="42" fontId="23" fillId="0" borderId="2" xfId="0" applyNumberFormat="1" applyFont="1" applyBorder="1" applyAlignment="1" applyProtection="1">
      <protection locked="0"/>
    </xf>
    <xf numFmtId="3" fontId="23" fillId="0" borderId="0" xfId="0" applyNumberFormat="1" applyFont="1" applyFill="1" applyAlignment="1" applyProtection="1">
      <protection locked="0"/>
    </xf>
    <xf numFmtId="0" fontId="23" fillId="0" borderId="0" xfId="0" quotePrefix="1" applyNumberFormat="1" applyFont="1" applyFill="1" applyAlignment="1" applyProtection="1">
      <alignment horizontal="left" vertical="top" wrapText="1" indent="1"/>
      <protection locked="0"/>
    </xf>
    <xf numFmtId="0" fontId="23" fillId="0" borderId="0" xfId="0" applyNumberFormat="1" applyFont="1" applyAlignment="1" applyProtection="1">
      <alignment horizontal="left" indent="1"/>
      <protection locked="0"/>
    </xf>
    <xf numFmtId="0" fontId="23" fillId="0" borderId="0" xfId="0" applyNumberFormat="1" applyFont="1" applyFill="1" applyAlignment="1" applyProtection="1">
      <alignment horizontal="left" indent="1"/>
      <protection locked="0"/>
    </xf>
    <xf numFmtId="37" fontId="50" fillId="4" borderId="0" xfId="0" applyNumberFormat="1" applyFont="1" applyFill="1" applyBorder="1" applyAlignment="1" applyProtection="1">
      <protection locked="0"/>
    </xf>
    <xf numFmtId="173" fontId="23" fillId="0" borderId="0" xfId="0" applyFont="1" applyFill="1" applyAlignment="1" applyProtection="1">
      <protection locked="0"/>
    </xf>
    <xf numFmtId="37" fontId="23" fillId="0" borderId="0" xfId="0" applyNumberFormat="1" applyFont="1" applyAlignment="1" applyProtection="1">
      <protection locked="0"/>
    </xf>
    <xf numFmtId="0" fontId="23" fillId="0" borderId="0" xfId="0" applyNumberFormat="1" applyFont="1" applyAlignment="1" applyProtection="1">
      <alignment horizontal="left" indent="3"/>
      <protection locked="0"/>
    </xf>
    <xf numFmtId="37" fontId="50" fillId="0" borderId="0" xfId="0" applyNumberFormat="1" applyFont="1" applyFill="1" applyAlignment="1" applyProtection="1">
      <protection locked="0"/>
    </xf>
    <xf numFmtId="173" fontId="27" fillId="0" borderId="0" xfId="0" applyFont="1" applyAlignment="1" applyProtection="1">
      <alignment horizontal="center"/>
      <protection locked="0"/>
    </xf>
    <xf numFmtId="275" fontId="124" fillId="4" borderId="0" xfId="0" applyNumberFormat="1" applyFont="1" applyFill="1" applyAlignment="1" applyProtection="1">
      <alignment horizontal="right"/>
      <protection locked="0"/>
    </xf>
    <xf numFmtId="275" fontId="50" fillId="0" borderId="0" xfId="0" applyNumberFormat="1" applyFont="1" applyFill="1" applyAlignment="1" applyProtection="1">
      <alignment horizontal="right"/>
      <protection locked="0"/>
    </xf>
    <xf numFmtId="173" fontId="27" fillId="0" borderId="0" xfId="0" applyFont="1" applyFill="1" applyAlignment="1" applyProtection="1">
      <alignment horizontal="center"/>
      <protection locked="0"/>
    </xf>
    <xf numFmtId="0" fontId="23" fillId="0" borderId="0" xfId="0" quotePrefix="1" applyNumberFormat="1" applyFont="1" applyFill="1" applyAlignment="1" applyProtection="1">
      <alignment vertical="top" wrapText="1"/>
      <protection locked="0"/>
    </xf>
    <xf numFmtId="0" fontId="23" fillId="0" borderId="0" xfId="0" applyNumberFormat="1" applyFont="1" applyFill="1" applyAlignment="1" applyProtection="1">
      <alignment vertical="top" wrapText="1"/>
      <protection locked="0"/>
    </xf>
    <xf numFmtId="0" fontId="23" fillId="0" borderId="0" xfId="0" applyNumberFormat="1" applyFont="1" applyFill="1" applyBorder="1" applyProtection="1">
      <protection locked="0"/>
    </xf>
    <xf numFmtId="3" fontId="23" fillId="0" borderId="0" xfId="0" applyNumberFormat="1" applyFont="1" applyBorder="1" applyAlignment="1" applyProtection="1">
      <protection locked="0"/>
    </xf>
    <xf numFmtId="3" fontId="23" fillId="0" borderId="1" xfId="0" applyNumberFormat="1" applyFont="1" applyBorder="1" applyAlignment="1" applyProtection="1">
      <alignment horizontal="center"/>
      <protection locked="0"/>
    </xf>
    <xf numFmtId="3" fontId="23" fillId="0" borderId="0" xfId="0" applyNumberFormat="1" applyFont="1" applyAlignment="1" applyProtection="1">
      <alignment horizontal="center"/>
      <protection locked="0"/>
    </xf>
    <xf numFmtId="37" fontId="50" fillId="0" borderId="0" xfId="0" applyNumberFormat="1" applyFont="1" applyAlignment="1" applyProtection="1">
      <protection locked="0"/>
    </xf>
    <xf numFmtId="0" fontId="23" fillId="0" borderId="0" xfId="0" quotePrefix="1" applyNumberFormat="1" applyFont="1" applyFill="1" applyBorder="1" applyAlignment="1" applyProtection="1">
      <alignment horizontal="left" vertical="top" wrapText="1" indent="1"/>
      <protection locked="0"/>
    </xf>
    <xf numFmtId="0" fontId="23" fillId="0" borderId="0" xfId="0" applyNumberFormat="1" applyFont="1" applyBorder="1" applyProtection="1">
      <protection locked="0"/>
    </xf>
    <xf numFmtId="170" fontId="125" fillId="0" borderId="0" xfId="0" applyNumberFormat="1" applyFont="1" applyFill="1" applyBorder="1" applyProtection="1">
      <protection locked="0"/>
    </xf>
    <xf numFmtId="173" fontId="126" fillId="0" borderId="23" xfId="0" applyFont="1" applyBorder="1" applyAlignment="1" applyProtection="1">
      <protection locked="0"/>
    </xf>
    <xf numFmtId="173" fontId="23" fillId="0" borderId="20" xfId="0" applyFont="1" applyBorder="1" applyAlignment="1" applyProtection="1">
      <protection locked="0"/>
    </xf>
    <xf numFmtId="10" fontId="27" fillId="0" borderId="20" xfId="0" applyNumberFormat="1" applyFont="1" applyBorder="1" applyAlignment="1" applyProtection="1">
      <protection locked="0"/>
    </xf>
    <xf numFmtId="173" fontId="23" fillId="0" borderId="16" xfId="0" applyFont="1" applyBorder="1" applyAlignment="1" applyProtection="1">
      <protection locked="0"/>
    </xf>
    <xf numFmtId="241" fontId="126" fillId="4" borderId="30" xfId="0" applyNumberFormat="1" applyFont="1" applyFill="1" applyBorder="1" applyAlignment="1" applyProtection="1">
      <protection locked="0"/>
    </xf>
    <xf numFmtId="173" fontId="27" fillId="0" borderId="0" xfId="0" applyFont="1" applyAlignment="1" applyProtection="1">
      <protection locked="0"/>
    </xf>
    <xf numFmtId="0" fontId="15" fillId="0" borderId="0" xfId="7" applyFont="1" applyFill="1" applyAlignment="1">
      <alignment horizontal="left" wrapText="1"/>
    </xf>
    <xf numFmtId="173" fontId="20" fillId="0" borderId="0" xfId="0" applyFont="1" applyBorder="1" applyAlignment="1"/>
    <xf numFmtId="175" fontId="0" fillId="0" borderId="0" xfId="327" applyNumberFormat="1" applyFont="1" applyBorder="1" applyAlignment="1"/>
    <xf numFmtId="175" fontId="46" fillId="4" borderId="0" xfId="327" applyNumberFormat="1" applyFont="1" applyFill="1" applyAlignment="1"/>
    <xf numFmtId="174" fontId="46" fillId="4" borderId="0" xfId="329" applyNumberFormat="1" applyFont="1" applyFill="1" applyAlignment="1"/>
    <xf numFmtId="174" fontId="0" fillId="4" borderId="28" xfId="329" applyNumberFormat="1" applyFont="1" applyFill="1" applyBorder="1" applyAlignment="1"/>
    <xf numFmtId="10" fontId="47" fillId="4" borderId="0" xfId="0" applyNumberFormat="1" applyFont="1" applyFill="1" applyAlignment="1">
      <alignment horizontal="right"/>
    </xf>
    <xf numFmtId="174" fontId="46" fillId="4" borderId="28" xfId="329" applyNumberFormat="1" applyFont="1" applyFill="1" applyBorder="1" applyAlignment="1"/>
    <xf numFmtId="0" fontId="23" fillId="0" borderId="0" xfId="10" applyFont="1" applyAlignment="1">
      <alignment horizontal="left"/>
    </xf>
    <xf numFmtId="0" fontId="23" fillId="0" borderId="0" xfId="10" applyFont="1" applyAlignment="1">
      <alignment horizontal="left" vertical="center" wrapText="1"/>
    </xf>
    <xf numFmtId="42" fontId="23" fillId="0" borderId="0" xfId="0" applyNumberFormat="1" applyFont="1" applyFill="1" applyAlignment="1" applyProtection="1"/>
    <xf numFmtId="37" fontId="23" fillId="0" borderId="0" xfId="0" applyNumberFormat="1" applyFont="1" applyFill="1" applyAlignment="1" applyProtection="1"/>
    <xf numFmtId="42" fontId="23" fillId="0" borderId="0" xfId="0" applyNumberFormat="1" applyFont="1" applyFill="1" applyBorder="1" applyProtection="1"/>
    <xf numFmtId="173" fontId="23" fillId="0" borderId="0" xfId="0" applyFont="1" applyFill="1" applyAlignment="1" applyProtection="1"/>
    <xf numFmtId="175" fontId="19" fillId="0" borderId="0" xfId="15" applyNumberFormat="1" applyFont="1" applyFill="1" applyBorder="1"/>
    <xf numFmtId="3" fontId="23" fillId="0" borderId="0" xfId="0" applyNumberFormat="1" applyFont="1" applyFill="1" applyAlignment="1" applyProtection="1">
      <alignment vertical="top"/>
      <protection locked="0"/>
    </xf>
    <xf numFmtId="37" fontId="50" fillId="4" borderId="0" xfId="0" applyNumberFormat="1" applyFont="1" applyFill="1" applyAlignment="1" applyProtection="1">
      <alignment vertical="top"/>
      <protection locked="0"/>
    </xf>
    <xf numFmtId="173" fontId="23" fillId="0" borderId="0" xfId="0" applyFont="1" applyAlignment="1" applyProtection="1">
      <alignment vertical="top"/>
      <protection locked="0"/>
    </xf>
    <xf numFmtId="0" fontId="27" fillId="0" borderId="29" xfId="0" applyNumberFormat="1" applyFont="1" applyBorder="1" applyAlignment="1" applyProtection="1">
      <protection locked="0"/>
    </xf>
    <xf numFmtId="3" fontId="23" fillId="0" borderId="29" xfId="0" applyNumberFormat="1" applyFont="1" applyBorder="1" applyAlignment="1" applyProtection="1">
      <protection locked="0"/>
    </xf>
    <xf numFmtId="0" fontId="27" fillId="0" borderId="29" xfId="0" applyNumberFormat="1" applyFont="1" applyFill="1" applyBorder="1" applyAlignment="1" applyProtection="1">
      <protection locked="0"/>
    </xf>
    <xf numFmtId="173" fontId="23" fillId="0" borderId="29" xfId="0" applyFont="1" applyFill="1" applyBorder="1" applyAlignment="1" applyProtection="1">
      <protection locked="0"/>
    </xf>
    <xf numFmtId="0" fontId="127" fillId="0" borderId="0" xfId="10" applyFont="1" applyFill="1" applyAlignment="1">
      <alignment horizontal="left"/>
    </xf>
    <xf numFmtId="0" fontId="127" fillId="0" borderId="0" xfId="10" applyFont="1" applyFill="1" applyAlignment="1">
      <alignment horizontal="center"/>
    </xf>
    <xf numFmtId="0" fontId="34" fillId="0" borderId="0" xfId="10" applyFont="1" applyFill="1" applyAlignment="1">
      <alignment horizontal="center"/>
    </xf>
    <xf numFmtId="0" fontId="23" fillId="0" borderId="0" xfId="0" quotePrefix="1" applyNumberFormat="1" applyFont="1" applyFill="1" applyAlignment="1" applyProtection="1">
      <alignment horizontal="left" vertical="top" wrapText="1"/>
      <protection locked="0"/>
    </xf>
    <xf numFmtId="0" fontId="33" fillId="0" borderId="0" xfId="0" applyNumberFormat="1" applyFont="1" applyFill="1" applyAlignment="1" applyProtection="1">
      <protection locked="0"/>
    </xf>
    <xf numFmtId="0" fontId="23" fillId="0" borderId="0" xfId="0" applyNumberFormat="1" applyFont="1" applyFill="1" applyAlignment="1" applyProtection="1">
      <alignment horizontal="center"/>
      <protection locked="0"/>
    </xf>
    <xf numFmtId="174" fontId="15" fillId="4" borderId="0" xfId="89" applyNumberFormat="1" applyFont="1" applyFill="1" applyAlignment="1"/>
    <xf numFmtId="0" fontId="17" fillId="0" borderId="0" xfId="7" applyFont="1" applyAlignment="1">
      <alignment horizontal="center"/>
    </xf>
    <xf numFmtId="37" fontId="15" fillId="0" borderId="0" xfId="0" applyNumberFormat="1" applyFont="1" applyFill="1" applyBorder="1" applyAlignment="1"/>
    <xf numFmtId="174" fontId="46" fillId="0" borderId="28" xfId="329" applyNumberFormat="1" applyFont="1" applyFill="1" applyBorder="1" applyAlignment="1"/>
    <xf numFmtId="174" fontId="0" fillId="0" borderId="0" xfId="329" applyNumberFormat="1" applyFont="1" applyFill="1" applyBorder="1" applyAlignment="1"/>
    <xf numFmtId="174" fontId="0" fillId="0" borderId="28" xfId="329" applyNumberFormat="1" applyFont="1" applyFill="1" applyBorder="1" applyAlignment="1"/>
    <xf numFmtId="0" fontId="37" fillId="0" borderId="0" xfId="7" quotePrefix="1" applyFont="1" applyFill="1" applyAlignment="1">
      <alignment horizontal="center"/>
    </xf>
    <xf numFmtId="42" fontId="47" fillId="0" borderId="0" xfId="7" applyNumberFormat="1" applyFont="1" applyFill="1" applyProtection="1">
      <protection locked="0"/>
    </xf>
    <xf numFmtId="0" fontId="47" fillId="0" borderId="0" xfId="7" applyFont="1" applyFill="1" applyProtection="1">
      <protection locked="0"/>
    </xf>
    <xf numFmtId="42" fontId="30" fillId="0" borderId="0" xfId="7" applyNumberFormat="1" applyFont="1" applyFill="1" applyProtection="1">
      <protection locked="0"/>
    </xf>
    <xf numFmtId="0" fontId="15" fillId="0" borderId="0" xfId="7" applyFont="1" applyFill="1" applyProtection="1">
      <protection locked="0"/>
    </xf>
    <xf numFmtId="41" fontId="30" fillId="0" borderId="0" xfId="7" applyNumberFormat="1" applyFont="1" applyFill="1" applyProtection="1">
      <protection locked="0"/>
    </xf>
    <xf numFmtId="176" fontId="48" fillId="0" borderId="0" xfId="7" applyNumberFormat="1" applyFont="1" applyFill="1" applyProtection="1">
      <protection locked="0"/>
    </xf>
    <xf numFmtId="176" fontId="113" fillId="0" borderId="0" xfId="7" applyNumberFormat="1" applyFont="1" applyFill="1" applyProtection="1">
      <protection locked="0"/>
    </xf>
    <xf numFmtId="41" fontId="113" fillId="0" borderId="0" xfId="7" applyNumberFormat="1" applyFont="1" applyFill="1" applyProtection="1">
      <protection locked="0"/>
    </xf>
    <xf numFmtId="0" fontId="23" fillId="0" borderId="0" xfId="0" applyNumberFormat="1" applyFont="1" applyFill="1" applyBorder="1" applyAlignment="1" applyProtection="1">
      <alignment vertical="top"/>
      <protection locked="0"/>
    </xf>
    <xf numFmtId="173" fontId="16" fillId="0" borderId="0" xfId="0" applyFont="1" applyAlignment="1"/>
    <xf numFmtId="37" fontId="15" fillId="0" borderId="0" xfId="6" applyNumberFormat="1" applyFont="1"/>
    <xf numFmtId="0" fontId="47" fillId="0" borderId="0" xfId="6" applyFont="1"/>
    <xf numFmtId="37" fontId="47" fillId="0" borderId="0" xfId="6" applyNumberFormat="1" applyFont="1"/>
    <xf numFmtId="37" fontId="47" fillId="0" borderId="0" xfId="6" applyNumberFormat="1" applyFont="1" applyFill="1"/>
    <xf numFmtId="37" fontId="23" fillId="0" borderId="0" xfId="0" applyNumberFormat="1" applyFont="1" applyFill="1" applyBorder="1" applyAlignment="1" applyProtection="1"/>
    <xf numFmtId="3" fontId="15" fillId="0" borderId="0" xfId="0" applyNumberFormat="1" applyFont="1" applyAlignment="1"/>
    <xf numFmtId="173" fontId="130" fillId="0" borderId="0" xfId="0" applyFont="1" applyAlignment="1"/>
    <xf numFmtId="41" fontId="48" fillId="0" borderId="0" xfId="6" applyNumberFormat="1" applyFont="1" applyFill="1" applyProtection="1">
      <protection locked="0"/>
    </xf>
    <xf numFmtId="37" fontId="23" fillId="0" borderId="1" xfId="0" applyNumberFormat="1" applyFont="1" applyFill="1" applyBorder="1" applyAlignment="1" applyProtection="1"/>
    <xf numFmtId="42" fontId="23" fillId="0" borderId="2" xfId="0" applyNumberFormat="1" applyFont="1" applyFill="1" applyBorder="1" applyAlignment="1" applyProtection="1"/>
    <xf numFmtId="3" fontId="23" fillId="0" borderId="0" xfId="0" applyNumberFormat="1" applyFont="1" applyFill="1" applyAlignment="1" applyProtection="1"/>
    <xf numFmtId="3" fontId="23" fillId="0" borderId="29" xfId="0" applyNumberFormat="1" applyFont="1" applyFill="1" applyBorder="1" applyAlignment="1" applyProtection="1"/>
    <xf numFmtId="37" fontId="23" fillId="0" borderId="0" xfId="0" applyNumberFormat="1" applyFont="1" applyFill="1" applyAlignment="1" applyProtection="1">
      <alignment vertical="top"/>
    </xf>
    <xf numFmtId="3" fontId="27" fillId="0" borderId="0" xfId="0" applyNumberFormat="1" applyFont="1" applyFill="1" applyAlignment="1" applyProtection="1">
      <alignment horizontal="center"/>
    </xf>
    <xf numFmtId="3" fontId="24" fillId="0" borderId="0" xfId="0" applyNumberFormat="1" applyFont="1" applyFill="1" applyAlignment="1" applyProtection="1">
      <alignment horizontal="center"/>
    </xf>
    <xf numFmtId="275" fontId="23" fillId="16" borderId="0" xfId="0" applyNumberFormat="1" applyFont="1" applyFill="1" applyAlignment="1" applyProtection="1">
      <alignment horizontal="right"/>
    </xf>
    <xf numFmtId="275" fontId="33" fillId="16" borderId="0" xfId="0" applyNumberFormat="1" applyFont="1" applyFill="1" applyAlignment="1" applyProtection="1">
      <alignment horizontal="right"/>
    </xf>
    <xf numFmtId="275" fontId="23" fillId="0" borderId="0" xfId="0" applyNumberFormat="1" applyFont="1" applyFill="1" applyAlignment="1" applyProtection="1">
      <alignment horizontal="right"/>
    </xf>
    <xf numFmtId="0" fontId="23" fillId="0" borderId="0" xfId="0" applyNumberFormat="1" applyFont="1" applyFill="1" applyProtection="1"/>
    <xf numFmtId="37" fontId="23" fillId="0" borderId="0" xfId="0" applyNumberFormat="1" applyFont="1" applyFill="1" applyBorder="1" applyAlignment="1" applyProtection="1">
      <alignment vertical="top"/>
    </xf>
    <xf numFmtId="173" fontId="23" fillId="0" borderId="29" xfId="0" applyFont="1" applyFill="1" applyBorder="1" applyAlignment="1" applyProtection="1"/>
    <xf numFmtId="3" fontId="23" fillId="0" borderId="1" xfId="0" applyNumberFormat="1" applyFont="1" applyFill="1" applyBorder="1" applyAlignment="1" applyProtection="1">
      <alignment horizontal="center"/>
    </xf>
    <xf numFmtId="3" fontId="23" fillId="0" borderId="0" xfId="0" applyNumberFormat="1" applyFont="1" applyFill="1" applyAlignment="1" applyProtection="1">
      <alignment horizontal="center"/>
    </xf>
    <xf numFmtId="37" fontId="23" fillId="0" borderId="0" xfId="0" quotePrefix="1" applyNumberFormat="1" applyFont="1" applyFill="1" applyAlignment="1" applyProtection="1"/>
    <xf numFmtId="37" fontId="23" fillId="0" borderId="0" xfId="0" applyNumberFormat="1" applyFont="1" applyFill="1" applyBorder="1" applyProtection="1"/>
    <xf numFmtId="0" fontId="23" fillId="0" borderId="1" xfId="0" applyNumberFormat="1" applyFont="1" applyFill="1" applyBorder="1" applyAlignment="1" applyProtection="1">
      <alignment horizontal="center"/>
    </xf>
    <xf numFmtId="0" fontId="23" fillId="0" borderId="0" xfId="0" applyNumberFormat="1" applyFont="1" applyFill="1" applyAlignment="1" applyProtection="1"/>
    <xf numFmtId="38" fontId="23" fillId="0" borderId="0" xfId="0" applyNumberFormat="1" applyFont="1" applyFill="1" applyBorder="1" applyProtection="1"/>
    <xf numFmtId="38" fontId="23" fillId="0" borderId="1" xfId="0" applyNumberFormat="1" applyFont="1" applyFill="1" applyBorder="1" applyProtection="1"/>
    <xf numFmtId="0" fontId="23" fillId="0" borderId="0" xfId="0" applyNumberFormat="1" applyFont="1" applyFill="1" applyAlignment="1" applyProtection="1">
      <alignment horizontal="left"/>
    </xf>
    <xf numFmtId="10" fontId="27" fillId="0" borderId="22" xfId="0" applyNumberFormat="1" applyFont="1" applyBorder="1" applyAlignment="1" applyProtection="1"/>
    <xf numFmtId="38" fontId="23" fillId="0" borderId="25" xfId="0" applyNumberFormat="1" applyFont="1" applyFill="1" applyBorder="1" applyProtection="1"/>
    <xf numFmtId="38" fontId="23" fillId="0" borderId="27" xfId="0" applyNumberFormat="1" applyFont="1" applyFill="1" applyBorder="1" applyProtection="1"/>
    <xf numFmtId="0" fontId="40" fillId="0" borderId="0" xfId="9" applyFont="1" applyFill="1" applyAlignment="1">
      <alignment horizontal="center"/>
    </xf>
    <xf numFmtId="0" fontId="126" fillId="0" borderId="0" xfId="0" applyNumberFormat="1" applyFont="1" applyAlignment="1" applyProtection="1">
      <protection locked="0"/>
    </xf>
    <xf numFmtId="0" fontId="23" fillId="0" borderId="0" xfId="0" applyNumberFormat="1" applyFont="1" applyAlignment="1" applyProtection="1">
      <alignment horizontal="right"/>
    </xf>
    <xf numFmtId="173" fontId="39" fillId="0" borderId="0" xfId="0" applyFont="1" applyAlignment="1" applyProtection="1">
      <alignment horizontal="centerContinuous"/>
    </xf>
    <xf numFmtId="0" fontId="23" fillId="0" borderId="0" xfId="8" applyFont="1" applyAlignment="1" applyProtection="1">
      <alignment horizontal="centerContinuous"/>
    </xf>
    <xf numFmtId="0" fontId="23" fillId="0" borderId="0" xfId="8" applyFont="1" applyProtection="1"/>
    <xf numFmtId="0" fontId="23" fillId="0" borderId="0" xfId="8" applyFont="1" applyAlignment="1" applyProtection="1">
      <alignment horizontal="right"/>
    </xf>
    <xf numFmtId="0" fontId="27" fillId="0" borderId="0" xfId="8" applyFont="1" applyAlignment="1" applyProtection="1">
      <alignment horizontal="centerContinuous"/>
    </xf>
    <xf numFmtId="0" fontId="15" fillId="0" borderId="0" xfId="0" applyNumberFormat="1" applyFont="1" applyAlignment="1" applyProtection="1">
      <alignment horizontal="right"/>
    </xf>
    <xf numFmtId="173" fontId="15" fillId="0" borderId="0" xfId="0" applyFont="1" applyAlignment="1" applyProtection="1">
      <alignment horizontal="centerContinuous"/>
    </xf>
    <xf numFmtId="0" fontId="15" fillId="0" borderId="0" xfId="8" applyFont="1" applyAlignment="1" applyProtection="1">
      <alignment horizontal="right"/>
    </xf>
    <xf numFmtId="173" fontId="15" fillId="0" borderId="0" xfId="0" applyFont="1" applyAlignment="1" applyProtection="1"/>
    <xf numFmtId="173" fontId="17" fillId="0" borderId="0" xfId="0" applyFont="1" applyAlignment="1" applyProtection="1">
      <alignment horizontal="centerContinuous"/>
    </xf>
    <xf numFmtId="0" fontId="28" fillId="0" borderId="0" xfId="6" applyAlignment="1" applyProtection="1">
      <alignment horizontal="centerContinuous"/>
    </xf>
    <xf numFmtId="0" fontId="28" fillId="0" borderId="0" xfId="6" applyProtection="1"/>
    <xf numFmtId="0" fontId="17" fillId="0" borderId="0" xfId="5" applyFont="1" applyBorder="1" applyAlignment="1" applyProtection="1">
      <alignment horizontal="center"/>
    </xf>
    <xf numFmtId="0" fontId="15" fillId="0" borderId="0" xfId="7" applyFont="1" applyProtection="1"/>
    <xf numFmtId="0" fontId="19" fillId="0" borderId="0" xfId="0" applyNumberFormat="1" applyFont="1" applyAlignment="1" applyProtection="1">
      <alignment horizontal="right"/>
    </xf>
    <xf numFmtId="0" fontId="17" fillId="0" borderId="8" xfId="7" applyFont="1" applyBorder="1" applyAlignment="1">
      <alignment horizontal="center" vertical="center"/>
    </xf>
    <xf numFmtId="0" fontId="25" fillId="0" borderId="0" xfId="8" quotePrefix="1" applyFont="1" applyBorder="1" applyAlignment="1">
      <alignment horizontal="center"/>
    </xf>
    <xf numFmtId="42" fontId="45" fillId="0" borderId="0" xfId="7" applyNumberFormat="1" applyFont="1" applyAlignment="1">
      <alignment horizontal="left"/>
    </xf>
    <xf numFmtId="277" fontId="15" fillId="0" borderId="0" xfId="0" applyNumberFormat="1" applyFont="1" applyFill="1" applyAlignment="1">
      <alignment horizontal="right"/>
    </xf>
    <xf numFmtId="173" fontId="15" fillId="0" borderId="0" xfId="0" applyFont="1" applyFill="1" applyAlignment="1">
      <alignment horizontal="center"/>
    </xf>
    <xf numFmtId="3" fontId="47" fillId="0" borderId="0" xfId="0" applyNumberFormat="1" applyFont="1" applyAlignment="1"/>
    <xf numFmtId="0" fontId="47" fillId="0" borderId="0" xfId="0" applyNumberFormat="1" applyFont="1"/>
    <xf numFmtId="0" fontId="47" fillId="0" borderId="0" xfId="0" applyNumberFormat="1" applyFont="1" applyAlignment="1">
      <alignment wrapText="1"/>
    </xf>
    <xf numFmtId="3" fontId="47" fillId="0" borderId="0" xfId="0" applyNumberFormat="1" applyFont="1" applyFill="1" applyAlignment="1"/>
    <xf numFmtId="173" fontId="47" fillId="0" borderId="0" xfId="0" applyFont="1" applyAlignment="1"/>
    <xf numFmtId="3" fontId="47" fillId="0" borderId="1" xfId="0" applyNumberFormat="1" applyFont="1" applyBorder="1" applyAlignment="1"/>
    <xf numFmtId="173" fontId="0" fillId="0" borderId="0" xfId="0" applyAlignment="1"/>
    <xf numFmtId="0" fontId="15" fillId="0" borderId="0" xfId="0" applyNumberFormat="1" applyFont="1" applyAlignment="1"/>
    <xf numFmtId="173" fontId="15" fillId="0" borderId="0" xfId="0" applyFont="1" applyAlignment="1"/>
    <xf numFmtId="0" fontId="15" fillId="0" borderId="0" xfId="0" applyNumberFormat="1" applyFont="1" applyAlignment="1" applyProtection="1">
      <protection locked="0"/>
    </xf>
    <xf numFmtId="0" fontId="15" fillId="0" borderId="0" xfId="0" quotePrefix="1" applyNumberFormat="1" applyFont="1" applyAlignment="1" applyProtection="1">
      <alignment horizontal="left"/>
      <protection locked="0"/>
    </xf>
    <xf numFmtId="0" fontId="15" fillId="0" borderId="0" xfId="0" quotePrefix="1" applyNumberFormat="1" applyFont="1" applyAlignment="1">
      <alignment horizontal="left"/>
    </xf>
    <xf numFmtId="173" fontId="0" fillId="0" borderId="0" xfId="0" applyAlignment="1"/>
    <xf numFmtId="0" fontId="15" fillId="0" borderId="0" xfId="0" applyNumberFormat="1" applyFont="1" applyAlignment="1"/>
    <xf numFmtId="173" fontId="15" fillId="0" borderId="0" xfId="0" applyFont="1" applyAlignment="1"/>
    <xf numFmtId="164" fontId="15" fillId="0" borderId="0" xfId="0" applyNumberFormat="1" applyFont="1" applyAlignment="1">
      <alignment horizontal="left"/>
    </xf>
    <xf numFmtId="164" fontId="15" fillId="0" borderId="0" xfId="0" applyNumberFormat="1" applyFont="1" applyAlignment="1" applyProtection="1">
      <alignment horizontal="left"/>
      <protection locked="0"/>
    </xf>
    <xf numFmtId="173" fontId="15" fillId="0" borderId="0" xfId="0" applyFont="1" applyFill="1" applyAlignment="1"/>
    <xf numFmtId="0" fontId="15" fillId="0" borderId="0" xfId="0" applyNumberFormat="1" applyFont="1" applyAlignment="1">
      <alignment horizontal="left" indent="1"/>
    </xf>
    <xf numFmtId="0" fontId="15" fillId="0" borderId="0" xfId="0" applyNumberFormat="1" applyFont="1" applyAlignment="1">
      <alignment horizontal="left" indent="3"/>
    </xf>
    <xf numFmtId="0" fontId="15" fillId="0" borderId="0" xfId="0" quotePrefix="1" applyNumberFormat="1" applyFont="1" applyFill="1" applyAlignment="1">
      <alignment horizontal="left" indent="1"/>
    </xf>
    <xf numFmtId="0" fontId="15" fillId="0" borderId="0" xfId="0" quotePrefix="1" applyNumberFormat="1" applyFont="1" applyAlignment="1">
      <alignment horizontal="left"/>
    </xf>
    <xf numFmtId="0" fontId="15" fillId="0" borderId="0" xfId="0" applyNumberFormat="1" applyFont="1" applyFill="1" applyAlignment="1">
      <alignment horizontal="left" indent="1"/>
    </xf>
    <xf numFmtId="0" fontId="15" fillId="0" borderId="0" xfId="0" applyNumberFormat="1" applyFont="1" applyFill="1" applyAlignment="1"/>
    <xf numFmtId="173" fontId="0" fillId="0" borderId="0" xfId="0" applyAlignment="1"/>
    <xf numFmtId="0" fontId="15" fillId="0" borderId="0" xfId="0" applyNumberFormat="1" applyFont="1" applyAlignment="1"/>
    <xf numFmtId="173" fontId="15" fillId="0" borderId="0" xfId="0" applyFont="1" applyAlignment="1"/>
    <xf numFmtId="164" fontId="15" fillId="0" borderId="0" xfId="0" applyNumberFormat="1" applyFont="1" applyAlignment="1">
      <alignment horizontal="left"/>
    </xf>
    <xf numFmtId="164" fontId="15" fillId="0" borderId="0" xfId="0" applyNumberFormat="1" applyFont="1" applyAlignment="1" applyProtection="1">
      <alignment horizontal="left"/>
      <protection locked="0"/>
    </xf>
    <xf numFmtId="173" fontId="15" fillId="0" borderId="0" xfId="0" applyFont="1" applyFill="1" applyAlignment="1"/>
    <xf numFmtId="0" fontId="15" fillId="0" borderId="0" xfId="0" applyNumberFormat="1" applyFont="1" applyAlignment="1">
      <alignment horizontal="left" indent="1"/>
    </xf>
    <xf numFmtId="0" fontId="15" fillId="0" borderId="0" xfId="0" applyNumberFormat="1" applyFont="1" applyAlignment="1">
      <alignment horizontal="left" indent="3"/>
    </xf>
    <xf numFmtId="0" fontId="15" fillId="0" borderId="0" xfId="0" quotePrefix="1" applyNumberFormat="1" applyFont="1" applyFill="1" applyAlignment="1">
      <alignment horizontal="left" indent="1"/>
    </xf>
    <xf numFmtId="0" fontId="15" fillId="0" borderId="0" xfId="0" quotePrefix="1" applyNumberFormat="1" applyFont="1" applyAlignment="1">
      <alignment horizontal="left"/>
    </xf>
    <xf numFmtId="0" fontId="15" fillId="0" borderId="0" xfId="0" applyNumberFormat="1" applyFont="1" applyFill="1" applyAlignment="1">
      <alignment horizontal="left" indent="1"/>
    </xf>
    <xf numFmtId="0" fontId="15" fillId="0" borderId="0" xfId="0" applyNumberFormat="1" applyFont="1" applyFill="1" applyAlignment="1"/>
    <xf numFmtId="173" fontId="0" fillId="0" borderId="0" xfId="0" applyAlignment="1"/>
    <xf numFmtId="0" fontId="15" fillId="0" borderId="0" xfId="0" applyNumberFormat="1" applyFont="1" applyAlignment="1"/>
    <xf numFmtId="173" fontId="15" fillId="0" borderId="0" xfId="0" applyFont="1" applyAlignment="1"/>
    <xf numFmtId="164" fontId="15" fillId="0" borderId="0" xfId="0" applyNumberFormat="1" applyFont="1" applyAlignment="1">
      <alignment horizontal="left"/>
    </xf>
    <xf numFmtId="164" fontId="15" fillId="0" borderId="0" xfId="0" applyNumberFormat="1" applyFont="1" applyAlignment="1" applyProtection="1">
      <alignment horizontal="left"/>
      <protection locked="0"/>
    </xf>
    <xf numFmtId="173" fontId="15" fillId="0" borderId="0" xfId="0" applyFont="1" applyFill="1" applyAlignment="1"/>
    <xf numFmtId="0" fontId="15" fillId="0" borderId="0" xfId="0" applyNumberFormat="1" applyFont="1" applyAlignment="1">
      <alignment horizontal="left" indent="1"/>
    </xf>
    <xf numFmtId="0" fontId="15" fillId="0" borderId="0" xfId="0" applyNumberFormat="1" applyFont="1" applyAlignment="1">
      <alignment horizontal="left" indent="3"/>
    </xf>
    <xf numFmtId="0" fontId="15" fillId="0" borderId="0" xfId="0" quotePrefix="1" applyNumberFormat="1" applyFont="1" applyFill="1" applyAlignment="1">
      <alignment horizontal="left" indent="1"/>
    </xf>
    <xf numFmtId="0" fontId="15" fillId="0" borderId="0" xfId="0" quotePrefix="1" applyNumberFormat="1" applyFont="1" applyAlignment="1">
      <alignment horizontal="left"/>
    </xf>
    <xf numFmtId="0" fontId="15" fillId="0" borderId="0" xfId="0" applyNumberFormat="1" applyFont="1" applyFill="1" applyAlignment="1">
      <alignment horizontal="left" indent="1"/>
    </xf>
    <xf numFmtId="0" fontId="15" fillId="0" borderId="0" xfId="0" applyNumberFormat="1" applyFont="1" applyFill="1" applyAlignment="1"/>
    <xf numFmtId="173" fontId="15" fillId="0" borderId="0" xfId="0" applyFont="1" applyAlignment="1"/>
    <xf numFmtId="0" fontId="15" fillId="0" borderId="0" xfId="0" applyNumberFormat="1" applyFont="1" applyProtection="1">
      <protection locked="0"/>
    </xf>
    <xf numFmtId="0" fontId="15" fillId="0" borderId="0" xfId="0" applyNumberFormat="1" applyFont="1" applyAlignment="1" applyProtection="1">
      <alignment horizontal="center"/>
      <protection locked="0"/>
    </xf>
    <xf numFmtId="3" fontId="15" fillId="0" borderId="0" xfId="0" applyNumberFormat="1" applyFont="1" applyFill="1" applyAlignment="1"/>
    <xf numFmtId="0" fontId="15" fillId="0" borderId="0" xfId="0" applyNumberFormat="1" applyFont="1" applyFill="1" applyProtection="1">
      <protection locked="0"/>
    </xf>
    <xf numFmtId="0" fontId="15" fillId="0" borderId="0" xfId="0" applyNumberFormat="1" applyFont="1" applyFill="1" applyAlignment="1" applyProtection="1">
      <alignment horizontal="center"/>
      <protection locked="0"/>
    </xf>
    <xf numFmtId="0" fontId="42" fillId="0" borderId="0" xfId="0" applyNumberFormat="1" applyFont="1" applyFill="1" applyProtection="1">
      <protection locked="0"/>
    </xf>
    <xf numFmtId="173" fontId="15" fillId="0" borderId="0" xfId="0" applyFont="1" applyAlignment="1"/>
    <xf numFmtId="0" fontId="15" fillId="0" borderId="0" xfId="0" applyNumberFormat="1" applyFont="1" applyFill="1" applyProtection="1">
      <protection locked="0"/>
    </xf>
    <xf numFmtId="0" fontId="15" fillId="0" borderId="0" xfId="0" applyNumberFormat="1" applyFont="1" applyFill="1" applyAlignment="1" applyProtection="1">
      <protection locked="0"/>
    </xf>
    <xf numFmtId="173" fontId="15" fillId="0" borderId="0" xfId="0" applyFont="1" applyFill="1" applyAlignment="1"/>
    <xf numFmtId="0" fontId="15" fillId="0" borderId="0" xfId="0" applyNumberFormat="1" applyFont="1" applyFill="1" applyProtection="1">
      <protection locked="0"/>
    </xf>
    <xf numFmtId="0" fontId="15" fillId="0" borderId="0" xfId="0" applyNumberFormat="1" applyFont="1" applyFill="1" applyProtection="1">
      <protection locked="0"/>
    </xf>
    <xf numFmtId="0" fontId="15" fillId="0" borderId="0" xfId="0" applyNumberFormat="1" applyFont="1" applyFill="1" applyProtection="1">
      <protection locked="0"/>
    </xf>
    <xf numFmtId="0" fontId="15" fillId="0" borderId="0" xfId="0" applyNumberFormat="1" applyFont="1" applyFill="1" applyAlignment="1" applyProtection="1">
      <protection locked="0"/>
    </xf>
    <xf numFmtId="0" fontId="15" fillId="0" borderId="0" xfId="0" applyNumberFormat="1" applyFont="1" applyFill="1"/>
    <xf numFmtId="0" fontId="15" fillId="0" borderId="0" xfId="0" applyNumberFormat="1" applyFont="1" applyFill="1" applyProtection="1">
      <protection locked="0"/>
    </xf>
    <xf numFmtId="0" fontId="15" fillId="0" borderId="0" xfId="0" applyNumberFormat="1" applyFont="1" applyFill="1" applyAlignment="1" applyProtection="1">
      <protection locked="0"/>
    </xf>
    <xf numFmtId="0" fontId="15" fillId="0" borderId="0" xfId="0" applyNumberFormat="1" applyFont="1" applyFill="1"/>
    <xf numFmtId="0" fontId="15" fillId="0" borderId="0" xfId="0" applyNumberFormat="1" applyFont="1" applyFill="1" applyProtection="1">
      <protection locked="0"/>
    </xf>
    <xf numFmtId="0" fontId="15" fillId="0" borderId="0" xfId="0" applyNumberFormat="1" applyFont="1" applyFill="1" applyAlignment="1" applyProtection="1">
      <protection locked="0"/>
    </xf>
    <xf numFmtId="0" fontId="15" fillId="0" borderId="0" xfId="0" applyNumberFormat="1" applyFont="1" applyFill="1"/>
    <xf numFmtId="0" fontId="15" fillId="0" borderId="0" xfId="0" applyNumberFormat="1" applyFont="1"/>
    <xf numFmtId="173" fontId="15" fillId="0" borderId="0" xfId="0" applyFont="1" applyAlignment="1"/>
    <xf numFmtId="0" fontId="15" fillId="0" borderId="0" xfId="0" applyNumberFormat="1" applyFont="1" applyFill="1" applyAlignment="1" applyProtection="1">
      <protection locked="0"/>
    </xf>
    <xf numFmtId="0" fontId="15" fillId="0" borderId="0" xfId="0" applyNumberFormat="1" applyFont="1" applyFill="1"/>
    <xf numFmtId="0" fontId="15" fillId="0" borderId="0" xfId="0" applyNumberFormat="1" applyFont="1"/>
    <xf numFmtId="173" fontId="15" fillId="0" borderId="0" xfId="0" applyFont="1" applyAlignment="1"/>
    <xf numFmtId="0" fontId="15" fillId="0" borderId="0" xfId="0" applyNumberFormat="1" applyFont="1" applyFill="1" applyAlignment="1" applyProtection="1">
      <protection locked="0"/>
    </xf>
    <xf numFmtId="0" fontId="15" fillId="0" borderId="0" xfId="0" applyNumberFormat="1" applyFont="1" applyFill="1"/>
    <xf numFmtId="0" fontId="15" fillId="0" borderId="0" xfId="0" applyNumberFormat="1" applyFont="1"/>
    <xf numFmtId="3" fontId="15" fillId="0" borderId="0" xfId="0" applyNumberFormat="1" applyFont="1" applyAlignment="1"/>
    <xf numFmtId="173" fontId="15" fillId="0" borderId="0" xfId="0" applyFont="1" applyAlignment="1"/>
    <xf numFmtId="0" fontId="15" fillId="0" borderId="0" xfId="0" applyNumberFormat="1" applyFont="1" applyFill="1" applyAlignment="1" applyProtection="1">
      <protection locked="0"/>
    </xf>
    <xf numFmtId="0" fontId="15" fillId="0" borderId="0" xfId="0" applyNumberFormat="1" applyFont="1" applyFill="1"/>
    <xf numFmtId="173" fontId="15" fillId="0" borderId="0" xfId="0" applyFont="1" applyFill="1" applyAlignment="1"/>
    <xf numFmtId="173" fontId="14" fillId="0" borderId="0" xfId="0" applyFont="1" applyFill="1" applyBorder="1" applyAlignment="1"/>
    <xf numFmtId="170" fontId="15" fillId="0" borderId="0" xfId="0" applyNumberFormat="1" applyFont="1" applyFill="1" applyBorder="1" applyAlignment="1"/>
    <xf numFmtId="173" fontId="15" fillId="0" borderId="0" xfId="0" applyFont="1" applyFill="1" applyBorder="1" applyAlignment="1">
      <alignment horizontal="center"/>
    </xf>
    <xf numFmtId="3" fontId="17" fillId="0" borderId="0" xfId="0" applyNumberFormat="1" applyFont="1" applyFill="1" applyBorder="1" applyAlignment="1">
      <alignment horizontal="center"/>
    </xf>
    <xf numFmtId="3" fontId="15" fillId="0" borderId="0" xfId="0" applyNumberFormat="1" applyFont="1" applyFill="1" applyBorder="1" applyAlignment="1">
      <alignment horizontal="center"/>
    </xf>
    <xf numFmtId="164" fontId="15" fillId="0" borderId="0" xfId="0" applyNumberFormat="1" applyFont="1" applyFill="1" applyBorder="1" applyAlignment="1">
      <alignment horizontal="center"/>
    </xf>
    <xf numFmtId="0" fontId="15" fillId="0" borderId="16" xfId="0" applyNumberFormat="1" applyFont="1" applyFill="1" applyBorder="1" applyAlignment="1">
      <alignment horizontal="center"/>
    </xf>
    <xf numFmtId="173" fontId="15" fillId="0" borderId="0" xfId="0" applyFont="1" applyFill="1" applyBorder="1" applyAlignment="1"/>
    <xf numFmtId="173" fontId="15" fillId="0" borderId="0" xfId="0" applyFont="1" applyFill="1" applyBorder="1" applyAlignment="1"/>
    <xf numFmtId="173" fontId="15" fillId="0" borderId="0" xfId="0" applyFont="1" applyFill="1" applyBorder="1" applyAlignment="1"/>
    <xf numFmtId="173" fontId="15" fillId="0" borderId="0" xfId="0" applyFont="1" applyFill="1" applyBorder="1" applyAlignment="1"/>
    <xf numFmtId="173" fontId="0" fillId="0" borderId="0" xfId="0" applyAlignment="1"/>
    <xf numFmtId="173" fontId="0" fillId="0" borderId="0" xfId="0" applyAlignment="1">
      <alignment horizontal="center"/>
    </xf>
    <xf numFmtId="173" fontId="20" fillId="0" borderId="0" xfId="0" applyFont="1" applyAlignment="1"/>
    <xf numFmtId="173" fontId="0" fillId="0" borderId="0" xfId="0" quotePrefix="1" applyAlignment="1">
      <alignment horizontal="center"/>
    </xf>
    <xf numFmtId="173" fontId="20" fillId="0" borderId="0" xfId="0" quotePrefix="1" applyFont="1" applyAlignment="1">
      <alignment horizontal="left"/>
    </xf>
    <xf numFmtId="173" fontId="0" fillId="0" borderId="0" xfId="0" quotePrefix="1" applyAlignment="1">
      <alignment horizontal="left"/>
    </xf>
    <xf numFmtId="173" fontId="0" fillId="0" borderId="0" xfId="0" quotePrefix="1" applyAlignment="1">
      <alignment horizontal="right"/>
    </xf>
    <xf numFmtId="173" fontId="15" fillId="0" borderId="0" xfId="0" applyFont="1" applyAlignment="1"/>
    <xf numFmtId="173" fontId="0" fillId="0" borderId="0" xfId="0" quotePrefix="1" applyFont="1" applyAlignment="1">
      <alignment horizontal="left"/>
    </xf>
    <xf numFmtId="173" fontId="0" fillId="0" borderId="0" xfId="0" applyAlignment="1">
      <alignment horizontal="left"/>
    </xf>
    <xf numFmtId="173" fontId="38" fillId="0" borderId="0" xfId="0" applyFont="1" applyAlignment="1"/>
    <xf numFmtId="0" fontId="15" fillId="0" borderId="0" xfId="357" applyFont="1" applyAlignment="1">
      <alignment horizontal="left"/>
    </xf>
    <xf numFmtId="0" fontId="15" fillId="0" borderId="0" xfId="357" applyFont="1" applyAlignment="1">
      <alignment horizontal="left" indent="1"/>
    </xf>
    <xf numFmtId="173" fontId="17" fillId="0" borderId="0" xfId="0" applyFont="1" applyAlignment="1">
      <alignment horizontal="centerContinuous"/>
    </xf>
    <xf numFmtId="0" fontId="15" fillId="0" borderId="0" xfId="357" applyFont="1"/>
    <xf numFmtId="173" fontId="15" fillId="0" borderId="0" xfId="0" applyFont="1" applyAlignment="1">
      <alignment horizontal="center"/>
    </xf>
    <xf numFmtId="0" fontId="15" fillId="0" borderId="0" xfId="0" applyNumberFormat="1" applyFont="1"/>
    <xf numFmtId="173" fontId="15" fillId="0" borderId="0" xfId="0" applyFont="1" applyAlignment="1"/>
    <xf numFmtId="0" fontId="23" fillId="0" borderId="0" xfId="373" applyFont="1" applyAlignment="1">
      <alignment horizontal="left" indent="1"/>
    </xf>
    <xf numFmtId="0" fontId="23" fillId="0" borderId="0" xfId="0" applyNumberFormat="1" applyFont="1" applyFill="1" applyAlignment="1" applyProtection="1">
      <alignment horizontal="left" indent="1"/>
      <protection locked="0"/>
    </xf>
    <xf numFmtId="5" fontId="0" fillId="0" borderId="0" xfId="0" applyNumberFormat="1" applyAlignment="1"/>
    <xf numFmtId="173" fontId="15" fillId="0" borderId="0" xfId="0" applyFont="1" applyAlignment="1"/>
    <xf numFmtId="0" fontId="15" fillId="0" borderId="0" xfId="0" applyNumberFormat="1" applyFont="1" applyFill="1" applyAlignment="1" applyProtection="1">
      <protection locked="0"/>
    </xf>
    <xf numFmtId="173" fontId="15" fillId="0" borderId="0" xfId="0" applyFont="1" applyAlignment="1"/>
    <xf numFmtId="0" fontId="15" fillId="0" borderId="0" xfId="0" applyNumberFormat="1" applyFont="1" applyFill="1" applyAlignment="1" applyProtection="1">
      <protection locked="0"/>
    </xf>
    <xf numFmtId="0" fontId="19" fillId="0" borderId="0" xfId="9" applyFont="1" applyFill="1" applyBorder="1" applyAlignment="1">
      <alignment horizontal="left" vertical="center"/>
    </xf>
    <xf numFmtId="0" fontId="19" fillId="0" borderId="0" xfId="15" applyFont="1" applyFill="1"/>
    <xf numFmtId="0" fontId="19" fillId="0" borderId="0" xfId="15" applyFont="1" applyFill="1" applyBorder="1"/>
    <xf numFmtId="175" fontId="19" fillId="0" borderId="0" xfId="15" applyNumberFormat="1" applyFont="1" applyFill="1"/>
    <xf numFmtId="173" fontId="109" fillId="0" borderId="0" xfId="0" applyFont="1" applyAlignment="1">
      <alignment horizontal="center"/>
    </xf>
    <xf numFmtId="0" fontId="15" fillId="0" borderId="0" xfId="0" applyNumberFormat="1" applyFont="1" applyFill="1" applyAlignment="1" applyProtection="1">
      <alignment vertical="center"/>
      <protection locked="0"/>
    </xf>
    <xf numFmtId="3" fontId="15" fillId="0" borderId="0" xfId="0" applyNumberFormat="1" applyFont="1" applyFill="1" applyAlignment="1">
      <alignment vertical="center"/>
    </xf>
    <xf numFmtId="173" fontId="0" fillId="4" borderId="3" xfId="0" applyFill="1" applyBorder="1" applyAlignment="1">
      <alignment vertical="top"/>
    </xf>
    <xf numFmtId="173" fontId="0" fillId="4" borderId="0" xfId="0" applyFill="1" applyBorder="1" applyAlignment="1">
      <alignment vertical="top"/>
    </xf>
    <xf numFmtId="173" fontId="0" fillId="4" borderId="0" xfId="0" applyFill="1" applyBorder="1" applyAlignment="1">
      <alignment vertical="top" wrapText="1"/>
    </xf>
    <xf numFmtId="0" fontId="0" fillId="4" borderId="0" xfId="0" applyNumberFormat="1" applyFill="1" applyBorder="1" applyAlignment="1">
      <alignment horizontal="left" vertical="top" wrapText="1"/>
    </xf>
    <xf numFmtId="175" fontId="46" fillId="2" borderId="0" xfId="12" applyNumberFormat="1" applyFont="1" applyFill="1" applyBorder="1" applyAlignment="1">
      <alignment vertical="top"/>
    </xf>
    <xf numFmtId="10" fontId="0" fillId="0" borderId="0" xfId="11" applyNumberFormat="1" applyFont="1" applyFill="1" applyBorder="1" applyAlignment="1">
      <alignment vertical="top"/>
    </xf>
    <xf numFmtId="173" fontId="0" fillId="0" borderId="17" xfId="0" applyFill="1" applyBorder="1" applyAlignment="1">
      <alignment vertical="top"/>
    </xf>
    <xf numFmtId="170" fontId="46" fillId="2" borderId="0" xfId="0" applyNumberFormat="1" applyFont="1" applyFill="1" applyBorder="1" applyAlignment="1">
      <alignment vertical="top"/>
    </xf>
    <xf numFmtId="175" fontId="15" fillId="2" borderId="0" xfId="12" applyNumberFormat="1" applyFont="1" applyFill="1" applyBorder="1" applyAlignment="1">
      <alignment vertical="top"/>
    </xf>
    <xf numFmtId="175" fontId="0" fillId="4" borderId="0" xfId="12" applyNumberFormat="1" applyFont="1" applyFill="1" applyBorder="1" applyAlignment="1">
      <alignment vertical="top"/>
    </xf>
    <xf numFmtId="175" fontId="0" fillId="0" borderId="0" xfId="12" applyNumberFormat="1" applyFont="1" applyFill="1" applyBorder="1" applyAlignment="1">
      <alignment vertical="top"/>
    </xf>
    <xf numFmtId="170" fontId="0" fillId="0" borderId="0" xfId="0" applyNumberFormat="1" applyFill="1" applyBorder="1" applyAlignment="1">
      <alignment vertical="top"/>
    </xf>
    <xf numFmtId="175" fontId="0" fillId="2" borderId="0" xfId="12" applyNumberFormat="1" applyFont="1" applyFill="1" applyBorder="1" applyAlignment="1">
      <alignment vertical="top"/>
    </xf>
    <xf numFmtId="170" fontId="0" fillId="2" borderId="0" xfId="0" applyNumberFormat="1" applyFill="1" applyBorder="1" applyAlignment="1">
      <alignment vertical="top"/>
    </xf>
    <xf numFmtId="174" fontId="46" fillId="4" borderId="0" xfId="329" applyNumberFormat="1" applyFont="1" applyFill="1" applyBorder="1" applyAlignment="1"/>
    <xf numFmtId="10" fontId="0" fillId="0" borderId="0" xfId="328" applyNumberFormat="1" applyFont="1" applyAlignment="1"/>
    <xf numFmtId="0" fontId="15" fillId="0" borderId="0" xfId="371" applyFont="1" applyBorder="1" applyAlignment="1">
      <alignment horizontal="left" vertical="center"/>
    </xf>
    <xf numFmtId="0" fontId="15" fillId="0" borderId="0" xfId="372" applyFont="1" applyAlignment="1">
      <alignment horizontal="left" vertical="center"/>
    </xf>
    <xf numFmtId="42" fontId="15" fillId="0" borderId="0" xfId="7" applyNumberFormat="1" applyFont="1" applyAlignment="1">
      <alignment vertical="center"/>
    </xf>
    <xf numFmtId="37" fontId="15" fillId="0" borderId="0" xfId="7" applyNumberFormat="1" applyFont="1" applyAlignment="1">
      <alignment vertical="center"/>
    </xf>
    <xf numFmtId="175" fontId="0" fillId="0" borderId="0" xfId="327" applyNumberFormat="1" applyFont="1" applyFill="1" applyAlignment="1"/>
    <xf numFmtId="0" fontId="15" fillId="0" borderId="0" xfId="371" applyFont="1" applyFill="1" applyBorder="1" applyAlignment="1">
      <alignment horizontal="left"/>
    </xf>
    <xf numFmtId="0" fontId="4" fillId="0" borderId="0" xfId="457"/>
    <xf numFmtId="0" fontId="15" fillId="0" borderId="0" xfId="357" applyFont="1" applyFill="1" applyAlignment="1">
      <alignment horizontal="left" vertical="center"/>
    </xf>
    <xf numFmtId="174" fontId="49" fillId="0" borderId="0" xfId="13" applyNumberFormat="1" applyFont="1" applyFill="1"/>
    <xf numFmtId="0" fontId="15" fillId="0" borderId="0" xfId="371" applyFont="1" applyBorder="1" applyAlignment="1">
      <alignment horizontal="left" indent="1"/>
    </xf>
    <xf numFmtId="174" fontId="48" fillId="0" borderId="0" xfId="13" applyNumberFormat="1" applyFont="1" applyFill="1" applyProtection="1">
      <protection locked="0"/>
    </xf>
    <xf numFmtId="0" fontId="15" fillId="0" borderId="0" xfId="357" applyFont="1" applyAlignment="1">
      <alignment horizontal="left" indent="1"/>
    </xf>
    <xf numFmtId="0" fontId="25" fillId="0" borderId="0" xfId="425" quotePrefix="1" applyFont="1" applyFill="1" applyBorder="1" applyAlignment="1">
      <alignment horizontal="center"/>
    </xf>
    <xf numFmtId="0" fontId="15" fillId="0" borderId="0" xfId="372" applyFont="1" applyFill="1" applyAlignment="1">
      <alignment horizontal="left" vertical="center"/>
    </xf>
    <xf numFmtId="0" fontId="15" fillId="0" borderId="0" xfId="371" applyFont="1" applyBorder="1" applyAlignment="1">
      <alignment horizontal="left"/>
    </xf>
    <xf numFmtId="0" fontId="15" fillId="0" borderId="0" xfId="357" applyFont="1"/>
    <xf numFmtId="173" fontId="17" fillId="0" borderId="0" xfId="0" applyFont="1" applyAlignment="1">
      <alignment horizontal="centerContinuous"/>
    </xf>
    <xf numFmtId="173" fontId="15" fillId="0" borderId="0" xfId="0" applyFont="1" applyAlignment="1">
      <alignment horizontal="centerContinuous"/>
    </xf>
    <xf numFmtId="174" fontId="47" fillId="0" borderId="0" xfId="13" applyNumberFormat="1" applyFont="1" applyFill="1" applyProtection="1">
      <protection locked="0"/>
    </xf>
    <xf numFmtId="0" fontId="15" fillId="0" borderId="0" xfId="371" applyFont="1" applyBorder="1" applyAlignment="1">
      <alignment horizontal="left"/>
    </xf>
    <xf numFmtId="41" fontId="23" fillId="0" borderId="0" xfId="13" applyNumberFormat="1" applyFont="1" applyBorder="1"/>
    <xf numFmtId="41" fontId="23" fillId="0" borderId="0" xfId="425" applyNumberFormat="1" applyFont="1" applyBorder="1"/>
    <xf numFmtId="0" fontId="23" fillId="0" borderId="0" xfId="425" applyFont="1" applyFill="1" applyBorder="1"/>
    <xf numFmtId="0" fontId="15" fillId="0" borderId="0" xfId="357" applyFont="1" applyAlignment="1">
      <alignment horizontal="left" vertical="center"/>
    </xf>
    <xf numFmtId="0" fontId="15" fillId="0" borderId="0" xfId="357" applyFont="1" applyAlignment="1">
      <alignment horizontal="left" vertical="center"/>
    </xf>
    <xf numFmtId="0" fontId="37" fillId="0" borderId="0" xfId="357" applyFont="1" applyAlignment="1">
      <alignment horizontal="center"/>
    </xf>
    <xf numFmtId="0" fontId="25" fillId="0" borderId="0" xfId="425" applyFont="1" applyFill="1" applyBorder="1" applyAlignment="1">
      <alignment horizontal="center"/>
    </xf>
    <xf numFmtId="10" fontId="23" fillId="0" borderId="0" xfId="11" applyNumberFormat="1" applyFont="1" applyFill="1"/>
    <xf numFmtId="10" fontId="25" fillId="0" borderId="0" xfId="11" applyNumberFormat="1" applyFont="1" applyFill="1" applyBorder="1"/>
    <xf numFmtId="3" fontId="23" fillId="0" borderId="1" xfId="0" quotePrefix="1" applyNumberFormat="1" applyFont="1" applyBorder="1" applyAlignment="1" applyProtection="1">
      <protection locked="0"/>
    </xf>
    <xf numFmtId="3" fontId="23" fillId="0" borderId="0" xfId="0" applyNumberFormat="1" applyFont="1" applyAlignment="1" applyProtection="1">
      <protection locked="0"/>
    </xf>
    <xf numFmtId="0" fontId="23" fillId="0" borderId="0" xfId="0" quotePrefix="1" applyNumberFormat="1" applyFont="1" applyFill="1" applyAlignment="1" applyProtection="1">
      <alignment vertical="top" wrapText="1"/>
      <protection locked="0"/>
    </xf>
    <xf numFmtId="3" fontId="23" fillId="0" borderId="0" xfId="0" applyNumberFormat="1" applyFont="1" applyFill="1" applyAlignment="1" applyProtection="1">
      <protection locked="0"/>
    </xf>
    <xf numFmtId="3" fontId="15" fillId="0" borderId="0" xfId="0" applyNumberFormat="1" applyFont="1" applyAlignment="1">
      <alignment vertical="top"/>
    </xf>
    <xf numFmtId="3" fontId="47" fillId="0" borderId="0" xfId="0" applyNumberFormat="1" applyFont="1" applyFill="1" applyAlignment="1">
      <alignment vertical="top"/>
    </xf>
    <xf numFmtId="3" fontId="47" fillId="0" borderId="0" xfId="0" applyNumberFormat="1" applyFont="1" applyAlignment="1">
      <alignment vertical="top"/>
    </xf>
    <xf numFmtId="173" fontId="15" fillId="0" borderId="0" xfId="0" applyFont="1" applyAlignment="1"/>
    <xf numFmtId="42" fontId="15" fillId="0" borderId="0" xfId="0" applyNumberFormat="1" applyFont="1" applyAlignment="1"/>
    <xf numFmtId="5" fontId="46" fillId="0" borderId="0" xfId="0" applyNumberFormat="1" applyFont="1" applyAlignment="1"/>
    <xf numFmtId="41" fontId="15" fillId="0" borderId="0" xfId="6" applyNumberFormat="1" applyFont="1" applyFill="1"/>
    <xf numFmtId="275" fontId="23" fillId="0" borderId="0" xfId="0" applyNumberFormat="1" applyFont="1" applyFill="1" applyAlignment="1" applyProtection="1">
      <alignment horizontal="right"/>
      <protection locked="0"/>
    </xf>
    <xf numFmtId="14" fontId="128" fillId="18" borderId="11" xfId="0" applyNumberFormat="1" applyFont="1" applyFill="1" applyBorder="1" applyAlignment="1" applyProtection="1">
      <protection locked="0"/>
    </xf>
    <xf numFmtId="14" fontId="17" fillId="18" borderId="7" xfId="0" applyNumberFormat="1" applyFont="1" applyFill="1" applyBorder="1" applyAlignment="1" applyProtection="1"/>
    <xf numFmtId="37" fontId="47" fillId="0" borderId="0" xfId="7" applyNumberFormat="1" applyFont="1" applyFill="1" applyAlignment="1" applyProtection="1">
      <alignment vertical="center"/>
      <protection locked="0"/>
    </xf>
    <xf numFmtId="42" fontId="47" fillId="4" borderId="0" xfId="325" applyNumberFormat="1" applyFont="1" applyFill="1" applyBorder="1" applyAlignment="1" applyProtection="1">
      <protection locked="0"/>
    </xf>
    <xf numFmtId="174" fontId="46" fillId="0" borderId="0" xfId="329" applyNumberFormat="1" applyFont="1" applyFill="1" applyBorder="1" applyAlignment="1"/>
    <xf numFmtId="174" fontId="0" fillId="0" borderId="0" xfId="329" applyNumberFormat="1" applyFont="1" applyFill="1" applyAlignment="1"/>
    <xf numFmtId="175" fontId="46" fillId="0" borderId="0" xfId="327" applyNumberFormat="1" applyFont="1" applyFill="1" applyAlignment="1"/>
    <xf numFmtId="275" fontId="50" fillId="4" borderId="0" xfId="0" applyNumberFormat="1" applyFont="1" applyFill="1" applyAlignment="1" applyProtection="1">
      <alignment horizontal="right"/>
      <protection locked="0"/>
    </xf>
    <xf numFmtId="275" fontId="23" fillId="4" borderId="0" xfId="0" applyNumberFormat="1" applyFont="1" applyFill="1" applyAlignment="1" applyProtection="1">
      <alignment horizontal="right"/>
      <protection locked="0"/>
    </xf>
    <xf numFmtId="10" fontId="126" fillId="4" borderId="20" xfId="0" applyNumberFormat="1" applyFont="1" applyFill="1" applyBorder="1" applyAlignment="1" applyProtection="1">
      <protection locked="0"/>
    </xf>
    <xf numFmtId="37" fontId="23" fillId="0" borderId="0" xfId="0" applyNumberFormat="1" applyFont="1" applyFill="1" applyBorder="1" applyAlignment="1" applyProtection="1">
      <alignment vertical="top"/>
      <protection locked="0"/>
    </xf>
    <xf numFmtId="41" fontId="50" fillId="0" borderId="0" xfId="8" applyNumberFormat="1" applyFont="1" applyFill="1" applyProtection="1">
      <protection locked="0"/>
    </xf>
    <xf numFmtId="41" fontId="108" fillId="0" borderId="0" xfId="8" applyNumberFormat="1" applyFont="1" applyFill="1" applyBorder="1" applyProtection="1">
      <protection locked="0"/>
    </xf>
    <xf numFmtId="41" fontId="35" fillId="0" borderId="0" xfId="8" applyNumberFormat="1" applyFont="1" applyFill="1" applyBorder="1" applyAlignment="1" applyProtection="1">
      <alignment vertical="center"/>
      <protection locked="0"/>
    </xf>
    <xf numFmtId="42" fontId="47" fillId="0" borderId="0" xfId="7" applyNumberFormat="1" applyFont="1" applyFill="1" applyAlignment="1" applyProtection="1">
      <alignment vertical="center"/>
      <protection locked="0"/>
    </xf>
    <xf numFmtId="37" fontId="47" fillId="0" borderId="0" xfId="357" applyNumberFormat="1" applyFont="1" applyFill="1" applyAlignment="1" applyProtection="1">
      <alignment vertical="center"/>
      <protection locked="0"/>
    </xf>
    <xf numFmtId="41" fontId="50" fillId="0" borderId="0" xfId="1" applyNumberFormat="1" applyFont="1" applyFill="1"/>
    <xf numFmtId="41" fontId="50" fillId="0" borderId="0" xfId="1" applyNumberFormat="1" applyFont="1" applyFill="1" applyProtection="1">
      <protection locked="0"/>
    </xf>
    <xf numFmtId="41" fontId="19" fillId="0" borderId="6" xfId="15" applyNumberFormat="1" applyFont="1" applyFill="1" applyBorder="1"/>
    <xf numFmtId="9" fontId="40" fillId="0" borderId="0" xfId="15" applyNumberFormat="1" applyFont="1" applyFill="1" applyBorder="1"/>
    <xf numFmtId="0" fontId="1" fillId="0" borderId="0" xfId="557"/>
    <xf numFmtId="0" fontId="19" fillId="0" borderId="0" xfId="430" applyFont="1" applyFill="1"/>
    <xf numFmtId="0" fontId="40" fillId="0" borderId="0" xfId="430" applyFont="1" applyFill="1"/>
    <xf numFmtId="0" fontId="157" fillId="0" borderId="0" xfId="430" applyFont="1" applyFill="1" applyAlignment="1">
      <alignment horizontal="right"/>
    </xf>
    <xf numFmtId="0" fontId="19" fillId="0" borderId="0" xfId="430" quotePrefix="1" applyFont="1" applyFill="1"/>
    <xf numFmtId="0" fontId="19" fillId="0" borderId="0" xfId="15" quotePrefix="1" applyFont="1" applyFill="1" applyBorder="1"/>
    <xf numFmtId="0" fontId="1" fillId="0" borderId="0" xfId="556"/>
    <xf numFmtId="0" fontId="19" fillId="0" borderId="6" xfId="430" applyFont="1" applyFill="1" applyBorder="1" applyAlignment="1">
      <alignment horizontal="center"/>
    </xf>
    <xf numFmtId="14" fontId="19" fillId="0" borderId="6" xfId="430" applyNumberFormat="1" applyFont="1" applyFill="1" applyBorder="1" applyAlignment="1">
      <alignment horizontal="center"/>
    </xf>
    <xf numFmtId="0" fontId="19" fillId="0" borderId="0" xfId="430" applyFont="1" applyFill="1" applyAlignment="1">
      <alignment horizontal="center"/>
    </xf>
    <xf numFmtId="0" fontId="19" fillId="0" borderId="0" xfId="430" applyFont="1" applyFill="1" applyBorder="1" applyAlignment="1">
      <alignment horizontal="center"/>
    </xf>
    <xf numFmtId="49" fontId="40" fillId="0" borderId="0" xfId="430" applyNumberFormat="1" applyFont="1" applyFill="1" applyAlignment="1">
      <alignment horizontal="center"/>
    </xf>
    <xf numFmtId="14" fontId="40" fillId="0" borderId="6" xfId="430" applyNumberFormat="1" applyFont="1" applyFill="1" applyBorder="1" applyAlignment="1">
      <alignment horizontal="center"/>
    </xf>
    <xf numFmtId="49" fontId="19" fillId="0" borderId="0" xfId="430" applyNumberFormat="1" applyFont="1" applyFill="1" applyAlignment="1">
      <alignment horizontal="center"/>
    </xf>
    <xf numFmtId="44" fontId="40" fillId="0" borderId="0" xfId="16" applyNumberFormat="1" applyFont="1" applyFill="1"/>
    <xf numFmtId="0" fontId="19" fillId="0" borderId="0" xfId="430" applyFont="1" applyFill="1" applyBorder="1"/>
    <xf numFmtId="175" fontId="40" fillId="0" borderId="13" xfId="12" applyNumberFormat="1" applyFont="1" applyFill="1" applyBorder="1"/>
    <xf numFmtId="44" fontId="19" fillId="0" borderId="0" xfId="15" applyNumberFormat="1" applyFont="1" applyFill="1"/>
    <xf numFmtId="9" fontId="40" fillId="0" borderId="0" xfId="430" applyNumberFormat="1" applyFont="1" applyFill="1"/>
    <xf numFmtId="175" fontId="40" fillId="0" borderId="13" xfId="12" applyNumberFormat="1" applyFont="1" applyFill="1" applyBorder="1"/>
    <xf numFmtId="0" fontId="19" fillId="0" borderId="6" xfId="430" applyFont="1" applyFill="1" applyBorder="1" applyAlignment="1">
      <alignment horizontal="center"/>
    </xf>
    <xf numFmtId="0" fontId="15" fillId="0" borderId="0" xfId="325" applyNumberFormat="1" applyFont="1" applyFill="1" applyAlignment="1" applyProtection="1">
      <alignment horizontal="center"/>
      <protection locked="0"/>
    </xf>
    <xf numFmtId="42" fontId="50" fillId="4" borderId="0" xfId="0" applyNumberFormat="1" applyFont="1" applyFill="1" applyAlignment="1" applyProtection="1">
      <protection locked="0"/>
    </xf>
    <xf numFmtId="37" fontId="50" fillId="4" borderId="1" xfId="0" applyNumberFormat="1" applyFont="1" applyFill="1" applyBorder="1" applyAlignment="1" applyProtection="1">
      <protection locked="0"/>
    </xf>
    <xf numFmtId="42" fontId="47" fillId="0" borderId="0" xfId="357" applyNumberFormat="1" applyFont="1" applyFill="1" applyProtection="1">
      <protection locked="0"/>
    </xf>
    <xf numFmtId="37" fontId="50" fillId="4" borderId="1" xfId="0" applyNumberFormat="1" applyFont="1" applyFill="1" applyBorder="1" applyAlignment="1" applyProtection="1"/>
    <xf numFmtId="41" fontId="47" fillId="0" borderId="0" xfId="0" applyNumberFormat="1" applyFont="1" applyFill="1" applyAlignment="1" applyProtection="1">
      <protection locked="0"/>
    </xf>
    <xf numFmtId="42" fontId="47" fillId="0" borderId="0" xfId="0" applyNumberFormat="1" applyFont="1" applyFill="1" applyAlignment="1" applyProtection="1">
      <protection locked="0"/>
    </xf>
    <xf numFmtId="41" fontId="48" fillId="0" borderId="0" xfId="0" applyNumberFormat="1" applyFont="1" applyFill="1" applyAlignment="1" applyProtection="1">
      <protection locked="0"/>
    </xf>
    <xf numFmtId="42" fontId="47" fillId="0" borderId="0" xfId="7" applyNumberFormat="1" applyFont="1" applyFill="1"/>
    <xf numFmtId="41" fontId="47" fillId="0" borderId="0" xfId="7" applyNumberFormat="1" applyFont="1" applyFill="1" applyProtection="1">
      <protection locked="0"/>
    </xf>
    <xf numFmtId="37" fontId="50" fillId="4" borderId="0" xfId="0" applyNumberFormat="1" applyFont="1" applyFill="1" applyBorder="1" applyProtection="1">
      <protection locked="0"/>
    </xf>
    <xf numFmtId="38" fontId="29" fillId="4" borderId="24" xfId="0" applyNumberFormat="1" applyFont="1" applyFill="1" applyBorder="1" applyProtection="1">
      <protection locked="0"/>
    </xf>
    <xf numFmtId="38" fontId="29" fillId="4" borderId="26" xfId="0" applyNumberFormat="1" applyFont="1" applyFill="1" applyBorder="1" applyProtection="1">
      <protection locked="0"/>
    </xf>
    <xf numFmtId="37" fontId="50" fillId="4" borderId="0" xfId="0" quotePrefix="1" applyNumberFormat="1" applyFont="1" applyFill="1" applyAlignment="1" applyProtection="1">
      <protection locked="0"/>
    </xf>
    <xf numFmtId="37" fontId="23" fillId="4" borderId="0" xfId="0" applyNumberFormat="1" applyFont="1" applyFill="1" applyAlignment="1" applyProtection="1">
      <protection locked="0"/>
    </xf>
    <xf numFmtId="38" fontId="29" fillId="4" borderId="29" xfId="0" applyNumberFormat="1" applyFont="1" applyFill="1" applyBorder="1" applyProtection="1">
      <protection locked="0"/>
    </xf>
    <xf numFmtId="41" fontId="49" fillId="0" borderId="0" xfId="0" applyNumberFormat="1" applyFont="1" applyFill="1" applyAlignment="1" applyProtection="1">
      <protection locked="0"/>
    </xf>
    <xf numFmtId="41" fontId="47" fillId="0" borderId="0" xfId="6" applyNumberFormat="1" applyFont="1" applyFill="1" applyBorder="1" applyProtection="1">
      <protection locked="0"/>
    </xf>
    <xf numFmtId="41" fontId="47" fillId="0" borderId="0" xfId="6" applyNumberFormat="1" applyFont="1" applyFill="1" applyProtection="1">
      <protection locked="0"/>
    </xf>
    <xf numFmtId="10" fontId="47" fillId="0" borderId="0" xfId="0" applyNumberFormat="1" applyFont="1" applyFill="1" applyAlignment="1" applyProtection="1">
      <protection locked="0"/>
    </xf>
    <xf numFmtId="41" fontId="15" fillId="0" borderId="0" xfId="6" applyNumberFormat="1" applyFont="1" applyFill="1" applyProtection="1">
      <protection locked="0"/>
    </xf>
    <xf numFmtId="41" fontId="38" fillId="0" borderId="0" xfId="6" applyNumberFormat="1" applyFont="1" applyFill="1" applyProtection="1">
      <protection locked="0"/>
    </xf>
    <xf numFmtId="169" fontId="17" fillId="0" borderId="0" xfId="0" applyNumberFormat="1" applyFont="1" applyFill="1" applyAlignment="1"/>
    <xf numFmtId="175" fontId="46" fillId="4" borderId="0" xfId="12" applyNumberFormat="1" applyFont="1" applyFill="1" applyBorder="1" applyAlignment="1"/>
    <xf numFmtId="170" fontId="46" fillId="4" borderId="0" xfId="0" applyNumberFormat="1" applyFont="1" applyFill="1" applyBorder="1" applyAlignment="1"/>
    <xf numFmtId="41" fontId="15" fillId="0" borderId="6" xfId="6" applyNumberFormat="1" applyFont="1" applyFill="1" applyBorder="1"/>
    <xf numFmtId="173" fontId="0" fillId="0" borderId="0" xfId="0" applyFont="1" applyFill="1" applyBorder="1" applyAlignment="1">
      <alignment horizontal="left"/>
    </xf>
    <xf numFmtId="173" fontId="12" fillId="0" borderId="0" xfId="0" applyFont="1" applyFill="1" applyBorder="1" applyAlignment="1">
      <alignment horizontal="left"/>
    </xf>
    <xf numFmtId="173" fontId="12" fillId="0" borderId="0" xfId="0" applyFont="1" applyFill="1" applyBorder="1" applyAlignment="1">
      <alignment horizontal="left" wrapText="1"/>
    </xf>
    <xf numFmtId="173" fontId="0" fillId="0" borderId="0" xfId="0" applyFill="1" applyBorder="1" applyAlignment="1">
      <alignment horizontal="left"/>
    </xf>
    <xf numFmtId="49" fontId="47" fillId="0" borderId="0" xfId="0" applyNumberFormat="1" applyFont="1" applyFill="1" applyBorder="1" applyAlignment="1">
      <alignment horizontal="center"/>
    </xf>
    <xf numFmtId="49" fontId="47" fillId="0" borderId="0" xfId="0" quotePrefix="1" applyNumberFormat="1" applyFont="1" applyFill="1" applyBorder="1" applyAlignment="1">
      <alignment horizontal="center"/>
    </xf>
    <xf numFmtId="173" fontId="15" fillId="0" borderId="0" xfId="0" applyFont="1" applyAlignment="1">
      <alignment wrapText="1"/>
    </xf>
    <xf numFmtId="0" fontId="40" fillId="0" borderId="0" xfId="9" applyFont="1" applyFill="1" applyAlignment="1">
      <alignment horizontal="center"/>
    </xf>
  </cellXfs>
  <cellStyles count="577">
    <cellStyle name="¢ Currency [1]" xfId="18"/>
    <cellStyle name="¢ Currency [2]" xfId="19"/>
    <cellStyle name="¢ Currency [3]" xfId="20"/>
    <cellStyle name="£ Currency [0]" xfId="21"/>
    <cellStyle name="£ Currency [1]" xfId="22"/>
    <cellStyle name="£ Currency [2]" xfId="23"/>
    <cellStyle name="=C:\WINNT35\SYSTEM32\COMMAND.COM" xfId="17"/>
    <cellStyle name="20% - Accent1" xfId="531" builtinId="30" customBuiltin="1"/>
    <cellStyle name="20% - Accent2" xfId="535" builtinId="34" customBuiltin="1"/>
    <cellStyle name="20% - Accent3" xfId="539" builtinId="38" customBuiltin="1"/>
    <cellStyle name="20% - Accent4" xfId="543" builtinId="42" customBuiltin="1"/>
    <cellStyle name="20% - Accent5" xfId="547" builtinId="46" customBuiltin="1"/>
    <cellStyle name="20% - Accent6" xfId="551" builtinId="50" customBuiltin="1"/>
    <cellStyle name="40% - Accent1" xfId="532" builtinId="31" customBuiltin="1"/>
    <cellStyle name="40% - Accent2" xfId="536" builtinId="35" customBuiltin="1"/>
    <cellStyle name="40% - Accent3" xfId="540" builtinId="39" customBuiltin="1"/>
    <cellStyle name="40% - Accent4" xfId="544" builtinId="43" customBuiltin="1"/>
    <cellStyle name="40% - Accent5" xfId="548" builtinId="47" customBuiltin="1"/>
    <cellStyle name="40% - Accent6" xfId="552" builtinId="51" customBuiltin="1"/>
    <cellStyle name="60% - Accent1" xfId="533" builtinId="32" customBuiltin="1"/>
    <cellStyle name="60% - Accent2" xfId="537" builtinId="36" customBuiltin="1"/>
    <cellStyle name="60% - Accent3" xfId="541" builtinId="40" customBuiltin="1"/>
    <cellStyle name="60% - Accent4" xfId="545" builtinId="44" customBuiltin="1"/>
    <cellStyle name="60% - Accent5" xfId="549" builtinId="48" customBuiltin="1"/>
    <cellStyle name="60% - Accent6" xfId="553" builtinId="52" customBuiltin="1"/>
    <cellStyle name="Accent1" xfId="530" builtinId="29" customBuiltin="1"/>
    <cellStyle name="Accent2" xfId="534" builtinId="33" customBuiltin="1"/>
    <cellStyle name="Accent3" xfId="538" builtinId="37" customBuiltin="1"/>
    <cellStyle name="Accent4" xfId="542" builtinId="41" customBuiltin="1"/>
    <cellStyle name="Accent5" xfId="546" builtinId="45" customBuiltin="1"/>
    <cellStyle name="Accent6" xfId="550" builtinId="49" customBuiltin="1"/>
    <cellStyle name="Bad" xfId="520" builtinId="27" customBuiltin="1"/>
    <cellStyle name="Basic" xfId="24"/>
    <cellStyle name="black" xfId="25"/>
    <cellStyle name="blu" xfId="26"/>
    <cellStyle name="bot" xfId="27"/>
    <cellStyle name="Bullet" xfId="28"/>
    <cellStyle name="Bullet [0]" xfId="29"/>
    <cellStyle name="Bullet [2]" xfId="30"/>
    <cellStyle name="Bullet [4]" xfId="31"/>
    <cellStyle name="c" xfId="32"/>
    <cellStyle name="c," xfId="33"/>
    <cellStyle name="c_HardInc " xfId="34"/>
    <cellStyle name="c_HardInc _ITC Great Plains Formula 1-12-09a" xfId="35"/>
    <cellStyle name="C00A" xfId="36"/>
    <cellStyle name="C00B" xfId="37"/>
    <cellStyle name="C00L" xfId="38"/>
    <cellStyle name="C01A" xfId="39"/>
    <cellStyle name="C01B" xfId="40"/>
    <cellStyle name="C01H" xfId="41"/>
    <cellStyle name="C01L" xfId="42"/>
    <cellStyle name="C02A" xfId="43"/>
    <cellStyle name="C02B" xfId="44"/>
    <cellStyle name="C02H" xfId="45"/>
    <cellStyle name="C02L" xfId="46"/>
    <cellStyle name="C03A" xfId="47"/>
    <cellStyle name="C03B" xfId="48"/>
    <cellStyle name="C03H" xfId="49"/>
    <cellStyle name="C03L" xfId="50"/>
    <cellStyle name="C04A" xfId="51"/>
    <cellStyle name="C04B" xfId="52"/>
    <cellStyle name="C04H" xfId="53"/>
    <cellStyle name="C04L" xfId="54"/>
    <cellStyle name="C05A" xfId="55"/>
    <cellStyle name="C05B" xfId="56"/>
    <cellStyle name="C05H" xfId="57"/>
    <cellStyle name="C05L" xfId="58"/>
    <cellStyle name="C06A" xfId="59"/>
    <cellStyle name="C06B" xfId="60"/>
    <cellStyle name="C06H" xfId="61"/>
    <cellStyle name="C06L" xfId="62"/>
    <cellStyle name="C07A" xfId="63"/>
    <cellStyle name="C07B" xfId="64"/>
    <cellStyle name="C07H" xfId="65"/>
    <cellStyle name="C07L" xfId="66"/>
    <cellStyle name="c1" xfId="67"/>
    <cellStyle name="c1," xfId="68"/>
    <cellStyle name="c2" xfId="69"/>
    <cellStyle name="c2," xfId="70"/>
    <cellStyle name="c3" xfId="71"/>
    <cellStyle name="Calculation" xfId="524" builtinId="22" customBuiltin="1"/>
    <cellStyle name="cas" xfId="72"/>
    <cellStyle name="Centered Heading" xfId="73"/>
    <cellStyle name="Check Cell" xfId="526" builtinId="23" customBuiltin="1"/>
    <cellStyle name="Comma" xfId="1" builtinId="3"/>
    <cellStyle name="Comma  - Style1" xfId="74"/>
    <cellStyle name="Comma  - Style2" xfId="75"/>
    <cellStyle name="Comma  - Style3" xfId="76"/>
    <cellStyle name="Comma  - Style4" xfId="77"/>
    <cellStyle name="Comma  - Style5" xfId="78"/>
    <cellStyle name="Comma  - Style6" xfId="79"/>
    <cellStyle name="Comma  - Style7" xfId="80"/>
    <cellStyle name="Comma  - Style8" xfId="81"/>
    <cellStyle name="Comma [1]" xfId="82"/>
    <cellStyle name="Comma [2]" xfId="83"/>
    <cellStyle name="Comma [3]" xfId="84"/>
    <cellStyle name="Comma 0.0" xfId="85"/>
    <cellStyle name="Comma 0.00" xfId="86"/>
    <cellStyle name="Comma 0.000" xfId="87"/>
    <cellStyle name="Comma 0.0000" xfId="88"/>
    <cellStyle name="Comma 10" xfId="356"/>
    <cellStyle name="Comma 11" xfId="358"/>
    <cellStyle name="Comma 12" xfId="363"/>
    <cellStyle name="Comma 13" xfId="368"/>
    <cellStyle name="Comma 14" xfId="364"/>
    <cellStyle name="Comma 15" xfId="367"/>
    <cellStyle name="Comma 16" xfId="365"/>
    <cellStyle name="Comma 17" xfId="366"/>
    <cellStyle name="Comma 18" xfId="370"/>
    <cellStyle name="Comma 19" xfId="416"/>
    <cellStyle name="Comma 2" xfId="2"/>
    <cellStyle name="Comma 2 2" xfId="89"/>
    <cellStyle name="Comma 2 3" xfId="446"/>
    <cellStyle name="Comma 20" xfId="375"/>
    <cellStyle name="Comma 21" xfId="412"/>
    <cellStyle name="Comma 22" xfId="379"/>
    <cellStyle name="Comma 23" xfId="408"/>
    <cellStyle name="Comma 24" xfId="382"/>
    <cellStyle name="Comma 25" xfId="405"/>
    <cellStyle name="Comma 26" xfId="374"/>
    <cellStyle name="Comma 27" xfId="402"/>
    <cellStyle name="Comma 28" xfId="387"/>
    <cellStyle name="Comma 29" xfId="400"/>
    <cellStyle name="Comma 3" xfId="13"/>
    <cellStyle name="Comma 3 2" xfId="90"/>
    <cellStyle name="Comma 3 2 2" xfId="434"/>
    <cellStyle name="Comma 30" xfId="389"/>
    <cellStyle name="Comma 31" xfId="398"/>
    <cellStyle name="Comma 32" xfId="391"/>
    <cellStyle name="Comma 33" xfId="396"/>
    <cellStyle name="Comma 34" xfId="393"/>
    <cellStyle name="Comma 35" xfId="394"/>
    <cellStyle name="Comma 36" xfId="418"/>
    <cellStyle name="Comma 37" xfId="413"/>
    <cellStyle name="Comma 38" xfId="378"/>
    <cellStyle name="Comma 39" xfId="409"/>
    <cellStyle name="Comma 4" xfId="14"/>
    <cellStyle name="Comma 4 2" xfId="91"/>
    <cellStyle name="Comma 4 3" xfId="362"/>
    <cellStyle name="Comma 40" xfId="381"/>
    <cellStyle name="Comma 41" xfId="406"/>
    <cellStyle name="Comma 42" xfId="384"/>
    <cellStyle name="Comma 43" xfId="403"/>
    <cellStyle name="Comma 44" xfId="386"/>
    <cellStyle name="Comma 45" xfId="414"/>
    <cellStyle name="Comma 46" xfId="377"/>
    <cellStyle name="Comma 47" xfId="410"/>
    <cellStyle name="Comma 48" xfId="380"/>
    <cellStyle name="Comma 49" xfId="407"/>
    <cellStyle name="Comma 5" xfId="92"/>
    <cellStyle name="Comma 50" xfId="383"/>
    <cellStyle name="Comma 51" xfId="404"/>
    <cellStyle name="Comma 52" xfId="385"/>
    <cellStyle name="Comma 53" xfId="401"/>
    <cellStyle name="Comma 54" xfId="388"/>
    <cellStyle name="Comma 55" xfId="399"/>
    <cellStyle name="Comma 56" xfId="390"/>
    <cellStyle name="Comma 57" xfId="397"/>
    <cellStyle name="Comma 58" xfId="392"/>
    <cellStyle name="Comma 59" xfId="395"/>
    <cellStyle name="Comma 6" xfId="329"/>
    <cellStyle name="Comma 6 2" xfId="443"/>
    <cellStyle name="Comma 60" xfId="415"/>
    <cellStyle name="Comma 61" xfId="376"/>
    <cellStyle name="Comma 62" xfId="411"/>
    <cellStyle name="Comma 63" xfId="419"/>
    <cellStyle name="Comma 64" xfId="420"/>
    <cellStyle name="Comma 65" xfId="422"/>
    <cellStyle name="Comma 66" xfId="448"/>
    <cellStyle name="Comma 67" xfId="462"/>
    <cellStyle name="Comma 68" xfId="424"/>
    <cellStyle name="Comma 69" xfId="439"/>
    <cellStyle name="Comma 7" xfId="333"/>
    <cellStyle name="Comma 70" xfId="454"/>
    <cellStyle name="Comma 71" xfId="426"/>
    <cellStyle name="Comma 72" xfId="438"/>
    <cellStyle name="Comma 73" xfId="431"/>
    <cellStyle name="Comma 74" xfId="436"/>
    <cellStyle name="Comma 75" xfId="428"/>
    <cellStyle name="Comma 76" xfId="437"/>
    <cellStyle name="Comma 77" xfId="433"/>
    <cellStyle name="Comma 78" xfId="429"/>
    <cellStyle name="Comma 79" xfId="427"/>
    <cellStyle name="Comma 8" xfId="339"/>
    <cellStyle name="Comma 80" xfId="456"/>
    <cellStyle name="Comma 81" xfId="471"/>
    <cellStyle name="Comma 82" xfId="472"/>
    <cellStyle name="Comma 83" xfId="505"/>
    <cellStyle name="Comma 84" xfId="566"/>
    <cellStyle name="Comma 85" xfId="567"/>
    <cellStyle name="Comma 86" xfId="568"/>
    <cellStyle name="Comma 87" xfId="569"/>
    <cellStyle name="Comma 88" xfId="570"/>
    <cellStyle name="Comma 89" xfId="571"/>
    <cellStyle name="Comma 9" xfId="336"/>
    <cellStyle name="Comma 90" xfId="572"/>
    <cellStyle name="Comma 91" xfId="573"/>
    <cellStyle name="Comma 92" xfId="574"/>
    <cellStyle name="Comma 93" xfId="575"/>
    <cellStyle name="Comma 94" xfId="576"/>
    <cellStyle name="Comma Input" xfId="93"/>
    <cellStyle name="Comma0" xfId="94"/>
    <cellStyle name="Company Name" xfId="95"/>
    <cellStyle name="Currency" xfId="327" builtinId="4"/>
    <cellStyle name="Currency [1]" xfId="96"/>
    <cellStyle name="Currency [2]" xfId="97"/>
    <cellStyle name="Currency [3]" xfId="98"/>
    <cellStyle name="Currency 0.0" xfId="99"/>
    <cellStyle name="Currency 0.00" xfId="100"/>
    <cellStyle name="Currency 0.000" xfId="101"/>
    <cellStyle name="Currency 0.0000" xfId="102"/>
    <cellStyle name="Currency 10" xfId="351"/>
    <cellStyle name="Currency 11" xfId="353"/>
    <cellStyle name="Currency 12" xfId="355"/>
    <cellStyle name="Currency 2" xfId="12"/>
    <cellStyle name="Currency 2 2" xfId="103"/>
    <cellStyle name="Currency 2 3" xfId="432"/>
    <cellStyle name="Currency 3" xfId="104"/>
    <cellStyle name="Currency 3 2" xfId="105"/>
    <cellStyle name="Currency 4" xfId="16"/>
    <cellStyle name="Currency 5" xfId="334"/>
    <cellStyle name="Currency 6" xfId="338"/>
    <cellStyle name="Currency 7" xfId="345"/>
    <cellStyle name="Currency 8" xfId="347"/>
    <cellStyle name="Currency 9" xfId="349"/>
    <cellStyle name="Currency Input" xfId="106"/>
    <cellStyle name="Currency0" xfId="107"/>
    <cellStyle name="d" xfId="108"/>
    <cellStyle name="d," xfId="109"/>
    <cellStyle name="d1" xfId="110"/>
    <cellStyle name="d1," xfId="111"/>
    <cellStyle name="d2" xfId="112"/>
    <cellStyle name="d2," xfId="113"/>
    <cellStyle name="d3" xfId="114"/>
    <cellStyle name="Dash" xfId="115"/>
    <cellStyle name="Date" xfId="116"/>
    <cellStyle name="Date [Abbreviated]" xfId="117"/>
    <cellStyle name="Date [Long Europe]" xfId="118"/>
    <cellStyle name="Date [Long U.S.]" xfId="119"/>
    <cellStyle name="Date [Short Europe]" xfId="120"/>
    <cellStyle name="Date [Short U.S.]" xfId="121"/>
    <cellStyle name="Date_ITCM 2010 Template" xfId="122"/>
    <cellStyle name="Define$0" xfId="123"/>
    <cellStyle name="Define$1" xfId="124"/>
    <cellStyle name="Define$2" xfId="125"/>
    <cellStyle name="Define0" xfId="126"/>
    <cellStyle name="Define1" xfId="127"/>
    <cellStyle name="Define1x" xfId="128"/>
    <cellStyle name="Define2" xfId="129"/>
    <cellStyle name="Define2x" xfId="130"/>
    <cellStyle name="Dollar" xfId="131"/>
    <cellStyle name="e" xfId="132"/>
    <cellStyle name="e1" xfId="133"/>
    <cellStyle name="e2" xfId="134"/>
    <cellStyle name="Euro" xfId="135"/>
    <cellStyle name="Explanatory Text" xfId="528" builtinId="53" customBuiltin="1"/>
    <cellStyle name="Fixed" xfId="136"/>
    <cellStyle name="FOOTER - Style1" xfId="137"/>
    <cellStyle name="g" xfId="138"/>
    <cellStyle name="general" xfId="139"/>
    <cellStyle name="General [C]" xfId="140"/>
    <cellStyle name="General [R]" xfId="141"/>
    <cellStyle name="Good" xfId="519" builtinId="26" customBuiltin="1"/>
    <cellStyle name="Green" xfId="142"/>
    <cellStyle name="grey" xfId="143"/>
    <cellStyle name="Header1" xfId="144"/>
    <cellStyle name="Header2" xfId="145"/>
    <cellStyle name="Heading" xfId="146"/>
    <cellStyle name="Heading 1" xfId="515" builtinId="16" customBuiltin="1"/>
    <cellStyle name="Heading 2" xfId="516" builtinId="17" customBuiltin="1"/>
    <cellStyle name="Heading 3" xfId="517" builtinId="18" customBuiltin="1"/>
    <cellStyle name="Heading 4" xfId="518" builtinId="19" customBuiltin="1"/>
    <cellStyle name="Heading No Underline" xfId="147"/>
    <cellStyle name="Heading With Underline" xfId="148"/>
    <cellStyle name="Heading1" xfId="149"/>
    <cellStyle name="Heading2" xfId="150"/>
    <cellStyle name="Headline" xfId="151"/>
    <cellStyle name="Highlight" xfId="152"/>
    <cellStyle name="in" xfId="153"/>
    <cellStyle name="Indented [0]" xfId="154"/>
    <cellStyle name="Indented [2]" xfId="155"/>
    <cellStyle name="Indented [4]" xfId="156"/>
    <cellStyle name="Indented [6]" xfId="157"/>
    <cellStyle name="Input" xfId="522" builtinId="20" customBuiltin="1"/>
    <cellStyle name="Input [yellow]" xfId="158"/>
    <cellStyle name="Input$0" xfId="159"/>
    <cellStyle name="Input$1" xfId="160"/>
    <cellStyle name="Input$2" xfId="161"/>
    <cellStyle name="Input0" xfId="162"/>
    <cellStyle name="Input1" xfId="163"/>
    <cellStyle name="Input1x" xfId="164"/>
    <cellStyle name="Input2" xfId="165"/>
    <cellStyle name="Input2x" xfId="166"/>
    <cellStyle name="lborder" xfId="167"/>
    <cellStyle name="LeftSubtitle" xfId="168"/>
    <cellStyle name="Linked Cell" xfId="525" builtinId="24" customBuiltin="1"/>
    <cellStyle name="m" xfId="169"/>
    <cellStyle name="m1" xfId="170"/>
    <cellStyle name="m2" xfId="171"/>
    <cellStyle name="m3" xfId="172"/>
    <cellStyle name="Multiple" xfId="173"/>
    <cellStyle name="Negative" xfId="174"/>
    <cellStyle name="Neutral" xfId="521" builtinId="28" customBuiltin="1"/>
    <cellStyle name="no dec" xfId="175"/>
    <cellStyle name="Normal" xfId="0" builtinId="0"/>
    <cellStyle name="Normal - Style1" xfId="176"/>
    <cellStyle name="Normal 10" xfId="342"/>
    <cellStyle name="Normal 11" xfId="343"/>
    <cellStyle name="Normal 12" xfId="344"/>
    <cellStyle name="Normal 13" xfId="346"/>
    <cellStyle name="Normal 14" xfId="348"/>
    <cellStyle name="Normal 15" xfId="350"/>
    <cellStyle name="Normal 16" xfId="352"/>
    <cellStyle name="Normal 17" xfId="354"/>
    <cellStyle name="Normal 18" xfId="360"/>
    <cellStyle name="Normal 18 2" xfId="452"/>
    <cellStyle name="Normal 18 2 2" xfId="489"/>
    <cellStyle name="Normal 18 3" xfId="466"/>
    <cellStyle name="Normal 18 3 2" xfId="500"/>
    <cellStyle name="Normal 18 4" xfId="445"/>
    <cellStyle name="Normal 18 4 2" xfId="484"/>
    <cellStyle name="Normal 18 5" xfId="476"/>
    <cellStyle name="Normal 18 6" xfId="509"/>
    <cellStyle name="Normal 19" xfId="457"/>
    <cellStyle name="Normal 19 2" xfId="492"/>
    <cellStyle name="Normal 2" xfId="3"/>
    <cellStyle name="Normal 2 2" xfId="361"/>
    <cellStyle name="Normal 2 2 2" xfId="430"/>
    <cellStyle name="Normal 2 3" xfId="441"/>
    <cellStyle name="Normal 20" xfId="458"/>
    <cellStyle name="Normal 20 2" xfId="493"/>
    <cellStyle name="Normal 21" xfId="455"/>
    <cellStyle name="Normal 21 2" xfId="491"/>
    <cellStyle name="Normal 22" xfId="554"/>
    <cellStyle name="Normal 23" xfId="557"/>
    <cellStyle name="Normal 24" xfId="559"/>
    <cellStyle name="Normal 25" xfId="556"/>
    <cellStyle name="Normal 26" xfId="561"/>
    <cellStyle name="Normal 27" xfId="562"/>
    <cellStyle name="Normal 28" xfId="565"/>
    <cellStyle name="Normal 29" xfId="563"/>
    <cellStyle name="Normal 3" xfId="4"/>
    <cellStyle name="Normal 3 2" xfId="177"/>
    <cellStyle name="Normal 3_ITC-Great Plains Heintz 6-24-08a" xfId="178"/>
    <cellStyle name="Normal 30" xfId="564"/>
    <cellStyle name="Normal 31" xfId="560"/>
    <cellStyle name="Normal 32" xfId="555"/>
    <cellStyle name="Normal 4" xfId="179"/>
    <cellStyle name="Normal 4 2" xfId="180"/>
    <cellStyle name="Normal 4 2 2" xfId="435"/>
    <cellStyle name="Normal 4_ITC-Great Plains Heintz 6-24-08a" xfId="181"/>
    <cellStyle name="Normal 5" xfId="182"/>
    <cellStyle name="Normal 6" xfId="15"/>
    <cellStyle name="Normal 7" xfId="326"/>
    <cellStyle name="Normal 7 2" xfId="340"/>
    <cellStyle name="Normal 8" xfId="330"/>
    <cellStyle name="Normal 8 10" xfId="440"/>
    <cellStyle name="Normal 8 10 2" xfId="481"/>
    <cellStyle name="Normal 8 11" xfId="473"/>
    <cellStyle name="Normal 8 12" xfId="506"/>
    <cellStyle name="Normal 8 2" xfId="341"/>
    <cellStyle name="Normal 8 2 2" xfId="450"/>
    <cellStyle name="Normal 8 2 2 2" xfId="487"/>
    <cellStyle name="Normal 8 2 3" xfId="464"/>
    <cellStyle name="Normal 8 2 3 2" xfId="498"/>
    <cellStyle name="Normal 8 2 4" xfId="442"/>
    <cellStyle name="Normal 8 2 4 2" xfId="482"/>
    <cellStyle name="Normal 8 2 5" xfId="474"/>
    <cellStyle name="Normal 8 2 6" xfId="507"/>
    <cellStyle name="Normal 8 3" xfId="359"/>
    <cellStyle name="Normal 8 3 2" xfId="451"/>
    <cellStyle name="Normal 8 3 2 2" xfId="488"/>
    <cellStyle name="Normal 8 3 3" xfId="465"/>
    <cellStyle name="Normal 8 3 3 2" xfId="499"/>
    <cellStyle name="Normal 8 3 4" xfId="444"/>
    <cellStyle name="Normal 8 3 4 2" xfId="483"/>
    <cellStyle name="Normal 8 3 5" xfId="475"/>
    <cellStyle name="Normal 8 3 6" xfId="508"/>
    <cellStyle name="Normal 8 4" xfId="369"/>
    <cellStyle name="Normal 8 4 2" xfId="453"/>
    <cellStyle name="Normal 8 4 2 2" xfId="490"/>
    <cellStyle name="Normal 8 4 3" xfId="467"/>
    <cellStyle name="Normal 8 4 3 2" xfId="501"/>
    <cellStyle name="Normal 8 4 4" xfId="447"/>
    <cellStyle name="Normal 8 4 4 2" xfId="485"/>
    <cellStyle name="Normal 8 4 5" xfId="477"/>
    <cellStyle name="Normal 8 4 6" xfId="510"/>
    <cellStyle name="Normal 8 5" xfId="417"/>
    <cellStyle name="Normal 8 5 2" xfId="468"/>
    <cellStyle name="Normal 8 5 2 2" xfId="502"/>
    <cellStyle name="Normal 8 5 3" xfId="459"/>
    <cellStyle name="Normal 8 5 3 2" xfId="494"/>
    <cellStyle name="Normal 8 5 4" xfId="478"/>
    <cellStyle name="Normal 8 5 5" xfId="511"/>
    <cellStyle name="Normal 8 6" xfId="421"/>
    <cellStyle name="Normal 8 6 2" xfId="469"/>
    <cellStyle name="Normal 8 6 2 2" xfId="503"/>
    <cellStyle name="Normal 8 6 3" xfId="460"/>
    <cellStyle name="Normal 8 6 3 2" xfId="495"/>
    <cellStyle name="Normal 8 6 4" xfId="479"/>
    <cellStyle name="Normal 8 6 5" xfId="512"/>
    <cellStyle name="Normal 8 7" xfId="423"/>
    <cellStyle name="Normal 8 7 2" xfId="470"/>
    <cellStyle name="Normal 8 7 2 2" xfId="504"/>
    <cellStyle name="Normal 8 7 3" xfId="461"/>
    <cellStyle name="Normal 8 7 3 2" xfId="496"/>
    <cellStyle name="Normal 8 7 4" xfId="480"/>
    <cellStyle name="Normal 8 7 5" xfId="513"/>
    <cellStyle name="Normal 8 8" xfId="449"/>
    <cellStyle name="Normal 8 8 2" xfId="486"/>
    <cellStyle name="Normal 8 9" xfId="463"/>
    <cellStyle name="Normal 8 9 2" xfId="497"/>
    <cellStyle name="Normal 9" xfId="332"/>
    <cellStyle name="Normal_2002 A to BK TLF Recon WVPA" xfId="5"/>
    <cellStyle name="Normal_2002 A to BK TLF Recon WVPA 2" xfId="371"/>
    <cellStyle name="Normal_Advertising expense query - 3.29.07" xfId="6"/>
    <cellStyle name="Normal_Advertising expense query - 3.29.07 2" xfId="372"/>
    <cellStyle name="Normal_Cinergy Revenue Credits by Operating Company" xfId="7"/>
    <cellStyle name="Normal_Cinergy Revenue Credits by Operating Company 2" xfId="357"/>
    <cellStyle name="Normal_FERC Functional M&amp;S All Cos" xfId="8"/>
    <cellStyle name="Normal_FERC Functional M&amp;S All Cos 2" xfId="425"/>
    <cellStyle name="Normal_FN1 Ratebase Draft SPP template (6-11-04) v2" xfId="325"/>
    <cellStyle name="Normal_MISO DEO Cap Structure 2007 " xfId="9"/>
    <cellStyle name="Normal_Schedule B-2" xfId="331"/>
    <cellStyle name="Normal_Support 2003 PSI Peak Demand excluding Joint Owners" xfId="10"/>
    <cellStyle name="Normal_Support 2003 PSI Peak Demand excluding Joint Owners 2" xfId="373"/>
    <cellStyle name="Note 2" xfId="558"/>
    <cellStyle name="Output" xfId="523" builtinId="21" customBuiltin="1"/>
    <cellStyle name="Output1_Back" xfId="183"/>
    <cellStyle name="p" xfId="184"/>
    <cellStyle name="p_2010 Attachment O  GG_082709" xfId="185"/>
    <cellStyle name="p_2010 Attachment O Template Supporting Work Papers_ITC Midwest" xfId="186"/>
    <cellStyle name="p_2010 Attachment O Template Supporting Work Papers_ITCTransmission" xfId="187"/>
    <cellStyle name="p_2010 Attachment O Template Supporting Work Papers_METC" xfId="188"/>
    <cellStyle name="p_2Mod11" xfId="189"/>
    <cellStyle name="p_aavidmod11.xls Chart 1" xfId="190"/>
    <cellStyle name="p_aavidmod11.xls Chart 2" xfId="191"/>
    <cellStyle name="p_Attachment O &amp; GG" xfId="192"/>
    <cellStyle name="p_charts for capm" xfId="193"/>
    <cellStyle name="p_DCF" xfId="194"/>
    <cellStyle name="p_DCF_2Mod11" xfId="195"/>
    <cellStyle name="p_DCF_aavidmod11.xls Chart 1" xfId="196"/>
    <cellStyle name="p_DCF_aavidmod11.xls Chart 2" xfId="197"/>
    <cellStyle name="p_DCF_charts for capm" xfId="198"/>
    <cellStyle name="p_DCF_DCF5" xfId="199"/>
    <cellStyle name="p_DCF_Template2" xfId="200"/>
    <cellStyle name="p_DCF_Template2_1" xfId="201"/>
    <cellStyle name="p_DCF_VERA" xfId="202"/>
    <cellStyle name="p_DCF_VERA_1" xfId="203"/>
    <cellStyle name="p_DCF_VERA_1_Template2" xfId="204"/>
    <cellStyle name="p_DCF_VERA_aavidmod11.xls Chart 2" xfId="205"/>
    <cellStyle name="p_DCF_VERA_Model02" xfId="206"/>
    <cellStyle name="p_DCF_VERA_Template2" xfId="207"/>
    <cellStyle name="p_DCF_VERA_VERA" xfId="208"/>
    <cellStyle name="p_DCF_VERA_VERA_1" xfId="209"/>
    <cellStyle name="p_DCF_VERA_VERA_2" xfId="210"/>
    <cellStyle name="p_DCF_VERA_VERA_Template2" xfId="211"/>
    <cellStyle name="p_DCF5" xfId="212"/>
    <cellStyle name="p_ITC Great Plains Formula 1-12-09a" xfId="213"/>
    <cellStyle name="p_ITCM 2010 Template" xfId="214"/>
    <cellStyle name="p_ITCMW 2009 Rate" xfId="215"/>
    <cellStyle name="p_ITCMW 2010 Rate_083109" xfId="216"/>
    <cellStyle name="p_ITCOP 2010 Rate_083109" xfId="217"/>
    <cellStyle name="p_ITCT 2009 Rate" xfId="218"/>
    <cellStyle name="p_ITCT New 2010 Attachment O &amp; GG_111209NL" xfId="219"/>
    <cellStyle name="p_METC 2010 Rate_083109" xfId="220"/>
    <cellStyle name="p_Template2" xfId="221"/>
    <cellStyle name="p_Template2_1" xfId="222"/>
    <cellStyle name="p_VERA" xfId="223"/>
    <cellStyle name="p_VERA_1" xfId="224"/>
    <cellStyle name="p_VERA_1_Template2" xfId="225"/>
    <cellStyle name="p_VERA_aavidmod11.xls Chart 2" xfId="226"/>
    <cellStyle name="p_VERA_Model02" xfId="227"/>
    <cellStyle name="p_VERA_Template2" xfId="228"/>
    <cellStyle name="p_VERA_VERA" xfId="229"/>
    <cellStyle name="p_VERA_VERA_1" xfId="230"/>
    <cellStyle name="p_VERA_VERA_2" xfId="231"/>
    <cellStyle name="p_VERA_VERA_Template2" xfId="232"/>
    <cellStyle name="p1" xfId="233"/>
    <cellStyle name="p2" xfId="234"/>
    <cellStyle name="p3" xfId="235"/>
    <cellStyle name="Percent" xfId="328" builtinId="5"/>
    <cellStyle name="Percent %" xfId="236"/>
    <cellStyle name="Percent % Long Underline" xfId="237"/>
    <cellStyle name="Percent (0)" xfId="238"/>
    <cellStyle name="Percent [0]" xfId="239"/>
    <cellStyle name="Percent [1]" xfId="240"/>
    <cellStyle name="Percent [2]" xfId="241"/>
    <cellStyle name="Percent [3]" xfId="242"/>
    <cellStyle name="Percent 0.0%" xfId="243"/>
    <cellStyle name="Percent 0.0% Long Underline" xfId="244"/>
    <cellStyle name="Percent 0.00%" xfId="245"/>
    <cellStyle name="Percent 0.00% Long Underline" xfId="246"/>
    <cellStyle name="Percent 0.000%" xfId="247"/>
    <cellStyle name="Percent 0.000% Long Underline" xfId="248"/>
    <cellStyle name="Percent 0.0000%" xfId="249"/>
    <cellStyle name="Percent 0.0000% Long Underline" xfId="250"/>
    <cellStyle name="Percent 2" xfId="11"/>
    <cellStyle name="Percent 2 2" xfId="251"/>
    <cellStyle name="Percent 3" xfId="252"/>
    <cellStyle name="Percent 3 2" xfId="253"/>
    <cellStyle name="Percent 4" xfId="335"/>
    <cellStyle name="Percent 5" xfId="337"/>
    <cellStyle name="Percent Input" xfId="254"/>
    <cellStyle name="Percent0" xfId="255"/>
    <cellStyle name="Percent1" xfId="256"/>
    <cellStyle name="Percent2" xfId="257"/>
    <cellStyle name="PSChar" xfId="258"/>
    <cellStyle name="PSDate" xfId="259"/>
    <cellStyle name="PSDec" xfId="260"/>
    <cellStyle name="PSdesc" xfId="261"/>
    <cellStyle name="PSHeading" xfId="262"/>
    <cellStyle name="PSInt" xfId="263"/>
    <cellStyle name="PSSpacer" xfId="264"/>
    <cellStyle name="PStest" xfId="265"/>
    <cellStyle name="R00A" xfId="266"/>
    <cellStyle name="R00B" xfId="267"/>
    <cellStyle name="R00L" xfId="268"/>
    <cellStyle name="R01A" xfId="269"/>
    <cellStyle name="R01B" xfId="270"/>
    <cellStyle name="R01H" xfId="271"/>
    <cellStyle name="R01L" xfId="272"/>
    <cellStyle name="R02A" xfId="273"/>
    <cellStyle name="R02B" xfId="274"/>
    <cellStyle name="R02H" xfId="275"/>
    <cellStyle name="R02L" xfId="276"/>
    <cellStyle name="R03A" xfId="277"/>
    <cellStyle name="R03B" xfId="278"/>
    <cellStyle name="R03H" xfId="279"/>
    <cellStyle name="R03L" xfId="280"/>
    <cellStyle name="R04A" xfId="281"/>
    <cellStyle name="R04B" xfId="282"/>
    <cellStyle name="R04H" xfId="283"/>
    <cellStyle name="R04L" xfId="284"/>
    <cellStyle name="R05A" xfId="285"/>
    <cellStyle name="R05B" xfId="286"/>
    <cellStyle name="R05H" xfId="287"/>
    <cellStyle name="R05L" xfId="288"/>
    <cellStyle name="R06A" xfId="289"/>
    <cellStyle name="R06B" xfId="290"/>
    <cellStyle name="R06H" xfId="291"/>
    <cellStyle name="R06L" xfId="292"/>
    <cellStyle name="R07A" xfId="293"/>
    <cellStyle name="R07B" xfId="294"/>
    <cellStyle name="R07H" xfId="295"/>
    <cellStyle name="R07L" xfId="296"/>
    <cellStyle name="rborder" xfId="297"/>
    <cellStyle name="red" xfId="298"/>
    <cellStyle name="s_HardInc " xfId="299"/>
    <cellStyle name="s_HardInc _ITC Great Plains Formula 1-12-09a" xfId="300"/>
    <cellStyle name="scenario" xfId="301"/>
    <cellStyle name="Sheetmult" xfId="302"/>
    <cellStyle name="Shtmultx" xfId="303"/>
    <cellStyle name="Style 1" xfId="304"/>
    <cellStyle name="STYLE1" xfId="305"/>
    <cellStyle name="STYLE2" xfId="306"/>
    <cellStyle name="TableHeading" xfId="307"/>
    <cellStyle name="tb" xfId="308"/>
    <cellStyle name="Tickmark" xfId="309"/>
    <cellStyle name="Title" xfId="514" builtinId="15" customBuiltin="1"/>
    <cellStyle name="Title1" xfId="310"/>
    <cellStyle name="top" xfId="311"/>
    <cellStyle name="Total" xfId="529" builtinId="25" customBuiltin="1"/>
    <cellStyle name="w" xfId="312"/>
    <cellStyle name="Warning Text" xfId="527" builtinId="11" customBuiltin="1"/>
    <cellStyle name="XComma" xfId="313"/>
    <cellStyle name="XComma 0.0" xfId="314"/>
    <cellStyle name="XComma 0.00" xfId="315"/>
    <cellStyle name="XComma 0.000" xfId="316"/>
    <cellStyle name="XCurrency" xfId="317"/>
    <cellStyle name="XCurrency 0.0" xfId="318"/>
    <cellStyle name="XCurrency 0.00" xfId="319"/>
    <cellStyle name="XCurrency 0.000" xfId="320"/>
    <cellStyle name="yra" xfId="321"/>
    <cellStyle name="yrActual" xfId="322"/>
    <cellStyle name="yre" xfId="323"/>
    <cellStyle name="yrExpect" xfId="324"/>
  </cellStyles>
  <dxfs count="0"/>
  <tableStyles count="0" defaultTableStyle="TableStyleMedium9" defaultPivotStyle="PivotStyleLight16"/>
  <colors>
    <mruColors>
      <color rgb="FFFFFF99"/>
      <color rgb="FF0000FF"/>
      <color rgb="FFFF3399"/>
      <color rgb="FF00FF00"/>
      <color rgb="FFFFFFCC"/>
      <color rgb="FFFF3300"/>
      <color rgb="FFCCFFFF"/>
      <color rgb="FF66FFFF"/>
      <color rgb="FF990000"/>
      <color rgb="FF6633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ctrlProps/ctrlProp5.xml><?xml version="1.0" encoding="utf-8"?>
<formControlPr xmlns="http://schemas.microsoft.com/office/spreadsheetml/2009/9/main" objectType="Button" lockText="1"/>
</file>

<file path=xl/ctrlProps/ctrlProp6.xml><?xml version="1.0" encoding="utf-8"?>
<formControlPr xmlns="http://schemas.microsoft.com/office/spreadsheetml/2009/9/main" objectType="Button" lockText="1"/>
</file>

<file path=xl/ctrlProps/ctrlProp7.xml><?xml version="1.0" encoding="utf-8"?>
<formControlPr xmlns="http://schemas.microsoft.com/office/spreadsheetml/2009/9/main" objectType="Button" lockText="1"/>
</file>

<file path=xl/ctrlProps/ctrlProp8.xml><?xml version="1.0" encoding="utf-8"?>
<formControlPr xmlns="http://schemas.microsoft.com/office/spreadsheetml/2009/9/main" objectType="Button" lockText="1"/>
</file>

<file path=xl/ctrlProps/ctrlProp9.xml><?xml version="1.0" encoding="utf-8"?>
<formControlPr xmlns="http://schemas.microsoft.com/office/spreadsheetml/2009/9/main" objectType="Button" lockText="1"/>
</file>

<file path=xl/ctrlProps/ctrlProp10.xml><?xml version="1.0" encoding="utf-8"?>
<formControlPr xmlns="http://schemas.microsoft.com/office/spreadsheetml/2009/9/main" objectType="Button" lockText="1"/>
</file>

<file path=xl/ctrlProps/ctrlProp11.xml><?xml version="1.0" encoding="utf-8"?>
<formControlPr xmlns="http://schemas.microsoft.com/office/spreadsheetml/2009/9/main" objectType="Button" lockText="1"/>
</file>

<file path=xl/ctrlProps/ctrlProp12.xml><?xml version="1.0" encoding="utf-8"?>
<formControlPr xmlns="http://schemas.microsoft.com/office/spreadsheetml/2009/9/main" objectType="Button" lockText="1"/>
</file>

<file path=xl/ctrlProps/ctrlProp13.xml><?xml version="1.0" encoding="utf-8"?>
<formControlPr xmlns="http://schemas.microsoft.com/office/spreadsheetml/2009/9/main" objectType="Button" lockText="1"/>
</file>

<file path=xl/ctrlProps/ctrlProp14.xml><?xml version="1.0" encoding="utf-8"?>
<formControlPr xmlns="http://schemas.microsoft.com/office/spreadsheetml/2009/9/main" objectType="Button" lockText="1"/>
</file>

<file path=xl/ctrlProps/ctrlProp15.xml><?xml version="1.0" encoding="utf-8"?>
<formControlPr xmlns="http://schemas.microsoft.com/office/spreadsheetml/2009/9/main" objectType="Button" lockText="1"/>
</file>

<file path=xl/ctrlProps/ctrlProp16.xml><?xml version="1.0" encoding="utf-8"?>
<formControlPr xmlns="http://schemas.microsoft.com/office/spreadsheetml/2009/9/main" objectType="Button" lockText="1"/>
</file>

<file path=xl/ctrlProps/ctrlProp17.xml><?xml version="1.0" encoding="utf-8"?>
<formControlPr xmlns="http://schemas.microsoft.com/office/spreadsheetml/2009/9/main" objectType="Button" lockText="1"/>
</file>

<file path=xl/ctrlProps/ctrlProp18.xml><?xml version="1.0" encoding="utf-8"?>
<formControlPr xmlns="http://schemas.microsoft.com/office/spreadsheetml/2009/9/main" objectType="Button" lockText="1"/>
</file>

<file path=xl/ctrlProps/ctrlProp19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1</xdr:row>
          <xdr:rowOff>19050</xdr:rowOff>
        </xdr:from>
        <xdr:to>
          <xdr:col>8</xdr:col>
          <xdr:colOff>714375</xdr:colOff>
          <xdr:row>5</xdr:row>
          <xdr:rowOff>0</xdr:rowOff>
        </xdr:to>
        <xdr:sp macro="" textlink="">
          <xdr:nvSpPr>
            <xdr:cNvPr id="35841" name="Button 1" hidden="1">
              <a:extLst>
                <a:ext uri="{63B3BB69-23CF-44E3-9099-C40C66FF867C}">
                  <a14:compatExt spid="_x0000_s358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US" sz="1200" b="0" i="0" u="none" strike="noStrike" baseline="0">
                  <a:solidFill>
                    <a:srgbClr val="FF0000"/>
                  </a:solidFill>
                  <a:latin typeface="Arial MT"/>
                </a:rPr>
                <a:t>H-22A </a:t>
              </a:r>
            </a:p>
            <a:p>
              <a:pPr algn="ctr" rtl="0">
                <a:defRPr sz="1000"/>
              </a:pPr>
              <a:r>
                <a:rPr lang="en-US" sz="1200" b="0" i="0" u="none" strike="noStrike" baseline="0">
                  <a:solidFill>
                    <a:srgbClr val="FF0000"/>
                  </a:solidFill>
                  <a:latin typeface="Arial MT"/>
                </a:rPr>
                <a:t>DE OH &amp; KY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0</xdr:colOff>
          <xdr:row>1</xdr:row>
          <xdr:rowOff>0</xdr:rowOff>
        </xdr:from>
        <xdr:to>
          <xdr:col>12</xdr:col>
          <xdr:colOff>0</xdr:colOff>
          <xdr:row>4</xdr:row>
          <xdr:rowOff>180975</xdr:rowOff>
        </xdr:to>
        <xdr:sp macro="" textlink="">
          <xdr:nvSpPr>
            <xdr:cNvPr id="35842" name="Button 2" hidden="1">
              <a:extLst>
                <a:ext uri="{63B3BB69-23CF-44E3-9099-C40C66FF867C}">
                  <a14:compatExt spid="_x0000_s358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US" sz="1200" b="0" i="0" u="none" strike="noStrike" baseline="0">
                  <a:solidFill>
                    <a:srgbClr val="FF0000"/>
                  </a:solidFill>
                  <a:latin typeface="Arial MT"/>
                </a:rPr>
                <a:t>H-22A </a:t>
              </a:r>
            </a:p>
            <a:p>
              <a:pPr algn="ctr" rtl="0">
                <a:defRPr sz="1000"/>
              </a:pPr>
              <a:r>
                <a:rPr lang="en-US" sz="1200" b="0" i="0" u="none" strike="noStrike" baseline="0">
                  <a:solidFill>
                    <a:srgbClr val="FF0000"/>
                  </a:solidFill>
                  <a:latin typeface="Arial MT"/>
                </a:rPr>
                <a:t>DE Ohio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219075</xdr:colOff>
          <xdr:row>1</xdr:row>
          <xdr:rowOff>9525</xdr:rowOff>
        </xdr:from>
        <xdr:to>
          <xdr:col>14</xdr:col>
          <xdr:colOff>714375</xdr:colOff>
          <xdr:row>5</xdr:row>
          <xdr:rowOff>19050</xdr:rowOff>
        </xdr:to>
        <xdr:sp macro="" textlink="">
          <xdr:nvSpPr>
            <xdr:cNvPr id="35843" name="Button 3" hidden="1">
              <a:extLst>
                <a:ext uri="{63B3BB69-23CF-44E3-9099-C40C66FF867C}">
                  <a14:compatExt spid="_x0000_s358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US" sz="1200" b="0" i="0" u="none" strike="noStrike" baseline="0">
                  <a:solidFill>
                    <a:srgbClr val="FF0000"/>
                  </a:solidFill>
                  <a:latin typeface="Arial MT"/>
                </a:rPr>
                <a:t>H-22A</a:t>
              </a:r>
            </a:p>
            <a:p>
              <a:pPr algn="ctr" rtl="0">
                <a:defRPr sz="1000"/>
              </a:pPr>
              <a:r>
                <a:rPr lang="en-US" sz="1200" b="0" i="0" u="none" strike="noStrike" baseline="0">
                  <a:solidFill>
                    <a:srgbClr val="FF0000"/>
                  </a:solidFill>
                  <a:latin typeface="Arial MT"/>
                </a:rPr>
                <a:t>DE Kentucky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1</xdr:row>
          <xdr:rowOff>19050</xdr:rowOff>
        </xdr:from>
        <xdr:to>
          <xdr:col>5</xdr:col>
          <xdr:colOff>714375</xdr:colOff>
          <xdr:row>5</xdr:row>
          <xdr:rowOff>0</xdr:rowOff>
        </xdr:to>
        <xdr:sp macro="" textlink="">
          <xdr:nvSpPr>
            <xdr:cNvPr id="35844" name="Button 4" hidden="1">
              <a:extLst>
                <a:ext uri="{63B3BB69-23CF-44E3-9099-C40C66FF867C}">
                  <a14:compatExt spid="_x0000_s358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US" sz="1200" b="0" i="0" u="none" strike="noStrike" baseline="0">
                  <a:solidFill>
                    <a:srgbClr val="FF0000"/>
                  </a:solidFill>
                  <a:latin typeface="Arial MT"/>
                </a:rPr>
                <a:t>ATTACHMENT </a:t>
              </a:r>
            </a:p>
            <a:p>
              <a:pPr algn="ctr" rtl="0">
                <a:defRPr sz="1000"/>
              </a:pPr>
              <a:r>
                <a:rPr lang="en-US" sz="1200" b="0" i="0" u="none" strike="noStrike" baseline="0">
                  <a:solidFill>
                    <a:srgbClr val="FF0000"/>
                  </a:solidFill>
                  <a:latin typeface="Arial MT"/>
                </a:rPr>
                <a:t>H-22A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6</xdr:row>
          <xdr:rowOff>19050</xdr:rowOff>
        </xdr:from>
        <xdr:to>
          <xdr:col>5</xdr:col>
          <xdr:colOff>714375</xdr:colOff>
          <xdr:row>10</xdr:row>
          <xdr:rowOff>9525</xdr:rowOff>
        </xdr:to>
        <xdr:sp macro="" textlink="">
          <xdr:nvSpPr>
            <xdr:cNvPr id="35845" name="Button 5" hidden="1">
              <a:extLst>
                <a:ext uri="{63B3BB69-23CF-44E3-9099-C40C66FF867C}">
                  <a14:compatExt spid="_x0000_s358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US" sz="1200" b="0" i="0" u="none" strike="noStrike" baseline="0">
                  <a:solidFill>
                    <a:srgbClr val="333399"/>
                  </a:solidFill>
                  <a:latin typeface="Arial MT"/>
                </a:rPr>
                <a:t>APPENDIX B</a:t>
              </a:r>
            </a:p>
            <a:p>
              <a:pPr algn="ctr" rtl="0">
                <a:defRPr sz="1000"/>
              </a:pPr>
              <a:r>
                <a:rPr lang="en-US" sz="1200" b="0" i="0" u="none" strike="noStrike" baseline="0">
                  <a:solidFill>
                    <a:srgbClr val="333399"/>
                  </a:solidFill>
                  <a:latin typeface="Arial MT"/>
                </a:rPr>
                <a:t>(RTEP)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6</xdr:row>
          <xdr:rowOff>57150</xdr:rowOff>
        </xdr:from>
        <xdr:to>
          <xdr:col>8</xdr:col>
          <xdr:colOff>714375</xdr:colOff>
          <xdr:row>10</xdr:row>
          <xdr:rowOff>38100</xdr:rowOff>
        </xdr:to>
        <xdr:sp macro="" textlink="">
          <xdr:nvSpPr>
            <xdr:cNvPr id="35846" name="Button 6" hidden="1">
              <a:extLst>
                <a:ext uri="{63B3BB69-23CF-44E3-9099-C40C66FF867C}">
                  <a14:compatExt spid="_x0000_s358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US" sz="1200" b="0" i="0" u="none" strike="noStrike" baseline="0">
                  <a:solidFill>
                    <a:srgbClr val="333399"/>
                  </a:solidFill>
                  <a:latin typeface="Arial MT"/>
                </a:rPr>
                <a:t>APPENDIX B</a:t>
              </a:r>
            </a:p>
            <a:p>
              <a:pPr algn="ctr" rtl="0">
                <a:defRPr sz="1000"/>
              </a:pPr>
              <a:r>
                <a:rPr lang="en-US" sz="1200" b="0" i="0" u="none" strike="noStrike" baseline="0">
                  <a:solidFill>
                    <a:srgbClr val="333399"/>
                  </a:solidFill>
                  <a:latin typeface="Arial MT"/>
                </a:rPr>
                <a:t>DE OH &amp; KY</a:t>
              </a:r>
            </a:p>
            <a:p>
              <a:pPr algn="ctr" rtl="0">
                <a:defRPr sz="1000"/>
              </a:pPr>
              <a:r>
                <a:rPr lang="en-US" sz="1200" b="0" i="0" u="none" strike="noStrike" baseline="0">
                  <a:solidFill>
                    <a:srgbClr val="333399"/>
                  </a:solidFill>
                  <a:latin typeface="Arial MT"/>
                </a:rPr>
                <a:t>(RTEP)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0</xdr:colOff>
          <xdr:row>6</xdr:row>
          <xdr:rowOff>66675</xdr:rowOff>
        </xdr:from>
        <xdr:to>
          <xdr:col>11</xdr:col>
          <xdr:colOff>714375</xdr:colOff>
          <xdr:row>10</xdr:row>
          <xdr:rowOff>57150</xdr:rowOff>
        </xdr:to>
        <xdr:sp macro="" textlink="">
          <xdr:nvSpPr>
            <xdr:cNvPr id="35847" name="Button 7" hidden="1">
              <a:extLst>
                <a:ext uri="{63B3BB69-23CF-44E3-9099-C40C66FF867C}">
                  <a14:compatExt spid="_x0000_s358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US" sz="1200" b="0" i="0" u="none" strike="noStrike" baseline="0">
                  <a:solidFill>
                    <a:srgbClr val="333399"/>
                  </a:solidFill>
                  <a:latin typeface="Arial MT"/>
                </a:rPr>
                <a:t>APPENDIX B</a:t>
              </a:r>
            </a:p>
            <a:p>
              <a:pPr algn="ctr" rtl="0">
                <a:defRPr sz="1000"/>
              </a:pPr>
              <a:r>
                <a:rPr lang="en-US" sz="1200" b="0" i="0" u="none" strike="noStrike" baseline="0">
                  <a:solidFill>
                    <a:srgbClr val="333399"/>
                  </a:solidFill>
                  <a:latin typeface="Arial MT"/>
                </a:rPr>
                <a:t>DE Ohio</a:t>
              </a:r>
            </a:p>
            <a:p>
              <a:pPr algn="ctr" rtl="0">
                <a:defRPr sz="1000"/>
              </a:pPr>
              <a:r>
                <a:rPr lang="en-US" sz="1200" b="0" i="0" u="none" strike="noStrike" baseline="0">
                  <a:solidFill>
                    <a:srgbClr val="333399"/>
                  </a:solidFill>
                  <a:latin typeface="Arial MT"/>
                </a:rPr>
                <a:t>(RTEP)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0</xdr:colOff>
          <xdr:row>6</xdr:row>
          <xdr:rowOff>66675</xdr:rowOff>
        </xdr:from>
        <xdr:to>
          <xdr:col>14</xdr:col>
          <xdr:colOff>714375</xdr:colOff>
          <xdr:row>10</xdr:row>
          <xdr:rowOff>57150</xdr:rowOff>
        </xdr:to>
        <xdr:sp macro="" textlink="">
          <xdr:nvSpPr>
            <xdr:cNvPr id="35848" name="Button 8" hidden="1">
              <a:extLst>
                <a:ext uri="{63B3BB69-23CF-44E3-9099-C40C66FF867C}">
                  <a14:compatExt spid="_x0000_s358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US" sz="1200" b="0" i="0" u="none" strike="noStrike" baseline="0">
                  <a:solidFill>
                    <a:srgbClr val="333399"/>
                  </a:solidFill>
                  <a:latin typeface="Arial MT"/>
                </a:rPr>
                <a:t>APPENDIX B</a:t>
              </a:r>
            </a:p>
            <a:p>
              <a:pPr algn="ctr" rtl="0">
                <a:defRPr sz="1000"/>
              </a:pPr>
              <a:r>
                <a:rPr lang="en-US" sz="1200" b="0" i="0" u="none" strike="noStrike" baseline="0">
                  <a:solidFill>
                    <a:srgbClr val="333399"/>
                  </a:solidFill>
                  <a:latin typeface="Arial MT"/>
                </a:rPr>
                <a:t>DE Kentucky</a:t>
              </a:r>
            </a:p>
            <a:p>
              <a:pPr algn="ctr" rtl="0">
                <a:defRPr sz="1000"/>
              </a:pPr>
              <a:r>
                <a:rPr lang="en-US" sz="1200" b="0" i="0" u="none" strike="noStrike" baseline="0">
                  <a:solidFill>
                    <a:srgbClr val="333399"/>
                  </a:solidFill>
                  <a:latin typeface="Arial MT"/>
                </a:rPr>
                <a:t>(RTEP)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11</xdr:row>
          <xdr:rowOff>47625</xdr:rowOff>
        </xdr:from>
        <xdr:to>
          <xdr:col>5</xdr:col>
          <xdr:colOff>714375</xdr:colOff>
          <xdr:row>15</xdr:row>
          <xdr:rowOff>28575</xdr:rowOff>
        </xdr:to>
        <xdr:sp macro="" textlink="">
          <xdr:nvSpPr>
            <xdr:cNvPr id="35849" name="Button 9" hidden="1">
              <a:extLst>
                <a:ext uri="{63B3BB69-23CF-44E3-9099-C40C66FF867C}">
                  <a14:compatExt spid="_x0000_s358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US" sz="1200" b="0" i="0" u="none" strike="noStrike" baseline="0">
                  <a:solidFill>
                    <a:srgbClr val="FF6600"/>
                  </a:solidFill>
                  <a:latin typeface="Arial MT"/>
                </a:rPr>
                <a:t>APPENDIX C</a:t>
              </a:r>
            </a:p>
            <a:p>
              <a:pPr algn="ctr" rtl="0">
                <a:defRPr sz="1000"/>
              </a:pPr>
              <a:r>
                <a:rPr lang="en-US" sz="1200" b="0" i="0" u="none" strike="noStrike" baseline="0">
                  <a:solidFill>
                    <a:srgbClr val="FF6600"/>
                  </a:solidFill>
                  <a:latin typeface="Arial MT"/>
                </a:rPr>
                <a:t>(MTEP)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11</xdr:row>
          <xdr:rowOff>57150</xdr:rowOff>
        </xdr:from>
        <xdr:to>
          <xdr:col>8</xdr:col>
          <xdr:colOff>714375</xdr:colOff>
          <xdr:row>15</xdr:row>
          <xdr:rowOff>47625</xdr:rowOff>
        </xdr:to>
        <xdr:sp macro="" textlink="">
          <xdr:nvSpPr>
            <xdr:cNvPr id="35850" name="Button 10" hidden="1">
              <a:extLst>
                <a:ext uri="{63B3BB69-23CF-44E3-9099-C40C66FF867C}">
                  <a14:compatExt spid="_x0000_s358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US" sz="1200" b="0" i="0" u="none" strike="noStrike" baseline="0">
                  <a:solidFill>
                    <a:srgbClr val="FF6600"/>
                  </a:solidFill>
                  <a:latin typeface="Arial MT"/>
                </a:rPr>
                <a:t>APPENDIX C</a:t>
              </a:r>
            </a:p>
            <a:p>
              <a:pPr algn="ctr" rtl="0">
                <a:defRPr sz="1000"/>
              </a:pPr>
              <a:r>
                <a:rPr lang="en-US" sz="1200" b="0" i="0" u="none" strike="noStrike" baseline="0">
                  <a:solidFill>
                    <a:srgbClr val="FF6600"/>
                  </a:solidFill>
                  <a:latin typeface="Arial MT"/>
                </a:rPr>
                <a:t>DE OH &amp; KY</a:t>
              </a:r>
            </a:p>
            <a:p>
              <a:pPr algn="ctr" rtl="0">
                <a:defRPr sz="1000"/>
              </a:pPr>
              <a:r>
                <a:rPr lang="en-US" sz="1200" b="0" i="0" u="none" strike="noStrike" baseline="0">
                  <a:solidFill>
                    <a:srgbClr val="FF6600"/>
                  </a:solidFill>
                  <a:latin typeface="Arial MT"/>
                </a:rPr>
                <a:t>(MTEP)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0</xdr:colOff>
          <xdr:row>11</xdr:row>
          <xdr:rowOff>85725</xdr:rowOff>
        </xdr:from>
        <xdr:to>
          <xdr:col>11</xdr:col>
          <xdr:colOff>714375</xdr:colOff>
          <xdr:row>15</xdr:row>
          <xdr:rowOff>66675</xdr:rowOff>
        </xdr:to>
        <xdr:sp macro="" textlink="">
          <xdr:nvSpPr>
            <xdr:cNvPr id="35851" name="Button 11" hidden="1">
              <a:extLst>
                <a:ext uri="{63B3BB69-23CF-44E3-9099-C40C66FF867C}">
                  <a14:compatExt spid="_x0000_s358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US" sz="1200" b="0" i="0" u="none" strike="noStrike" baseline="0">
                  <a:solidFill>
                    <a:srgbClr val="FF6600"/>
                  </a:solidFill>
                  <a:latin typeface="Arial MT"/>
                </a:rPr>
                <a:t>APPENDIX C</a:t>
              </a:r>
            </a:p>
            <a:p>
              <a:pPr algn="ctr" rtl="0">
                <a:defRPr sz="1000"/>
              </a:pPr>
              <a:r>
                <a:rPr lang="en-US" sz="1200" b="0" i="0" u="none" strike="noStrike" baseline="0">
                  <a:solidFill>
                    <a:srgbClr val="FF6600"/>
                  </a:solidFill>
                  <a:latin typeface="Arial MT"/>
                </a:rPr>
                <a:t>DE Ohio</a:t>
              </a:r>
            </a:p>
            <a:p>
              <a:pPr algn="ctr" rtl="0">
                <a:defRPr sz="1000"/>
              </a:pPr>
              <a:r>
                <a:rPr lang="en-US" sz="1200" b="0" i="0" u="none" strike="noStrike" baseline="0">
                  <a:solidFill>
                    <a:srgbClr val="FF6600"/>
                  </a:solidFill>
                  <a:latin typeface="Arial MT"/>
                </a:rPr>
                <a:t>(MTEP)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0</xdr:colOff>
          <xdr:row>11</xdr:row>
          <xdr:rowOff>57150</xdr:rowOff>
        </xdr:from>
        <xdr:to>
          <xdr:col>14</xdr:col>
          <xdr:colOff>714375</xdr:colOff>
          <xdr:row>15</xdr:row>
          <xdr:rowOff>47625</xdr:rowOff>
        </xdr:to>
        <xdr:sp macro="" textlink="">
          <xdr:nvSpPr>
            <xdr:cNvPr id="35852" name="Button 12" hidden="1">
              <a:extLst>
                <a:ext uri="{63B3BB69-23CF-44E3-9099-C40C66FF867C}">
                  <a14:compatExt spid="_x0000_s358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US" sz="1200" b="0" i="0" u="none" strike="noStrike" baseline="0">
                  <a:solidFill>
                    <a:srgbClr val="FF6600"/>
                  </a:solidFill>
                  <a:latin typeface="Arial MT"/>
                </a:rPr>
                <a:t>APPENDIX C</a:t>
              </a:r>
            </a:p>
            <a:p>
              <a:pPr algn="ctr" rtl="0">
                <a:defRPr sz="1000"/>
              </a:pPr>
              <a:r>
                <a:rPr lang="en-US" sz="1200" b="0" i="0" u="none" strike="noStrike" baseline="0">
                  <a:solidFill>
                    <a:srgbClr val="FF6600"/>
                  </a:solidFill>
                  <a:latin typeface="Arial MT"/>
                </a:rPr>
                <a:t>DE Kentucky</a:t>
              </a:r>
            </a:p>
            <a:p>
              <a:pPr algn="ctr" rtl="0">
                <a:defRPr sz="1000"/>
              </a:pPr>
              <a:r>
                <a:rPr lang="en-US" sz="1200" b="0" i="0" u="none" strike="noStrike" baseline="0">
                  <a:solidFill>
                    <a:srgbClr val="FF6600"/>
                  </a:solidFill>
                  <a:latin typeface="Arial MT"/>
                </a:rPr>
                <a:t>(MTEP)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</xdr:row>
          <xdr:rowOff>19050</xdr:rowOff>
        </xdr:from>
        <xdr:to>
          <xdr:col>2</xdr:col>
          <xdr:colOff>714375</xdr:colOff>
          <xdr:row>5</xdr:row>
          <xdr:rowOff>0</xdr:rowOff>
        </xdr:to>
        <xdr:sp macro="" textlink="">
          <xdr:nvSpPr>
            <xdr:cNvPr id="35858" name="Button 18" hidden="1">
              <a:extLst>
                <a:ext uri="{63B3BB69-23CF-44E3-9099-C40C66FF867C}">
                  <a14:compatExt spid="_x0000_s358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US" sz="1200" b="0" i="0" u="none" strike="noStrike" baseline="0">
                  <a:solidFill>
                    <a:srgbClr val="000000"/>
                  </a:solidFill>
                  <a:latin typeface="Arial MT"/>
                </a:rPr>
                <a:t>PRINT ALL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11</xdr:row>
          <xdr:rowOff>19050</xdr:rowOff>
        </xdr:from>
        <xdr:to>
          <xdr:col>2</xdr:col>
          <xdr:colOff>714375</xdr:colOff>
          <xdr:row>15</xdr:row>
          <xdr:rowOff>0</xdr:rowOff>
        </xdr:to>
        <xdr:sp macro="" textlink="">
          <xdr:nvSpPr>
            <xdr:cNvPr id="35866" name="Button 26" hidden="1">
              <a:extLst>
                <a:ext uri="{63B3BB69-23CF-44E3-9099-C40C66FF867C}">
                  <a14:compatExt spid="_x0000_s358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US" sz="1200" b="0" i="0" u="none" strike="noStrike" baseline="0">
                  <a:solidFill>
                    <a:srgbClr val="000000"/>
                  </a:solidFill>
                  <a:latin typeface="Arial MT"/>
                </a:rPr>
                <a:t>SUPPORT SCHEDULES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238125</xdr:colOff>
          <xdr:row>6</xdr:row>
          <xdr:rowOff>19050</xdr:rowOff>
        </xdr:from>
        <xdr:to>
          <xdr:col>2</xdr:col>
          <xdr:colOff>714375</xdr:colOff>
          <xdr:row>9</xdr:row>
          <xdr:rowOff>133350</xdr:rowOff>
        </xdr:to>
        <xdr:sp macro="" textlink="">
          <xdr:nvSpPr>
            <xdr:cNvPr id="35868" name="Button 28" hidden="1">
              <a:extLst>
                <a:ext uri="{63B3BB69-23CF-44E3-9099-C40C66FF867C}">
                  <a14:compatExt spid="_x0000_s358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US" sz="1200" b="0" i="0" u="none" strike="noStrike" baseline="0">
                  <a:solidFill>
                    <a:srgbClr val="993300"/>
                  </a:solidFill>
                  <a:latin typeface="Arial MT"/>
                </a:rPr>
                <a:t>APPENDIX A</a:t>
              </a:r>
            </a:p>
            <a:p>
              <a:pPr algn="ctr" rtl="0">
                <a:defRPr sz="1000"/>
              </a:pPr>
              <a:r>
                <a:rPr lang="en-US" sz="1200" b="0" i="0" u="none" strike="noStrike" baseline="0">
                  <a:solidFill>
                    <a:srgbClr val="993300"/>
                  </a:solidFill>
                  <a:latin typeface="Arial MT"/>
                </a:rPr>
                <a:t>SCH 1A</a:t>
              </a:r>
            </a:p>
            <a:p>
              <a:pPr algn="ctr" rtl="0">
                <a:defRPr sz="1000"/>
              </a:pPr>
              <a:endParaRPr lang="en-US" sz="1200" b="0" i="0" u="none" strike="noStrike" baseline="0">
                <a:solidFill>
                  <a:srgbClr val="993300"/>
                </a:solidFill>
                <a:latin typeface="Arial MT"/>
              </a:endParaRP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21</xdr:row>
          <xdr:rowOff>19050</xdr:rowOff>
        </xdr:from>
        <xdr:to>
          <xdr:col>8</xdr:col>
          <xdr:colOff>714375</xdr:colOff>
          <xdr:row>25</xdr:row>
          <xdr:rowOff>0</xdr:rowOff>
        </xdr:to>
        <xdr:sp macro="" textlink="">
          <xdr:nvSpPr>
            <xdr:cNvPr id="35877" name="Button 37" hidden="1">
              <a:extLst>
                <a:ext uri="{63B3BB69-23CF-44E3-9099-C40C66FF867C}">
                  <a14:compatExt spid="_x0000_s358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US" sz="1200" b="0" i="0" u="none" strike="noStrike" baseline="0">
                  <a:solidFill>
                    <a:srgbClr val="993366"/>
                  </a:solidFill>
                  <a:latin typeface="Arial MT"/>
                </a:rPr>
                <a:t>APPENDIX E</a:t>
              </a:r>
            </a:p>
            <a:p>
              <a:pPr algn="ctr" rtl="0">
                <a:defRPr sz="1000"/>
              </a:pPr>
              <a:r>
                <a:rPr lang="en-US" sz="1200" b="0" i="0" u="none" strike="noStrike" baseline="0">
                  <a:solidFill>
                    <a:srgbClr val="993366"/>
                  </a:solidFill>
                  <a:latin typeface="Arial MT"/>
                </a:rPr>
                <a:t>DE OH &amp; KY</a:t>
              </a:r>
            </a:p>
            <a:p>
              <a:pPr algn="ctr" rtl="0">
                <a:defRPr sz="1000"/>
              </a:pPr>
              <a:r>
                <a:rPr lang="en-US" sz="1200" b="0" i="0" u="none" strike="noStrike" baseline="0">
                  <a:solidFill>
                    <a:srgbClr val="993366"/>
                  </a:solidFill>
                  <a:latin typeface="Arial MT"/>
                </a:rPr>
                <a:t>(Firm PTP Cr. Adj.)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16</xdr:row>
          <xdr:rowOff>95250</xdr:rowOff>
        </xdr:from>
        <xdr:to>
          <xdr:col>5</xdr:col>
          <xdr:colOff>714375</xdr:colOff>
          <xdr:row>20</xdr:row>
          <xdr:rowOff>85725</xdr:rowOff>
        </xdr:to>
        <xdr:sp macro="" textlink="">
          <xdr:nvSpPr>
            <xdr:cNvPr id="35878" name="Button 38" hidden="1">
              <a:extLst>
                <a:ext uri="{63B3BB69-23CF-44E3-9099-C40C66FF867C}">
                  <a14:compatExt spid="_x0000_s358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US" sz="1200" b="0" i="0" u="none" strike="noStrike" baseline="0">
                  <a:solidFill>
                    <a:srgbClr val="008000"/>
                  </a:solidFill>
                  <a:latin typeface="Arial MT"/>
                </a:rPr>
                <a:t>APPENDIX D</a:t>
              </a:r>
            </a:p>
            <a:p>
              <a:pPr algn="ctr" rtl="0">
                <a:defRPr sz="1000"/>
              </a:pPr>
              <a:r>
                <a:rPr lang="en-US" sz="1200" b="0" i="0" u="none" strike="noStrike" baseline="0">
                  <a:solidFill>
                    <a:srgbClr val="008000"/>
                  </a:solidFill>
                  <a:latin typeface="Arial MT"/>
                </a:rPr>
                <a:t>Depreciation Rates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16</xdr:row>
          <xdr:rowOff>104775</xdr:rowOff>
        </xdr:from>
        <xdr:to>
          <xdr:col>8</xdr:col>
          <xdr:colOff>714375</xdr:colOff>
          <xdr:row>20</xdr:row>
          <xdr:rowOff>95250</xdr:rowOff>
        </xdr:to>
        <xdr:sp macro="" textlink="">
          <xdr:nvSpPr>
            <xdr:cNvPr id="35880" name="Button 40" hidden="1">
              <a:extLst>
                <a:ext uri="{63B3BB69-23CF-44E3-9099-C40C66FF867C}">
                  <a14:compatExt spid="_x0000_s358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US" sz="1200" b="0" i="0" u="none" strike="noStrike" baseline="0">
                  <a:solidFill>
                    <a:srgbClr val="008000"/>
                  </a:solidFill>
                  <a:latin typeface="Arial MT"/>
                </a:rPr>
                <a:t>APPENDIX D</a:t>
              </a:r>
            </a:p>
            <a:p>
              <a:pPr algn="ctr" rtl="0">
                <a:defRPr sz="1000"/>
              </a:pPr>
              <a:r>
                <a:rPr lang="en-US" sz="1200" b="0" i="0" u="none" strike="noStrike" baseline="0">
                  <a:solidFill>
                    <a:srgbClr val="008000"/>
                  </a:solidFill>
                  <a:latin typeface="Arial MT"/>
                </a:rPr>
                <a:t>DE Ohio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0</xdr:colOff>
          <xdr:row>16</xdr:row>
          <xdr:rowOff>104775</xdr:rowOff>
        </xdr:from>
        <xdr:to>
          <xdr:col>11</xdr:col>
          <xdr:colOff>714375</xdr:colOff>
          <xdr:row>20</xdr:row>
          <xdr:rowOff>95250</xdr:rowOff>
        </xdr:to>
        <xdr:sp macro="" textlink="">
          <xdr:nvSpPr>
            <xdr:cNvPr id="35881" name="Button 41" hidden="1">
              <a:extLst>
                <a:ext uri="{63B3BB69-23CF-44E3-9099-C40C66FF867C}">
                  <a14:compatExt spid="_x0000_s358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US" sz="1200" b="0" i="0" u="none" strike="noStrike" baseline="0">
                  <a:solidFill>
                    <a:srgbClr val="008000"/>
                  </a:solidFill>
                  <a:latin typeface="Arial MT"/>
                </a:rPr>
                <a:t>APPENDIX D</a:t>
              </a:r>
            </a:p>
            <a:p>
              <a:pPr algn="ctr" rtl="0">
                <a:defRPr sz="1000"/>
              </a:pPr>
              <a:r>
                <a:rPr lang="en-US" sz="1200" b="0" i="0" u="none" strike="noStrike" baseline="0">
                  <a:solidFill>
                    <a:srgbClr val="008000"/>
                  </a:solidFill>
                  <a:latin typeface="Arial MT"/>
                </a:rPr>
                <a:t>DE Kentucky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theme="3" tint="-0.249977111117893"/>
  </sheetPr>
  <dimension ref="A1"/>
  <sheetViews>
    <sheetView zoomScaleNormal="100" workbookViewId="0">
      <selection activeCell="C34" sqref="C34"/>
    </sheetView>
  </sheetViews>
  <sheetFormatPr defaultColWidth="8.77734375" defaultRowHeight="15"/>
  <cols>
    <col min="1" max="1" width="3.109375" style="391" customWidth="1"/>
    <col min="2" max="3" width="8.77734375" style="391"/>
    <col min="4" max="4" width="4.21875" style="391" customWidth="1"/>
    <col min="5" max="6" width="8.77734375" style="391"/>
    <col min="7" max="7" width="4" style="391" customWidth="1"/>
    <col min="8" max="9" width="8.77734375" style="391"/>
    <col min="10" max="10" width="3.21875" style="391" customWidth="1"/>
    <col min="11" max="12" width="8.77734375" style="391"/>
    <col min="13" max="13" width="3.33203125" style="391" customWidth="1"/>
    <col min="14" max="16384" width="8.77734375" style="391"/>
  </cols>
  <sheetData>
    <row r="1" ht="7.9" customHeight="1"/>
  </sheetData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5841" r:id="rId4" name="Button 1">
              <controlPr defaultSize="0" print="0" autoFill="0" autoPict="0" macro="[0]!ThisWorkbook.PRINT_DEOK">
                <anchor moveWithCells="1" sizeWithCells="1">
                  <from>
                    <xdr:col>7</xdr:col>
                    <xdr:colOff>0</xdr:colOff>
                    <xdr:row>1</xdr:row>
                    <xdr:rowOff>19050</xdr:rowOff>
                  </from>
                  <to>
                    <xdr:col>8</xdr:col>
                    <xdr:colOff>714375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42" r:id="rId5" name="Button 2">
              <controlPr defaultSize="0" print="0" autoFill="0" autoPict="0" macro="[0]!ThisWorkbook.PRINT_DEO">
                <anchor moveWithCells="1" sizeWithCells="1">
                  <from>
                    <xdr:col>10</xdr:col>
                    <xdr:colOff>0</xdr:colOff>
                    <xdr:row>1</xdr:row>
                    <xdr:rowOff>0</xdr:rowOff>
                  </from>
                  <to>
                    <xdr:col>12</xdr:col>
                    <xdr:colOff>0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43" r:id="rId6" name="Button 3">
              <controlPr defaultSize="0" print="0" autoFill="0" autoPict="0" macro="[0]!ThisWorkbook.PRINT_DEK">
                <anchor moveWithCells="1" sizeWithCells="1">
                  <from>
                    <xdr:col>12</xdr:col>
                    <xdr:colOff>219075</xdr:colOff>
                    <xdr:row>1</xdr:row>
                    <xdr:rowOff>9525</xdr:rowOff>
                  </from>
                  <to>
                    <xdr:col>14</xdr:col>
                    <xdr:colOff>714375</xdr:colOff>
                    <xdr:row>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44" r:id="rId7" name="Button 4">
              <controlPr defaultSize="0" print="0" autoFill="0" autoPict="0" macro="[0]!ThisWorkbook.PRINT_ATTACHMENT_H22A">
                <anchor moveWithCells="1" sizeWithCells="1">
                  <from>
                    <xdr:col>4</xdr:col>
                    <xdr:colOff>0</xdr:colOff>
                    <xdr:row>1</xdr:row>
                    <xdr:rowOff>19050</xdr:rowOff>
                  </from>
                  <to>
                    <xdr:col>5</xdr:col>
                    <xdr:colOff>714375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45" r:id="rId8" name="Button 5">
              <controlPr defaultSize="0" print="0" autoFill="0" autoPict="0" macro="[0]!ThisWorkbook.PRINT_AppxB_RTEP">
                <anchor moveWithCells="1" sizeWithCells="1">
                  <from>
                    <xdr:col>4</xdr:col>
                    <xdr:colOff>0</xdr:colOff>
                    <xdr:row>6</xdr:row>
                    <xdr:rowOff>19050</xdr:rowOff>
                  </from>
                  <to>
                    <xdr:col>5</xdr:col>
                    <xdr:colOff>714375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46" r:id="rId9" name="Button 6">
              <controlPr defaultSize="0" print="0" autoFill="0" autoPict="0" macro="[0]!ThisWorkbook.PRINT_AppxB_DEM_RTEP">
                <anchor moveWithCells="1" sizeWithCells="1">
                  <from>
                    <xdr:col>7</xdr:col>
                    <xdr:colOff>0</xdr:colOff>
                    <xdr:row>6</xdr:row>
                    <xdr:rowOff>57150</xdr:rowOff>
                  </from>
                  <to>
                    <xdr:col>8</xdr:col>
                    <xdr:colOff>714375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47" r:id="rId10" name="Button 7">
              <controlPr defaultSize="0" print="0" autoFill="0" autoPict="0" macro="[0]!ThisWorkbook.PRINT_AppxB_DEO_RTEP">
                <anchor moveWithCells="1" sizeWithCells="1">
                  <from>
                    <xdr:col>10</xdr:col>
                    <xdr:colOff>0</xdr:colOff>
                    <xdr:row>6</xdr:row>
                    <xdr:rowOff>66675</xdr:rowOff>
                  </from>
                  <to>
                    <xdr:col>11</xdr:col>
                    <xdr:colOff>714375</xdr:colOff>
                    <xdr:row>10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48" r:id="rId11" name="Button 8">
              <controlPr defaultSize="0" print="0" autoFill="0" autoPict="0" macro="[0]!ThisWorkbook.PRINT_AppxB_DEK_RTEP">
                <anchor moveWithCells="1" sizeWithCells="1">
                  <from>
                    <xdr:col>13</xdr:col>
                    <xdr:colOff>0</xdr:colOff>
                    <xdr:row>6</xdr:row>
                    <xdr:rowOff>66675</xdr:rowOff>
                  </from>
                  <to>
                    <xdr:col>14</xdr:col>
                    <xdr:colOff>714375</xdr:colOff>
                    <xdr:row>10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49" r:id="rId12" name="Button 9">
              <controlPr defaultSize="0" print="0" autoFill="0" autoPict="0" macro="[0]!ThisWorkbook.PRINT_AppxC_MTEP">
                <anchor moveWithCells="1" sizeWithCells="1">
                  <from>
                    <xdr:col>4</xdr:col>
                    <xdr:colOff>0</xdr:colOff>
                    <xdr:row>11</xdr:row>
                    <xdr:rowOff>47625</xdr:rowOff>
                  </from>
                  <to>
                    <xdr:col>5</xdr:col>
                    <xdr:colOff>714375</xdr:colOff>
                    <xdr:row>15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50" r:id="rId13" name="Button 10">
              <controlPr defaultSize="0" print="0" autoFill="0" autoPict="0" macro="[0]!ThisWorkbook.PRINT_AppxC_DEM_MTEP">
                <anchor moveWithCells="1" sizeWithCells="1">
                  <from>
                    <xdr:col>7</xdr:col>
                    <xdr:colOff>0</xdr:colOff>
                    <xdr:row>11</xdr:row>
                    <xdr:rowOff>57150</xdr:rowOff>
                  </from>
                  <to>
                    <xdr:col>8</xdr:col>
                    <xdr:colOff>714375</xdr:colOff>
                    <xdr:row>15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51" r:id="rId14" name="Button 11">
              <controlPr defaultSize="0" print="0" autoFill="0" autoPict="0" macro="[0]!ThisWorkbook.PRINT_AppxC_DEO_MTEP">
                <anchor moveWithCells="1" sizeWithCells="1">
                  <from>
                    <xdr:col>10</xdr:col>
                    <xdr:colOff>0</xdr:colOff>
                    <xdr:row>11</xdr:row>
                    <xdr:rowOff>85725</xdr:rowOff>
                  </from>
                  <to>
                    <xdr:col>11</xdr:col>
                    <xdr:colOff>714375</xdr:colOff>
                    <xdr:row>15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52" r:id="rId15" name="Button 12">
              <controlPr defaultSize="0" print="0" autoFill="0" autoPict="0" macro="[0]!ThisWorkbook.PRINT_AppxC_DEK_MTEP">
                <anchor moveWithCells="1" sizeWithCells="1">
                  <from>
                    <xdr:col>13</xdr:col>
                    <xdr:colOff>0</xdr:colOff>
                    <xdr:row>11</xdr:row>
                    <xdr:rowOff>57150</xdr:rowOff>
                  </from>
                  <to>
                    <xdr:col>14</xdr:col>
                    <xdr:colOff>714375</xdr:colOff>
                    <xdr:row>15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58" r:id="rId16" name="Button 18">
              <controlPr defaultSize="0" print="0" autoFill="0" autoPict="0" macro="[0]!ThisWorkbook.PRINT_ALL">
                <anchor moveWithCells="1" sizeWithCells="1">
                  <from>
                    <xdr:col>1</xdr:col>
                    <xdr:colOff>0</xdr:colOff>
                    <xdr:row>1</xdr:row>
                    <xdr:rowOff>19050</xdr:rowOff>
                  </from>
                  <to>
                    <xdr:col>2</xdr:col>
                    <xdr:colOff>714375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66" r:id="rId17" name="Button 26">
              <controlPr defaultSize="0" print="0" autoFill="0" autoPict="0" macro="[0]!ThisWorkbook.PRINT_SUPPORT">
                <anchor moveWithCells="1" sizeWithCells="1">
                  <from>
                    <xdr:col>1</xdr:col>
                    <xdr:colOff>0</xdr:colOff>
                    <xdr:row>11</xdr:row>
                    <xdr:rowOff>19050</xdr:rowOff>
                  </from>
                  <to>
                    <xdr:col>2</xdr:col>
                    <xdr:colOff>714375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68" r:id="rId18" name="Button 28">
              <controlPr defaultSize="0" print="0" autoFill="0" autoPict="0" macro="[0]!ThisWorkbook.PRINT_Appendix_A">
                <anchor moveWithCells="1" sizeWithCells="1">
                  <from>
                    <xdr:col>0</xdr:col>
                    <xdr:colOff>238125</xdr:colOff>
                    <xdr:row>6</xdr:row>
                    <xdr:rowOff>19050</xdr:rowOff>
                  </from>
                  <to>
                    <xdr:col>2</xdr:col>
                    <xdr:colOff>714375</xdr:colOff>
                    <xdr:row>9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77" r:id="rId19" name="Button 37">
              <controlPr defaultSize="0" print="0" autoFill="0" autoPict="0" macro="[0]!ThisWorkbook.PRINT_AppxE_DEOK">
                <anchor moveWithCells="1" sizeWithCells="1">
                  <from>
                    <xdr:col>7</xdr:col>
                    <xdr:colOff>0</xdr:colOff>
                    <xdr:row>21</xdr:row>
                    <xdr:rowOff>19050</xdr:rowOff>
                  </from>
                  <to>
                    <xdr:col>8</xdr:col>
                    <xdr:colOff>714375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78" r:id="rId20" name="Button 38">
              <controlPr defaultSize="0" print="0" autoFill="0" autoPict="0" macro="[0]!ThisWorkbook.PRINT_AppxD">
                <anchor moveWithCells="1" sizeWithCells="1">
                  <from>
                    <xdr:col>4</xdr:col>
                    <xdr:colOff>0</xdr:colOff>
                    <xdr:row>16</xdr:row>
                    <xdr:rowOff>95250</xdr:rowOff>
                  </from>
                  <to>
                    <xdr:col>5</xdr:col>
                    <xdr:colOff>714375</xdr:colOff>
                    <xdr:row>20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80" r:id="rId21" name="Button 40">
              <controlPr defaultSize="0" print="0" autoFill="0" autoPict="0" macro="[0]!ThisWorkbook.PRINT_AppxD_DEO">
                <anchor moveWithCells="1" sizeWithCells="1">
                  <from>
                    <xdr:col>7</xdr:col>
                    <xdr:colOff>0</xdr:colOff>
                    <xdr:row>16</xdr:row>
                    <xdr:rowOff>104775</xdr:rowOff>
                  </from>
                  <to>
                    <xdr:col>8</xdr:col>
                    <xdr:colOff>714375</xdr:colOff>
                    <xdr:row>20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81" r:id="rId22" name="Button 41">
              <controlPr defaultSize="0" print="0" autoFill="0" autoPict="0" macro="[0]!ThisWorkbook.PRINT_AppxD_DEK">
                <anchor moveWithCells="1" sizeWithCells="1">
                  <from>
                    <xdr:col>10</xdr:col>
                    <xdr:colOff>0</xdr:colOff>
                    <xdr:row>16</xdr:row>
                    <xdr:rowOff>104775</xdr:rowOff>
                  </from>
                  <to>
                    <xdr:col>11</xdr:col>
                    <xdr:colOff>714375</xdr:colOff>
                    <xdr:row>20</xdr:row>
                    <xdr:rowOff>95250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9">
    <tabColor rgb="FFFFFF00"/>
  </sheetPr>
  <dimension ref="A1:F234"/>
  <sheetViews>
    <sheetView zoomScale="89" zoomScaleNormal="89" workbookViewId="0">
      <pane xSplit="5" ySplit="6" topLeftCell="F7" activePane="bottomRight" state="frozen"/>
      <selection activeCell="C169" sqref="C169"/>
      <selection pane="topRight" activeCell="C169" sqref="C169"/>
      <selection pane="bottomLeft" activeCell="C169" sqref="C169"/>
      <selection pane="bottomRight" activeCell="G1" sqref="G1:R1048576"/>
    </sheetView>
  </sheetViews>
  <sheetFormatPr defaultColWidth="8.77734375" defaultRowHeight="12.75"/>
  <cols>
    <col min="1" max="1" width="36.44140625" style="630" customWidth="1"/>
    <col min="2" max="2" width="21" style="630" customWidth="1"/>
    <col min="3" max="3" width="15.21875" style="630" customWidth="1"/>
    <col min="4" max="4" width="15.33203125" style="630" customWidth="1"/>
    <col min="5" max="5" width="15.21875" style="630" customWidth="1"/>
    <col min="6" max="6" width="2.44140625" style="630" customWidth="1"/>
    <col min="7" max="16384" width="8.77734375" style="630"/>
  </cols>
  <sheetData>
    <row r="1" spans="1:5" ht="15.75">
      <c r="A1" s="626" t="s">
        <v>663</v>
      </c>
      <c r="B1" s="964">
        <v>42369</v>
      </c>
      <c r="C1" s="629"/>
      <c r="D1" s="678" t="s">
        <v>680</v>
      </c>
      <c r="E1" s="758">
        <v>11</v>
      </c>
    </row>
    <row r="2" spans="1:5" ht="15.75">
      <c r="A2" s="627" t="s">
        <v>664</v>
      </c>
      <c r="B2" s="965">
        <f>EDATE(B1,5)+1</f>
        <v>42522</v>
      </c>
    </row>
    <row r="3" spans="1:5" ht="16.5" thickBot="1">
      <c r="A3" s="625"/>
      <c r="B3" s="631"/>
    </row>
    <row r="4" spans="1:5" ht="13.5" thickBot="1">
      <c r="A4" s="600"/>
      <c r="C4" s="632" t="s">
        <v>847</v>
      </c>
      <c r="D4" s="633"/>
      <c r="E4" s="634"/>
    </row>
    <row r="5" spans="1:5">
      <c r="A5" s="600"/>
      <c r="B5" s="635" t="s">
        <v>29</v>
      </c>
      <c r="C5" s="636"/>
      <c r="D5" s="636"/>
    </row>
    <row r="6" spans="1:5" ht="13.5" thickBot="1">
      <c r="A6" s="637" t="s">
        <v>661</v>
      </c>
      <c r="B6" s="638" t="s">
        <v>31</v>
      </c>
      <c r="C6" s="601" t="s">
        <v>217</v>
      </c>
      <c r="D6" s="601" t="s">
        <v>218</v>
      </c>
      <c r="E6" s="601" t="s">
        <v>546</v>
      </c>
    </row>
    <row r="7" spans="1:5">
      <c r="A7" s="600"/>
      <c r="B7" s="639"/>
      <c r="C7" s="639"/>
      <c r="D7" s="639"/>
    </row>
    <row r="8" spans="1:5">
      <c r="A8" s="595" t="s">
        <v>34</v>
      </c>
      <c r="B8" s="639"/>
      <c r="C8" s="639"/>
      <c r="D8" s="639"/>
    </row>
    <row r="9" spans="1:5">
      <c r="A9" s="600" t="s">
        <v>35</v>
      </c>
      <c r="B9" s="639" t="s">
        <v>219</v>
      </c>
      <c r="C9" s="1006">
        <v>0</v>
      </c>
      <c r="D9" s="1006">
        <v>1061538257</v>
      </c>
      <c r="E9" s="689">
        <f>D9+C9</f>
        <v>1061538257</v>
      </c>
    </row>
    <row r="10" spans="1:5">
      <c r="A10" s="600" t="s">
        <v>37</v>
      </c>
      <c r="B10" s="639" t="s">
        <v>204</v>
      </c>
      <c r="C10" s="594">
        <v>722095646</v>
      </c>
      <c r="D10" s="594">
        <v>55729127</v>
      </c>
      <c r="E10" s="690">
        <f t="shared" ref="E10:E13" si="0">D10+C10</f>
        <v>777824773</v>
      </c>
    </row>
    <row r="11" spans="1:5">
      <c r="A11" s="600" t="s">
        <v>38</v>
      </c>
      <c r="B11" s="639" t="s">
        <v>205</v>
      </c>
      <c r="C11" s="594">
        <v>2260439245</v>
      </c>
      <c r="D11" s="594">
        <v>414569190</v>
      </c>
      <c r="E11" s="690">
        <f t="shared" si="0"/>
        <v>2675008435</v>
      </c>
    </row>
    <row r="12" spans="1:5">
      <c r="A12" s="600" t="s">
        <v>39</v>
      </c>
      <c r="B12" s="639" t="s">
        <v>0</v>
      </c>
      <c r="C12" s="594">
        <f>42105121+191482345</f>
        <v>233587466</v>
      </c>
      <c r="D12" s="594">
        <f>9914773+5952414</f>
        <v>15867187</v>
      </c>
      <c r="E12" s="690">
        <f t="shared" si="0"/>
        <v>249454653</v>
      </c>
    </row>
    <row r="13" spans="1:5" ht="13.5" thickBot="1">
      <c r="A13" s="621" t="s">
        <v>41</v>
      </c>
      <c r="B13" s="952" t="s">
        <v>755</v>
      </c>
      <c r="C13" s="1007">
        <f>ROUND(347574257*0.62,0)</f>
        <v>215496039</v>
      </c>
      <c r="D13" s="1007">
        <f>ROUND(42816042*0.7187,0)</f>
        <v>30771889</v>
      </c>
      <c r="E13" s="732">
        <f t="shared" si="0"/>
        <v>246267928</v>
      </c>
    </row>
    <row r="14" spans="1:5">
      <c r="A14" s="600" t="s">
        <v>654</v>
      </c>
      <c r="B14" s="639"/>
      <c r="C14" s="641">
        <f>SUM(C9:C13)</f>
        <v>3431618396</v>
      </c>
      <c r="D14" s="641">
        <f>SUM(D9:D13)</f>
        <v>1578475650</v>
      </c>
      <c r="E14" s="689">
        <f>D14+C14</f>
        <v>5010094046</v>
      </c>
    </row>
    <row r="15" spans="1:5">
      <c r="A15" s="600"/>
      <c r="B15" s="639"/>
      <c r="C15" s="604"/>
      <c r="D15" s="604"/>
      <c r="E15" s="690"/>
    </row>
    <row r="16" spans="1:5">
      <c r="A16" s="595" t="s">
        <v>45</v>
      </c>
      <c r="B16" s="639"/>
      <c r="C16" s="604"/>
      <c r="D16" s="604"/>
      <c r="E16" s="690"/>
    </row>
    <row r="17" spans="1:5">
      <c r="A17" s="600" t="str">
        <f>A9</f>
        <v xml:space="preserve">  Production</v>
      </c>
      <c r="B17" s="639" t="s">
        <v>197</v>
      </c>
      <c r="C17" s="1006">
        <v>-14090</v>
      </c>
      <c r="D17" s="1006">
        <f>446381394+159961376</f>
        <v>606342770</v>
      </c>
      <c r="E17" s="689">
        <f t="shared" ref="E17:E21" si="1">D17+C17</f>
        <v>606328680</v>
      </c>
    </row>
    <row r="18" spans="1:5">
      <c r="A18" s="600" t="str">
        <f>A10</f>
        <v xml:space="preserve">  Transmission</v>
      </c>
      <c r="B18" s="639" t="s">
        <v>185</v>
      </c>
      <c r="C18" s="594">
        <v>240901826</v>
      </c>
      <c r="D18" s="594">
        <v>18558458</v>
      </c>
      <c r="E18" s="690">
        <f t="shared" si="1"/>
        <v>259460284</v>
      </c>
    </row>
    <row r="19" spans="1:5">
      <c r="A19" s="600" t="str">
        <f>A11</f>
        <v xml:space="preserve">  Distribution</v>
      </c>
      <c r="B19" s="639" t="s">
        <v>186</v>
      </c>
      <c r="C19" s="594">
        <v>753095517</v>
      </c>
      <c r="D19" s="594">
        <v>156076143</v>
      </c>
      <c r="E19" s="690">
        <f t="shared" si="1"/>
        <v>909171660</v>
      </c>
    </row>
    <row r="20" spans="1:5">
      <c r="A20" s="600" t="str">
        <f>A12</f>
        <v xml:space="preserve">  General &amp; Intangible</v>
      </c>
      <c r="B20" s="639" t="s">
        <v>676</v>
      </c>
      <c r="C20" s="594">
        <f>41547133+47428194</f>
        <v>88975327</v>
      </c>
      <c r="D20" s="594">
        <f>8357787+1132261</f>
        <v>9490048</v>
      </c>
      <c r="E20" s="690">
        <f t="shared" si="1"/>
        <v>98465375</v>
      </c>
    </row>
    <row r="21" spans="1:5" ht="13.5" thickBot="1">
      <c r="A21" s="621" t="str">
        <f>A13</f>
        <v xml:space="preserve">  Common</v>
      </c>
      <c r="B21" s="952" t="s">
        <v>755</v>
      </c>
      <c r="C21" s="1007">
        <v>77838939</v>
      </c>
      <c r="D21" s="1007">
        <v>25412389</v>
      </c>
      <c r="E21" s="732">
        <f t="shared" si="1"/>
        <v>103251328</v>
      </c>
    </row>
    <row r="22" spans="1:5">
      <c r="A22" s="600" t="s">
        <v>655</v>
      </c>
      <c r="B22" s="639"/>
      <c r="C22" s="641">
        <f>SUM(C17:C21)</f>
        <v>1160797519</v>
      </c>
      <c r="D22" s="641">
        <f>SUM(D17:D21)</f>
        <v>815879808</v>
      </c>
      <c r="E22" s="689">
        <f>D22+C22</f>
        <v>1976677327</v>
      </c>
    </row>
    <row r="23" spans="1:5">
      <c r="B23" s="639" t="s">
        <v>12</v>
      </c>
      <c r="C23" s="604"/>
      <c r="D23" s="604"/>
      <c r="E23" s="690"/>
    </row>
    <row r="24" spans="1:5">
      <c r="A24" s="595" t="s">
        <v>47</v>
      </c>
      <c r="B24" s="639"/>
      <c r="C24" s="604"/>
      <c r="D24" s="604"/>
      <c r="E24" s="690"/>
    </row>
    <row r="25" spans="1:5">
      <c r="A25" s="600" t="str">
        <f>A17</f>
        <v xml:space="preserve">  Production</v>
      </c>
      <c r="B25" s="639" t="s">
        <v>422</v>
      </c>
      <c r="C25" s="641">
        <f t="shared" ref="C25:D29" si="2">C9-C17</f>
        <v>14090</v>
      </c>
      <c r="D25" s="641">
        <f t="shared" si="2"/>
        <v>455195487</v>
      </c>
      <c r="E25" s="689">
        <f t="shared" ref="E25:E30" si="3">D25+C25</f>
        <v>455209577</v>
      </c>
    </row>
    <row r="26" spans="1:5">
      <c r="A26" s="600" t="str">
        <f>A18</f>
        <v xml:space="preserve">  Transmission</v>
      </c>
      <c r="B26" s="639" t="s">
        <v>423</v>
      </c>
      <c r="C26" s="604">
        <f t="shared" si="2"/>
        <v>481193820</v>
      </c>
      <c r="D26" s="604">
        <f t="shared" si="2"/>
        <v>37170669</v>
      </c>
      <c r="E26" s="690">
        <f t="shared" si="3"/>
        <v>518364489</v>
      </c>
    </row>
    <row r="27" spans="1:5">
      <c r="A27" s="600" t="str">
        <f>A19</f>
        <v xml:space="preserve">  Distribution</v>
      </c>
      <c r="B27" s="639" t="s">
        <v>48</v>
      </c>
      <c r="C27" s="604">
        <f t="shared" si="2"/>
        <v>1507343728</v>
      </c>
      <c r="D27" s="604">
        <f t="shared" si="2"/>
        <v>258493047</v>
      </c>
      <c r="E27" s="690">
        <f t="shared" si="3"/>
        <v>1765836775</v>
      </c>
    </row>
    <row r="28" spans="1:5">
      <c r="A28" s="600" t="str">
        <f>A20</f>
        <v xml:space="preserve">  General &amp; Intangible</v>
      </c>
      <c r="B28" s="639" t="s">
        <v>49</v>
      </c>
      <c r="C28" s="604">
        <f t="shared" si="2"/>
        <v>144612139</v>
      </c>
      <c r="D28" s="604">
        <f t="shared" si="2"/>
        <v>6377139</v>
      </c>
      <c r="E28" s="690">
        <f t="shared" si="3"/>
        <v>150989278</v>
      </c>
    </row>
    <row r="29" spans="1:5" ht="13.5" thickBot="1">
      <c r="A29" s="621" t="str">
        <f>A21</f>
        <v xml:space="preserve">  Common</v>
      </c>
      <c r="B29" s="642" t="s">
        <v>50</v>
      </c>
      <c r="C29" s="643">
        <f t="shared" si="2"/>
        <v>137657100</v>
      </c>
      <c r="D29" s="643">
        <f t="shared" si="2"/>
        <v>5359500</v>
      </c>
      <c r="E29" s="732">
        <f t="shared" si="3"/>
        <v>143016600</v>
      </c>
    </row>
    <row r="30" spans="1:5">
      <c r="A30" s="600" t="s">
        <v>656</v>
      </c>
      <c r="B30" s="639"/>
      <c r="C30" s="641">
        <f>SUM(C25:C29)</f>
        <v>2270820877</v>
      </c>
      <c r="D30" s="641">
        <f>SUM(D25:D29)</f>
        <v>762595842</v>
      </c>
      <c r="E30" s="689">
        <f t="shared" si="3"/>
        <v>3033416719</v>
      </c>
    </row>
    <row r="31" spans="1:5">
      <c r="B31" s="639"/>
      <c r="C31" s="604"/>
      <c r="D31" s="604"/>
      <c r="E31" s="690"/>
    </row>
    <row r="32" spans="1:5">
      <c r="A32" s="620" t="s">
        <v>660</v>
      </c>
      <c r="B32" s="639"/>
      <c r="C32" s="604"/>
      <c r="D32" s="604"/>
      <c r="E32" s="690"/>
    </row>
    <row r="33" spans="1:5">
      <c r="A33" s="600" t="s">
        <v>142</v>
      </c>
      <c r="B33" s="639" t="s">
        <v>53</v>
      </c>
      <c r="C33" s="1006">
        <v>0</v>
      </c>
      <c r="D33" s="1006">
        <v>-190426</v>
      </c>
      <c r="E33" s="689">
        <f t="shared" ref="E33:E38" si="4">D33+C33</f>
        <v>-190426</v>
      </c>
    </row>
    <row r="34" spans="1:5">
      <c r="A34" s="600" t="s">
        <v>143</v>
      </c>
      <c r="B34" s="953" t="s">
        <v>756</v>
      </c>
      <c r="C34" s="690">
        <f>-'P1 ADIT 190 &amp; 282'!D33</f>
        <v>-633499802</v>
      </c>
      <c r="D34" s="690">
        <f>-'P1 ADIT 190 &amp; 282'!E33</f>
        <v>-239272249</v>
      </c>
      <c r="E34" s="690">
        <f t="shared" si="4"/>
        <v>-872772051</v>
      </c>
    </row>
    <row r="35" spans="1:5">
      <c r="A35" s="600" t="s">
        <v>144</v>
      </c>
      <c r="B35" s="953" t="s">
        <v>756</v>
      </c>
      <c r="C35" s="690">
        <f>-'P1 ADIT 190 &amp; 282'!D45</f>
        <v>-57701508</v>
      </c>
      <c r="D35" s="690">
        <f>-'P1 ADIT 190 &amp; 282'!E45</f>
        <v>-7657117</v>
      </c>
      <c r="E35" s="690">
        <f t="shared" si="4"/>
        <v>-65358625</v>
      </c>
    </row>
    <row r="36" spans="1:5">
      <c r="A36" s="600" t="s">
        <v>146</v>
      </c>
      <c r="B36" s="953" t="s">
        <v>757</v>
      </c>
      <c r="C36" s="728">
        <f>'P1 ADIT 190 &amp; 282'!D21</f>
        <v>48742611</v>
      </c>
      <c r="D36" s="728">
        <f>'P1 ADIT 190 &amp; 282'!E21</f>
        <v>37023708</v>
      </c>
      <c r="E36" s="728">
        <f t="shared" si="4"/>
        <v>85766319</v>
      </c>
    </row>
    <row r="37" spans="1:5" ht="13.5" thickBot="1">
      <c r="A37" s="645" t="s">
        <v>145</v>
      </c>
      <c r="B37" s="645" t="s">
        <v>198</v>
      </c>
      <c r="C37" s="1009">
        <v>0</v>
      </c>
      <c r="D37" s="1009">
        <v>0</v>
      </c>
      <c r="E37" s="732">
        <f t="shared" si="4"/>
        <v>0</v>
      </c>
    </row>
    <row r="38" spans="1:5">
      <c r="A38" s="600" t="s">
        <v>657</v>
      </c>
      <c r="B38" s="639"/>
      <c r="C38" s="641">
        <f>SUM(C33:C37)</f>
        <v>-642458699</v>
      </c>
      <c r="D38" s="641">
        <f>SUM(D33:D37)</f>
        <v>-210096084</v>
      </c>
      <c r="E38" s="689">
        <f t="shared" si="4"/>
        <v>-852554783</v>
      </c>
    </row>
    <row r="39" spans="1:5">
      <c r="B39" s="639"/>
      <c r="C39" s="604"/>
      <c r="D39" s="604"/>
      <c r="E39" s="690"/>
    </row>
    <row r="40" spans="1:5">
      <c r="A40" s="620" t="s">
        <v>436</v>
      </c>
      <c r="B40" s="639" t="s">
        <v>409</v>
      </c>
      <c r="C40" s="689">
        <f>'P3 Land Held for Future Use'!B17</f>
        <v>121217</v>
      </c>
      <c r="D40" s="689">
        <f>'P3 Land Held for Future Use'!B23</f>
        <v>0</v>
      </c>
      <c r="E40" s="689">
        <f>D40+C40</f>
        <v>121217</v>
      </c>
    </row>
    <row r="41" spans="1:5">
      <c r="A41" s="600"/>
      <c r="B41" s="639"/>
      <c r="C41" s="604"/>
      <c r="D41" s="604"/>
      <c r="E41" s="690"/>
    </row>
    <row r="42" spans="1:5">
      <c r="A42" s="620" t="s">
        <v>659</v>
      </c>
      <c r="B42" s="639" t="s">
        <v>12</v>
      </c>
      <c r="C42" s="604"/>
      <c r="D42" s="604"/>
      <c r="E42" s="690"/>
    </row>
    <row r="43" spans="1:5">
      <c r="A43" s="600" t="s">
        <v>170</v>
      </c>
      <c r="B43" s="630" t="s">
        <v>168</v>
      </c>
      <c r="C43" s="689">
        <f>ROUND((DEO!E148/8),0)</f>
        <v>12536209</v>
      </c>
      <c r="D43" s="689">
        <f>ROUND((DEK!E148/8),0)</f>
        <v>2680012</v>
      </c>
      <c r="E43" s="689">
        <f t="shared" ref="E43:E46" si="5">D43+C43</f>
        <v>15216221</v>
      </c>
    </row>
    <row r="44" spans="1:5">
      <c r="A44" s="646" t="s">
        <v>437</v>
      </c>
      <c r="B44" s="639" t="s">
        <v>683</v>
      </c>
      <c r="C44" s="690">
        <f>'P2 Allocate M&amp;S'!B15+'P2 Allocate M&amp;S'!F15</f>
        <v>17937679</v>
      </c>
      <c r="D44" s="690">
        <f>'P2 Allocate M&amp;S'!B23+'P2 Allocate M&amp;S'!F23</f>
        <v>30180</v>
      </c>
      <c r="E44" s="690">
        <f t="shared" si="5"/>
        <v>17967859</v>
      </c>
    </row>
    <row r="45" spans="1:5" ht="13.5" thickBot="1">
      <c r="A45" s="621" t="s">
        <v>148</v>
      </c>
      <c r="B45" s="642" t="s">
        <v>202</v>
      </c>
      <c r="C45" s="1007">
        <v>5076895</v>
      </c>
      <c r="D45" s="1007">
        <v>856973</v>
      </c>
      <c r="E45" s="732">
        <f t="shared" si="5"/>
        <v>5933868</v>
      </c>
    </row>
    <row r="46" spans="1:5">
      <c r="A46" s="600" t="s">
        <v>658</v>
      </c>
      <c r="B46" s="593"/>
      <c r="C46" s="647">
        <f>C43+C44+C45</f>
        <v>35550783</v>
      </c>
      <c r="D46" s="647">
        <f>D43+D44+D45</f>
        <v>3567165</v>
      </c>
      <c r="E46" s="689">
        <f t="shared" si="5"/>
        <v>39117948</v>
      </c>
    </row>
    <row r="47" spans="1:5" ht="13.5" thickBot="1">
      <c r="B47" s="639"/>
      <c r="C47" s="648"/>
      <c r="D47" s="648"/>
      <c r="E47" s="732"/>
    </row>
    <row r="48" spans="1:5" ht="13.5" thickBot="1">
      <c r="A48" s="595" t="s">
        <v>335</v>
      </c>
      <c r="B48" s="639"/>
      <c r="C48" s="649">
        <f>C46+C40+C38+C30</f>
        <v>1664034178</v>
      </c>
      <c r="D48" s="649">
        <f>D46+D40+D38+D30</f>
        <v>556066923</v>
      </c>
      <c r="E48" s="733">
        <f>D48+C48</f>
        <v>2220101101</v>
      </c>
    </row>
    <row r="49" spans="1:6" ht="14.25" thickTop="1" thickBot="1">
      <c r="A49" s="600"/>
      <c r="B49" s="639"/>
      <c r="C49" s="639"/>
      <c r="D49" s="639"/>
      <c r="E49" s="734"/>
    </row>
    <row r="50" spans="1:6">
      <c r="A50" s="697" t="s">
        <v>58</v>
      </c>
      <c r="B50" s="698"/>
      <c r="C50" s="698"/>
      <c r="D50" s="698"/>
      <c r="E50" s="735"/>
    </row>
    <row r="51" spans="1:6">
      <c r="A51" s="600" t="s">
        <v>59</v>
      </c>
      <c r="B51" s="639" t="s">
        <v>220</v>
      </c>
      <c r="C51" s="1006">
        <v>31976701</v>
      </c>
      <c r="D51" s="1006">
        <v>16183911</v>
      </c>
      <c r="E51" s="689">
        <f t="shared" ref="E51:E65" si="6">D51+C51</f>
        <v>48160612</v>
      </c>
    </row>
    <row r="52" spans="1:6" s="696" customFormat="1" ht="25.5">
      <c r="A52" s="704" t="s">
        <v>446</v>
      </c>
      <c r="B52" s="954" t="s">
        <v>758</v>
      </c>
      <c r="C52" s="695">
        <f>0+15550907</f>
        <v>15550907</v>
      </c>
      <c r="D52" s="695">
        <v>0</v>
      </c>
      <c r="E52" s="736">
        <f t="shared" si="6"/>
        <v>15550907</v>
      </c>
    </row>
    <row r="53" spans="1:6" ht="25.5">
      <c r="A53" s="651" t="s">
        <v>640</v>
      </c>
      <c r="B53" s="694" t="s">
        <v>641</v>
      </c>
      <c r="C53" s="695">
        <v>0</v>
      </c>
      <c r="D53" s="695">
        <v>0</v>
      </c>
      <c r="E53" s="736">
        <f t="shared" si="6"/>
        <v>0</v>
      </c>
      <c r="F53" s="696"/>
    </row>
    <row r="54" spans="1:6">
      <c r="A54" s="652" t="s">
        <v>4</v>
      </c>
      <c r="B54" s="639" t="s">
        <v>221</v>
      </c>
      <c r="C54" s="594">
        <v>1500</v>
      </c>
      <c r="D54" s="594">
        <v>14117924</v>
      </c>
      <c r="E54" s="690">
        <f t="shared" si="6"/>
        <v>14119424</v>
      </c>
    </row>
    <row r="55" spans="1:6">
      <c r="A55" s="598" t="s">
        <v>60</v>
      </c>
      <c r="B55" s="650" t="s">
        <v>222</v>
      </c>
      <c r="C55" s="594">
        <v>86660274</v>
      </c>
      <c r="D55" s="594">
        <v>20731564</v>
      </c>
      <c r="E55" s="690">
        <f t="shared" si="6"/>
        <v>107391838</v>
      </c>
    </row>
    <row r="56" spans="1:6">
      <c r="A56" s="653" t="s">
        <v>471</v>
      </c>
      <c r="B56" s="650" t="s">
        <v>291</v>
      </c>
      <c r="C56" s="594">
        <f>-698854+944274</f>
        <v>245420</v>
      </c>
      <c r="D56" s="594">
        <f>-164125+313212</f>
        <v>149087</v>
      </c>
      <c r="E56" s="690">
        <f t="shared" si="6"/>
        <v>394507</v>
      </c>
    </row>
    <row r="57" spans="1:6">
      <c r="A57" s="653" t="s">
        <v>472</v>
      </c>
      <c r="B57" s="650" t="s">
        <v>291</v>
      </c>
      <c r="C57" s="594">
        <v>2342494</v>
      </c>
      <c r="D57" s="594">
        <v>575908</v>
      </c>
      <c r="E57" s="690">
        <f t="shared" si="6"/>
        <v>2918402</v>
      </c>
    </row>
    <row r="58" spans="1:6">
      <c r="A58" s="652" t="s">
        <v>643</v>
      </c>
      <c r="B58" s="650" t="s">
        <v>644</v>
      </c>
      <c r="C58" s="594">
        <v>0</v>
      </c>
      <c r="D58" s="594">
        <v>0</v>
      </c>
      <c r="E58" s="690">
        <f t="shared" si="6"/>
        <v>0</v>
      </c>
    </row>
    <row r="59" spans="1:6">
      <c r="A59" s="894" t="s">
        <v>767</v>
      </c>
      <c r="B59" s="955" t="s">
        <v>768</v>
      </c>
      <c r="C59" s="594">
        <v>0</v>
      </c>
      <c r="D59" s="594">
        <v>0</v>
      </c>
      <c r="E59" s="690">
        <f t="shared" ref="E59" si="7">D59+C59</f>
        <v>0</v>
      </c>
    </row>
    <row r="60" spans="1:6">
      <c r="A60" s="653" t="s">
        <v>431</v>
      </c>
      <c r="B60" s="650" t="s">
        <v>759</v>
      </c>
      <c r="C60" s="594">
        <v>0</v>
      </c>
      <c r="D60" s="594">
        <v>0</v>
      </c>
      <c r="E60" s="690">
        <f t="shared" si="6"/>
        <v>0</v>
      </c>
    </row>
    <row r="61" spans="1:6" ht="25.5">
      <c r="A61" s="651" t="s">
        <v>447</v>
      </c>
      <c r="B61" s="955" t="s">
        <v>760</v>
      </c>
      <c r="C61" s="690">
        <f>'P4 Advertising - EPRI Adj.'!C30</f>
        <v>2556872</v>
      </c>
      <c r="D61" s="690">
        <f>'P4 Advertising - EPRI Adj.'!D30</f>
        <v>891013</v>
      </c>
      <c r="E61" s="690">
        <f t="shared" si="6"/>
        <v>3447885</v>
      </c>
    </row>
    <row r="62" spans="1:6" ht="25.5">
      <c r="A62" s="651" t="s">
        <v>448</v>
      </c>
      <c r="B62" s="650"/>
      <c r="C62" s="594">
        <v>0</v>
      </c>
      <c r="D62" s="594">
        <v>0</v>
      </c>
      <c r="E62" s="690">
        <f t="shared" si="6"/>
        <v>0</v>
      </c>
    </row>
    <row r="63" spans="1:6">
      <c r="A63" s="598" t="s">
        <v>41</v>
      </c>
      <c r="B63" s="650" t="str">
        <f>B21</f>
        <v>356</v>
      </c>
      <c r="C63" s="594">
        <v>0</v>
      </c>
      <c r="D63" s="594">
        <v>0</v>
      </c>
      <c r="E63" s="690">
        <f t="shared" si="6"/>
        <v>0</v>
      </c>
    </row>
    <row r="64" spans="1:6">
      <c r="A64" s="598" t="s">
        <v>61</v>
      </c>
      <c r="B64" s="650"/>
      <c r="C64" s="654">
        <v>0</v>
      </c>
      <c r="D64" s="654">
        <v>0</v>
      </c>
      <c r="E64" s="728">
        <f t="shared" si="6"/>
        <v>0</v>
      </c>
      <c r="F64" s="640"/>
    </row>
    <row r="65" spans="1:6" ht="25.5">
      <c r="A65" s="651" t="s">
        <v>467</v>
      </c>
      <c r="B65" s="955"/>
      <c r="C65" s="641">
        <f>C51-C52-C53-C54+C55-C56+C57-C58-C60-C61+C62+C63+C64</f>
        <v>102624770</v>
      </c>
      <c r="D65" s="641">
        <f>D51-D52-D53-D54+D55-D56+D57-D58-D60-D61+D62+D63+D64</f>
        <v>22333359</v>
      </c>
      <c r="E65" s="689">
        <f t="shared" si="6"/>
        <v>124958129</v>
      </c>
    </row>
    <row r="66" spans="1:6">
      <c r="A66" s="655"/>
      <c r="B66" s="650"/>
      <c r="C66" s="604"/>
      <c r="D66" s="604"/>
      <c r="E66" s="690"/>
    </row>
    <row r="67" spans="1:6">
      <c r="A67" s="595" t="s">
        <v>62</v>
      </c>
      <c r="B67" s="639"/>
      <c r="C67" s="656"/>
      <c r="D67" s="656"/>
      <c r="E67" s="690"/>
    </row>
    <row r="68" spans="1:6">
      <c r="A68" s="600" t="str">
        <f>A51</f>
        <v xml:space="preserve">  Transmission </v>
      </c>
      <c r="B68" s="639" t="s">
        <v>712</v>
      </c>
      <c r="C68" s="1006">
        <v>12501947</v>
      </c>
      <c r="D68" s="1006">
        <v>1029591</v>
      </c>
      <c r="E68" s="689">
        <f t="shared" ref="E68:E71" si="8">D68+C68</f>
        <v>13531538</v>
      </c>
    </row>
    <row r="69" spans="1:6" ht="15">
      <c r="A69" s="600" t="s">
        <v>39</v>
      </c>
      <c r="B69" s="730" t="s">
        <v>678</v>
      </c>
      <c r="C69" s="594">
        <f>2522183+11180098</f>
        <v>13702281</v>
      </c>
      <c r="D69" s="594">
        <f>1101671+491145</f>
        <v>1592816</v>
      </c>
      <c r="E69" s="690">
        <f t="shared" si="8"/>
        <v>15295097</v>
      </c>
    </row>
    <row r="70" spans="1:6" ht="13.5" thickBot="1">
      <c r="A70" s="621" t="str">
        <f>A63</f>
        <v xml:space="preserve">  Common</v>
      </c>
      <c r="B70" s="642" t="s">
        <v>711</v>
      </c>
      <c r="C70" s="1007">
        <v>9933066</v>
      </c>
      <c r="D70" s="1007">
        <f>1401869</f>
        <v>1401869</v>
      </c>
      <c r="E70" s="732">
        <f t="shared" si="8"/>
        <v>11334935</v>
      </c>
    </row>
    <row r="71" spans="1:6">
      <c r="A71" s="600" t="s">
        <v>64</v>
      </c>
      <c r="B71" s="639"/>
      <c r="C71" s="647">
        <f>SUM(C68:C70)</f>
        <v>36137294</v>
      </c>
      <c r="D71" s="647">
        <f>SUM(D68:D70)</f>
        <v>4024276</v>
      </c>
      <c r="E71" s="689">
        <f t="shared" si="8"/>
        <v>40161570</v>
      </c>
    </row>
    <row r="72" spans="1:6">
      <c r="A72" s="600"/>
      <c r="B72" s="639"/>
      <c r="C72" s="656"/>
      <c r="D72" s="656"/>
      <c r="E72" s="690"/>
    </row>
    <row r="73" spans="1:6">
      <c r="A73" s="620" t="s">
        <v>235</v>
      </c>
      <c r="C73" s="656"/>
      <c r="D73" s="656"/>
      <c r="E73" s="690"/>
    </row>
    <row r="74" spans="1:6">
      <c r="A74" s="600" t="s">
        <v>65</v>
      </c>
      <c r="C74" s="656"/>
      <c r="D74" s="656"/>
      <c r="E74" s="690"/>
    </row>
    <row r="75" spans="1:6">
      <c r="A75" s="657" t="s">
        <v>432</v>
      </c>
      <c r="B75" s="639" t="s">
        <v>761</v>
      </c>
      <c r="C75" s="1006">
        <f>4973751+55452+13990</f>
        <v>5043193</v>
      </c>
      <c r="D75" s="1006">
        <f>2097396+9070+19062</f>
        <v>2125528</v>
      </c>
      <c r="E75" s="689">
        <f t="shared" ref="E75:E82" si="9">D75+C75</f>
        <v>7168721</v>
      </c>
    </row>
    <row r="76" spans="1:6">
      <c r="A76" s="657" t="s">
        <v>433</v>
      </c>
      <c r="B76" s="639" t="s">
        <v>761</v>
      </c>
      <c r="C76" s="594">
        <v>4990</v>
      </c>
      <c r="D76" s="594">
        <v>1723</v>
      </c>
      <c r="E76" s="690">
        <f t="shared" si="9"/>
        <v>6713</v>
      </c>
    </row>
    <row r="77" spans="1:6">
      <c r="A77" s="600" t="s">
        <v>66</v>
      </c>
      <c r="B77" s="639" t="s">
        <v>12</v>
      </c>
      <c r="C77" s="658"/>
      <c r="D77" s="658"/>
      <c r="E77" s="690">
        <f t="shared" si="9"/>
        <v>0</v>
      </c>
      <c r="F77" s="655"/>
    </row>
    <row r="78" spans="1:6">
      <c r="A78" s="600" t="s">
        <v>67</v>
      </c>
      <c r="B78" s="639" t="s">
        <v>761</v>
      </c>
      <c r="C78" s="594">
        <v>102946816</v>
      </c>
      <c r="D78" s="594">
        <f>1085411+5832323</f>
        <v>6917734</v>
      </c>
      <c r="E78" s="690">
        <f t="shared" si="9"/>
        <v>109864550</v>
      </c>
    </row>
    <row r="79" spans="1:6">
      <c r="A79" s="600" t="s">
        <v>68</v>
      </c>
      <c r="B79" s="639" t="s">
        <v>761</v>
      </c>
      <c r="C79" s="594">
        <v>2259371</v>
      </c>
      <c r="D79" s="594">
        <v>0</v>
      </c>
      <c r="E79" s="690">
        <f t="shared" si="9"/>
        <v>2259371</v>
      </c>
    </row>
    <row r="80" spans="1:6">
      <c r="A80" s="600" t="s">
        <v>69</v>
      </c>
      <c r="B80" s="639" t="s">
        <v>199</v>
      </c>
      <c r="C80" s="594">
        <v>0</v>
      </c>
      <c r="D80" s="594">
        <v>0</v>
      </c>
      <c r="E80" s="690">
        <f t="shared" si="9"/>
        <v>0</v>
      </c>
    </row>
    <row r="81" spans="1:6" ht="13.5" thickBot="1">
      <c r="A81" s="621" t="s">
        <v>70</v>
      </c>
      <c r="B81" s="642"/>
      <c r="C81" s="1007">
        <v>0</v>
      </c>
      <c r="D81" s="1007">
        <v>0</v>
      </c>
      <c r="E81" s="732">
        <f t="shared" si="9"/>
        <v>0</v>
      </c>
    </row>
    <row r="82" spans="1:6">
      <c r="A82" s="600" t="s">
        <v>71</v>
      </c>
      <c r="B82" s="639"/>
      <c r="C82" s="647">
        <f>C75+C76+C78+C79+C80+C81</f>
        <v>110254370</v>
      </c>
      <c r="D82" s="647">
        <f>D75+D76+D78+D79+D80+D81</f>
        <v>9044985</v>
      </c>
      <c r="E82" s="689">
        <f t="shared" si="9"/>
        <v>119299355</v>
      </c>
    </row>
    <row r="83" spans="1:6">
      <c r="A83" s="600"/>
      <c r="B83" s="639"/>
      <c r="C83" s="656"/>
      <c r="D83" s="656"/>
      <c r="E83" s="690"/>
    </row>
    <row r="84" spans="1:6">
      <c r="A84" s="600"/>
      <c r="B84" s="639"/>
      <c r="C84" s="639"/>
      <c r="D84" s="639"/>
      <c r="E84" s="737" t="s">
        <v>651</v>
      </c>
      <c r="F84" s="659"/>
    </row>
    <row r="85" spans="1:6">
      <c r="A85" s="620" t="s">
        <v>646</v>
      </c>
      <c r="B85" s="639"/>
      <c r="C85" s="639"/>
      <c r="D85" s="639"/>
      <c r="E85" s="738" t="s">
        <v>652</v>
      </c>
      <c r="F85" s="659"/>
    </row>
    <row r="86" spans="1:6">
      <c r="A86" s="630" t="s">
        <v>647</v>
      </c>
      <c r="B86" s="639"/>
      <c r="C86" s="971">
        <v>0.35</v>
      </c>
      <c r="D86" s="971">
        <v>0.35</v>
      </c>
      <c r="E86" s="739">
        <f>INPUT!D86</f>
        <v>0.35</v>
      </c>
      <c r="F86" s="659"/>
    </row>
    <row r="87" spans="1:6">
      <c r="A87" s="630" t="s">
        <v>648</v>
      </c>
      <c r="B87" s="639"/>
      <c r="C87" s="972">
        <f>'P6 Statetax'!B13</f>
        <v>0</v>
      </c>
      <c r="D87" s="972">
        <f>'P6 Statetax'!C13</f>
        <v>0.06</v>
      </c>
      <c r="E87" s="739">
        <f>'P6 Statetax'!D17</f>
        <v>2.8999999999999998E-3</v>
      </c>
      <c r="F87" s="659"/>
    </row>
    <row r="88" spans="1:6" ht="25.5">
      <c r="A88" s="651" t="s">
        <v>650</v>
      </c>
      <c r="B88" s="639"/>
      <c r="C88" s="660">
        <v>0</v>
      </c>
      <c r="D88" s="660">
        <v>0</v>
      </c>
      <c r="E88" s="740"/>
      <c r="F88" s="659"/>
    </row>
    <row r="89" spans="1:6">
      <c r="A89" s="630" t="s">
        <v>649</v>
      </c>
      <c r="B89" s="639"/>
      <c r="C89" s="963">
        <f>IF(C86&gt;0,1-(((1-C87)*(1-C86))/(1-C87*C86*C88)),0)</f>
        <v>0.35</v>
      </c>
      <c r="D89" s="963">
        <f>IF(D86&gt;0,1-(((1-D87)*(1-D86))/(1-D87*D86*D88)),0)</f>
        <v>0.38900000000000001</v>
      </c>
      <c r="E89" s="739">
        <f>IF(E86&gt;0,1-(((1-E87)*(1-E86))/(1-E87*E86*E88)),0)</f>
        <v>0.351885</v>
      </c>
      <c r="F89" s="659"/>
    </row>
    <row r="90" spans="1:6">
      <c r="B90" s="639"/>
      <c r="C90" s="661"/>
      <c r="D90" s="661"/>
      <c r="E90" s="741"/>
      <c r="F90" s="662"/>
    </row>
    <row r="91" spans="1:6">
      <c r="A91" s="600" t="s">
        <v>412</v>
      </c>
      <c r="B91" s="663" t="s">
        <v>411</v>
      </c>
      <c r="C91" s="594">
        <v>-261246</v>
      </c>
      <c r="D91" s="594">
        <v>-28061</v>
      </c>
      <c r="E91" s="690">
        <f>D91+C91</f>
        <v>-289307</v>
      </c>
    </row>
    <row r="92" spans="1:6">
      <c r="A92" s="600"/>
      <c r="B92" s="639"/>
      <c r="C92" s="656"/>
      <c r="D92" s="656"/>
      <c r="E92" s="690"/>
    </row>
    <row r="93" spans="1:6">
      <c r="A93" s="599" t="s">
        <v>381</v>
      </c>
      <c r="B93" s="596"/>
      <c r="C93" s="596"/>
      <c r="D93" s="596"/>
      <c r="E93" s="742"/>
    </row>
    <row r="94" spans="1:6">
      <c r="A94" s="598"/>
      <c r="B94" s="596"/>
      <c r="C94" s="596"/>
      <c r="D94" s="596"/>
      <c r="E94" s="742"/>
    </row>
    <row r="95" spans="1:6" ht="25.5">
      <c r="A95" s="651" t="s">
        <v>450</v>
      </c>
      <c r="B95" s="664"/>
      <c r="C95" s="594">
        <v>0</v>
      </c>
      <c r="D95" s="594">
        <v>0</v>
      </c>
      <c r="E95" s="690">
        <f t="shared" ref="E95:E96" si="10">D95+C95</f>
        <v>0</v>
      </c>
    </row>
    <row r="96" spans="1:6" s="696" customFormat="1" ht="25.5">
      <c r="A96" s="704" t="s">
        <v>439</v>
      </c>
      <c r="B96" s="722"/>
      <c r="C96" s="974">
        <f>'P7 Trans Plant In OATT'!B18</f>
        <v>0</v>
      </c>
      <c r="D96" s="974">
        <f>'P7 Trans Plant In OATT'!C18</f>
        <v>16430924</v>
      </c>
      <c r="E96" s="743">
        <f t="shared" si="10"/>
        <v>16430924</v>
      </c>
    </row>
    <row r="97" spans="1:5" ht="13.5" thickBot="1">
      <c r="A97" s="597"/>
      <c r="B97" s="665"/>
      <c r="C97" s="644"/>
      <c r="D97" s="644"/>
      <c r="E97" s="728"/>
    </row>
    <row r="98" spans="1:5">
      <c r="A98" s="699" t="s">
        <v>75</v>
      </c>
      <c r="B98" s="700"/>
      <c r="C98" s="700"/>
      <c r="D98" s="700"/>
      <c r="E98" s="744"/>
    </row>
    <row r="99" spans="1:5">
      <c r="A99" s="655"/>
      <c r="B99" s="655"/>
      <c r="C99" s="655"/>
      <c r="D99" s="655"/>
      <c r="E99" s="692"/>
    </row>
    <row r="100" spans="1:5" ht="25.5">
      <c r="A100" s="651" t="s">
        <v>440</v>
      </c>
      <c r="B100" s="664" t="s">
        <v>781</v>
      </c>
      <c r="C100" s="594">
        <f>742909+2827121+393497</f>
        <v>3963527</v>
      </c>
      <c r="D100" s="594">
        <f>101477+405611+55813</f>
        <v>562901</v>
      </c>
      <c r="E100" s="728">
        <f>D100+C100</f>
        <v>4526428</v>
      </c>
    </row>
    <row r="101" spans="1:5">
      <c r="A101" s="596"/>
      <c r="B101" s="596"/>
      <c r="C101" s="650"/>
      <c r="D101" s="650"/>
      <c r="E101" s="734"/>
    </row>
    <row r="102" spans="1:5">
      <c r="B102" s="593"/>
      <c r="C102" s="639"/>
      <c r="D102" s="639"/>
      <c r="E102" s="734"/>
    </row>
    <row r="103" spans="1:5">
      <c r="A103" s="595" t="s">
        <v>79</v>
      </c>
      <c r="B103" s="639"/>
      <c r="C103" s="639"/>
      <c r="D103" s="639"/>
      <c r="E103" s="734"/>
    </row>
    <row r="104" spans="1:5" ht="13.5" thickBot="1">
      <c r="A104" s="600"/>
      <c r="B104" s="666"/>
      <c r="C104" s="667" t="s">
        <v>81</v>
      </c>
      <c r="D104" s="667" t="s">
        <v>81</v>
      </c>
      <c r="E104" s="745"/>
    </row>
    <row r="105" spans="1:5">
      <c r="A105" s="600" t="s">
        <v>35</v>
      </c>
      <c r="B105" s="639" t="s">
        <v>83</v>
      </c>
      <c r="C105" s="594">
        <f>'P11 Salaries and Wages'!C16</f>
        <v>2659100</v>
      </c>
      <c r="D105" s="594">
        <f>'P11 Salaries and Wages'!D16</f>
        <v>13330798</v>
      </c>
      <c r="E105" s="690">
        <f t="shared" ref="E105:E109" si="11">D105+C105</f>
        <v>15989898</v>
      </c>
    </row>
    <row r="106" spans="1:5">
      <c r="A106" s="600" t="s">
        <v>37</v>
      </c>
      <c r="B106" s="639" t="s">
        <v>223</v>
      </c>
      <c r="C106" s="594">
        <f>'P11 Salaries and Wages'!C25</f>
        <v>7185179</v>
      </c>
      <c r="D106" s="594">
        <f>'P11 Salaries and Wages'!D25</f>
        <v>1047631</v>
      </c>
      <c r="E106" s="690">
        <f t="shared" si="11"/>
        <v>8232810</v>
      </c>
    </row>
    <row r="107" spans="1:5">
      <c r="A107" s="600" t="s">
        <v>38</v>
      </c>
      <c r="B107" s="639" t="s">
        <v>224</v>
      </c>
      <c r="C107" s="594">
        <f>'P11 Salaries and Wages'!C34</f>
        <v>29032012</v>
      </c>
      <c r="D107" s="594">
        <f>'P11 Salaries and Wages'!D34</f>
        <v>5098233</v>
      </c>
      <c r="E107" s="690">
        <f t="shared" si="11"/>
        <v>34130245</v>
      </c>
    </row>
    <row r="108" spans="1:5" ht="13.5" thickBot="1">
      <c r="A108" s="621" t="s">
        <v>85</v>
      </c>
      <c r="B108" s="642" t="s">
        <v>225</v>
      </c>
      <c r="C108" s="1007">
        <f>'P11 Salaries and Wages'!C42</f>
        <v>13418535</v>
      </c>
      <c r="D108" s="1007">
        <f>'P11 Salaries and Wages'!D42</f>
        <v>3207728</v>
      </c>
      <c r="E108" s="732">
        <f t="shared" si="11"/>
        <v>16626263</v>
      </c>
    </row>
    <row r="109" spans="1:5">
      <c r="A109" s="600" t="s">
        <v>172</v>
      </c>
      <c r="B109" s="639"/>
      <c r="C109" s="656">
        <f>SUM(C105:C108)</f>
        <v>52294826</v>
      </c>
      <c r="D109" s="656">
        <f>SUM(D105:D108)</f>
        <v>22684390</v>
      </c>
      <c r="E109" s="690">
        <f t="shared" si="11"/>
        <v>74979216</v>
      </c>
    </row>
    <row r="110" spans="1:5">
      <c r="A110" s="600"/>
      <c r="B110" s="639"/>
      <c r="C110" s="639"/>
      <c r="D110" s="639"/>
      <c r="E110" s="734"/>
    </row>
    <row r="111" spans="1:5">
      <c r="A111" s="620" t="s">
        <v>653</v>
      </c>
      <c r="B111" s="639"/>
      <c r="C111" s="639"/>
      <c r="D111" s="639"/>
      <c r="E111" s="734"/>
    </row>
    <row r="112" spans="1:5">
      <c r="A112" s="600"/>
      <c r="B112" s="639"/>
      <c r="C112" s="668" t="s">
        <v>81</v>
      </c>
      <c r="D112" s="668" t="s">
        <v>81</v>
      </c>
      <c r="E112" s="746"/>
    </row>
    <row r="113" spans="1:5">
      <c r="A113" s="600" t="s">
        <v>89</v>
      </c>
      <c r="B113" s="639" t="s">
        <v>90</v>
      </c>
      <c r="C113" s="594">
        <v>2679713093</v>
      </c>
      <c r="D113" s="594">
        <v>1457784689</v>
      </c>
      <c r="E113" s="690">
        <f t="shared" ref="E113:E116" si="12">D113+C113</f>
        <v>4137497782</v>
      </c>
    </row>
    <row r="114" spans="1:5">
      <c r="A114" s="600" t="s">
        <v>94</v>
      </c>
      <c r="B114" s="639" t="s">
        <v>200</v>
      </c>
      <c r="C114" s="594">
        <v>1371599051</v>
      </c>
      <c r="D114" s="594">
        <v>351509625</v>
      </c>
      <c r="E114" s="690">
        <f t="shared" si="12"/>
        <v>1723108676</v>
      </c>
    </row>
    <row r="115" spans="1:5" ht="13.5" thickBot="1">
      <c r="A115" s="621" t="s">
        <v>96</v>
      </c>
      <c r="B115" s="642" t="s">
        <v>201</v>
      </c>
      <c r="C115" s="1007">
        <v>0</v>
      </c>
      <c r="D115" s="1007">
        <v>0</v>
      </c>
      <c r="E115" s="732">
        <f t="shared" si="12"/>
        <v>0</v>
      </c>
    </row>
    <row r="116" spans="1:5">
      <c r="A116" s="600" t="s">
        <v>151</v>
      </c>
      <c r="B116" s="639"/>
      <c r="C116" s="656">
        <f>C113+C114+C115</f>
        <v>4051312144</v>
      </c>
      <c r="D116" s="656">
        <f>D113+D114+D115</f>
        <v>1809294314</v>
      </c>
      <c r="E116" s="690">
        <f t="shared" si="12"/>
        <v>5860606458</v>
      </c>
    </row>
    <row r="117" spans="1:5">
      <c r="A117" s="600"/>
      <c r="B117" s="639"/>
      <c r="E117" s="692"/>
    </row>
    <row r="118" spans="1:5">
      <c r="A118" s="595" t="s">
        <v>97</v>
      </c>
      <c r="B118" s="639"/>
      <c r="C118" s="639"/>
      <c r="D118" s="639"/>
      <c r="E118" s="734"/>
    </row>
    <row r="119" spans="1:5">
      <c r="A119" s="639" t="s">
        <v>213</v>
      </c>
      <c r="C119" s="594">
        <f>68562428+3050162+517153-473735+99769</f>
        <v>71755777</v>
      </c>
      <c r="D119" s="1018">
        <f>12168565+417713+266474+189334</f>
        <v>13042086</v>
      </c>
      <c r="E119" s="747">
        <f>D119+C119</f>
        <v>84797863</v>
      </c>
    </row>
    <row r="120" spans="1:5">
      <c r="A120" s="639"/>
      <c r="C120" s="669"/>
      <c r="D120" s="669"/>
      <c r="E120" s="690"/>
    </row>
    <row r="121" spans="1:5">
      <c r="A121" s="639" t="s">
        <v>214</v>
      </c>
      <c r="C121" s="1015">
        <v>0</v>
      </c>
      <c r="D121" s="1015">
        <v>0</v>
      </c>
      <c r="E121" s="748">
        <f>D121+C121</f>
        <v>0</v>
      </c>
    </row>
    <row r="122" spans="1:5">
      <c r="A122" s="600"/>
      <c r="B122" s="639"/>
      <c r="C122" s="669"/>
      <c r="D122" s="669"/>
      <c r="E122" s="690"/>
    </row>
    <row r="123" spans="1:5">
      <c r="A123" s="605" t="s">
        <v>645</v>
      </c>
      <c r="B123" s="639"/>
      <c r="C123" s="669"/>
      <c r="D123" s="669"/>
      <c r="E123" s="690"/>
    </row>
    <row r="124" spans="1:5">
      <c r="A124" s="639" t="s">
        <v>666</v>
      </c>
      <c r="C124" s="604">
        <f>'P9 Capital Structure - Confiden'!H46</f>
        <v>1883871966</v>
      </c>
      <c r="D124" s="594">
        <v>404431559</v>
      </c>
      <c r="E124" s="690">
        <f t="shared" ref="E124:E127" si="13">D124+C124</f>
        <v>2288303525</v>
      </c>
    </row>
    <row r="125" spans="1:5">
      <c r="A125" s="639" t="s">
        <v>226</v>
      </c>
      <c r="C125" s="594">
        <v>0</v>
      </c>
      <c r="D125" s="594">
        <v>0</v>
      </c>
      <c r="E125" s="690">
        <f t="shared" si="13"/>
        <v>0</v>
      </c>
    </row>
    <row r="126" spans="1:5" ht="13.5" thickBot="1">
      <c r="A126" s="642" t="s">
        <v>208</v>
      </c>
      <c r="B126" s="645"/>
      <c r="C126" s="1007">
        <v>-727839201</v>
      </c>
      <c r="D126" s="1007">
        <v>0</v>
      </c>
      <c r="E126" s="732">
        <f t="shared" si="13"/>
        <v>-727839201</v>
      </c>
    </row>
    <row r="127" spans="1:5">
      <c r="A127" s="639" t="s">
        <v>100</v>
      </c>
      <c r="C127" s="656">
        <f>C124+C125+C126</f>
        <v>1156032765</v>
      </c>
      <c r="D127" s="656">
        <f>D124+D125+D126</f>
        <v>404431559</v>
      </c>
      <c r="E127" s="690">
        <f t="shared" si="13"/>
        <v>1560464324</v>
      </c>
    </row>
    <row r="128" spans="1:5">
      <c r="A128" s="600"/>
      <c r="B128" s="639"/>
      <c r="C128" s="639"/>
      <c r="D128" s="639"/>
      <c r="E128" s="734"/>
    </row>
    <row r="129" spans="1:5" ht="13.5" thickBot="1">
      <c r="A129" s="600"/>
      <c r="B129" s="602" t="s">
        <v>426</v>
      </c>
      <c r="C129" s="603" t="s">
        <v>81</v>
      </c>
      <c r="D129" s="603" t="s">
        <v>81</v>
      </c>
      <c r="E129" s="749"/>
    </row>
    <row r="130" spans="1:5">
      <c r="A130" s="598" t="s">
        <v>209</v>
      </c>
      <c r="C130" s="594">
        <f>750000000+550000000</f>
        <v>1300000000</v>
      </c>
      <c r="D130" s="594">
        <f>25000000+291720000</f>
        <v>316720000</v>
      </c>
      <c r="E130" s="690">
        <f t="shared" ref="E130:E133" si="14">D130+C130</f>
        <v>1616720000</v>
      </c>
    </row>
    <row r="131" spans="1:5">
      <c r="A131" s="598" t="s">
        <v>210</v>
      </c>
      <c r="C131" s="594">
        <v>0</v>
      </c>
      <c r="D131" s="1019">
        <v>0</v>
      </c>
      <c r="E131" s="690">
        <f t="shared" si="14"/>
        <v>0</v>
      </c>
    </row>
    <row r="132" spans="1:5" ht="13.5" thickBot="1">
      <c r="A132" s="621" t="s">
        <v>105</v>
      </c>
      <c r="B132" s="645"/>
      <c r="C132" s="648">
        <f>C127</f>
        <v>1156032765</v>
      </c>
      <c r="D132" s="648">
        <f>D127</f>
        <v>404431559</v>
      </c>
      <c r="E132" s="732">
        <f t="shared" si="14"/>
        <v>1560464324</v>
      </c>
    </row>
    <row r="133" spans="1:5">
      <c r="A133" s="600" t="s">
        <v>171</v>
      </c>
      <c r="C133" s="656">
        <f>C132+C131+C130</f>
        <v>2456032765</v>
      </c>
      <c r="D133" s="656">
        <f>D132+D131+D130</f>
        <v>721151559</v>
      </c>
      <c r="E133" s="690">
        <f t="shared" si="14"/>
        <v>3177184324</v>
      </c>
    </row>
    <row r="134" spans="1:5">
      <c r="E134" s="692"/>
    </row>
    <row r="135" spans="1:5">
      <c r="E135" s="692"/>
    </row>
    <row r="136" spans="1:5">
      <c r="A136" s="595" t="s">
        <v>107</v>
      </c>
      <c r="B136" s="593"/>
      <c r="C136" s="593"/>
      <c r="D136" s="593"/>
      <c r="E136" s="742"/>
    </row>
    <row r="137" spans="1:5">
      <c r="A137" s="600"/>
      <c r="B137" s="600"/>
      <c r="C137" s="600"/>
      <c r="D137" s="600"/>
      <c r="E137" s="750"/>
    </row>
    <row r="138" spans="1:5">
      <c r="A138" s="630" t="s">
        <v>149</v>
      </c>
      <c r="B138" s="593"/>
      <c r="C138" s="592">
        <v>0</v>
      </c>
      <c r="D138" s="592">
        <v>0</v>
      </c>
      <c r="E138" s="751">
        <f t="shared" ref="E138:E139" si="15">D138+C138</f>
        <v>0</v>
      </c>
    </row>
    <row r="139" spans="1:5" ht="26.25" thickBot="1">
      <c r="A139" s="670" t="s">
        <v>414</v>
      </c>
      <c r="B139" s="671"/>
      <c r="C139" s="591">
        <v>0</v>
      </c>
      <c r="D139" s="591">
        <v>0</v>
      </c>
      <c r="E139" s="752">
        <f t="shared" si="15"/>
        <v>0</v>
      </c>
    </row>
    <row r="140" spans="1:5">
      <c r="A140" s="630" t="s">
        <v>109</v>
      </c>
      <c r="B140" s="593"/>
      <c r="E140" s="692"/>
    </row>
    <row r="141" spans="1:5">
      <c r="A141" s="630" t="s">
        <v>12</v>
      </c>
      <c r="B141" s="593"/>
      <c r="E141" s="692"/>
    </row>
    <row r="142" spans="1:5" ht="25.5">
      <c r="A142" s="651" t="s">
        <v>443</v>
      </c>
      <c r="B142" s="593"/>
      <c r="C142" s="691">
        <f>ROUND('P8 Rev Cred Support'!C23,0)</f>
        <v>160435</v>
      </c>
      <c r="D142" s="691">
        <f>ROUND('P8 Rev Cred Support'!E20,0)</f>
        <v>18823</v>
      </c>
      <c r="E142" s="691">
        <f>D142+C142</f>
        <v>179258</v>
      </c>
    </row>
    <row r="143" spans="1:5">
      <c r="B143" s="593"/>
      <c r="C143" s="672"/>
      <c r="D143" s="596"/>
      <c r="E143" s="742"/>
    </row>
    <row r="144" spans="1:5" ht="25.5">
      <c r="A144" s="651" t="s">
        <v>466</v>
      </c>
      <c r="B144" s="593"/>
      <c r="C144" s="691">
        <f>'P8 Rev Cred Support'!C50</f>
        <v>785680</v>
      </c>
      <c r="D144" s="691">
        <f>'P8 Rev Cred Support'!E50</f>
        <v>40934</v>
      </c>
      <c r="E144" s="691">
        <f>D144+C144</f>
        <v>826614</v>
      </c>
    </row>
    <row r="145" spans="1:5" ht="13.5" thickBot="1">
      <c r="A145" s="590"/>
      <c r="B145" s="600"/>
      <c r="C145" s="605"/>
      <c r="D145" s="605"/>
      <c r="E145" s="753"/>
    </row>
    <row r="146" spans="1:5" ht="13.5" thickBot="1">
      <c r="A146" s="673" t="s">
        <v>662</v>
      </c>
      <c r="B146" s="674"/>
      <c r="C146" s="973">
        <v>0.1138</v>
      </c>
      <c r="D146" s="675">
        <f>C146</f>
        <v>0.1138</v>
      </c>
      <c r="E146" s="754">
        <f>D146</f>
        <v>0.1138</v>
      </c>
    </row>
    <row r="147" spans="1:5">
      <c r="E147" s="692"/>
    </row>
    <row r="148" spans="1:5">
      <c r="A148" s="630" t="s">
        <v>392</v>
      </c>
      <c r="C148" s="655">
        <f>DEO!J28</f>
        <v>102570663.48158364</v>
      </c>
      <c r="D148" s="655">
        <f>DEK!J28</f>
        <v>5450194.8196875667</v>
      </c>
      <c r="E148" s="692">
        <f>'DE Ohio &amp; Kentucky'!J29</f>
        <v>101813042.25750346</v>
      </c>
    </row>
    <row r="149" spans="1:5">
      <c r="C149" s="655"/>
      <c r="D149" s="655">
        <f>C148+D148</f>
        <v>108020858.3012712</v>
      </c>
      <c r="E149" s="655"/>
    </row>
    <row r="150" spans="1:5">
      <c r="A150" s="598"/>
      <c r="E150" s="655"/>
    </row>
    <row r="151" spans="1:5">
      <c r="A151" s="598"/>
      <c r="E151" s="655"/>
    </row>
    <row r="152" spans="1:5">
      <c r="A152" s="628" t="s">
        <v>665</v>
      </c>
      <c r="B152" s="676"/>
      <c r="C152" s="676"/>
      <c r="D152" s="676"/>
      <c r="E152" s="677">
        <v>0</v>
      </c>
    </row>
    <row r="153" spans="1:5">
      <c r="A153" s="598"/>
      <c r="E153" s="655"/>
    </row>
    <row r="154" spans="1:5">
      <c r="A154" s="598"/>
    </row>
    <row r="155" spans="1:5">
      <c r="A155" s="598"/>
      <c r="E155" s="655"/>
    </row>
    <row r="156" spans="1:5">
      <c r="E156" s="655"/>
    </row>
    <row r="157" spans="1:5" ht="13.5" thickBot="1">
      <c r="A157" s="705" t="s">
        <v>344</v>
      </c>
      <c r="E157" s="655"/>
    </row>
    <row r="158" spans="1:5">
      <c r="A158" s="598" t="s">
        <v>670</v>
      </c>
      <c r="B158" s="706" t="s">
        <v>810</v>
      </c>
      <c r="C158" s="1016">
        <v>20162115</v>
      </c>
      <c r="D158" s="1020">
        <v>4033290</v>
      </c>
      <c r="E158" s="755">
        <f t="shared" ref="E158:E159" si="16">D158+C158</f>
        <v>24195405</v>
      </c>
    </row>
    <row r="159" spans="1:5" ht="13.5" thickBot="1">
      <c r="A159" s="598" t="s">
        <v>671</v>
      </c>
      <c r="B159" s="706" t="s">
        <v>811</v>
      </c>
      <c r="C159" s="1017">
        <v>643248</v>
      </c>
      <c r="D159" s="591">
        <v>1244496</v>
      </c>
      <c r="E159" s="756">
        <f t="shared" si="16"/>
        <v>1887744</v>
      </c>
    </row>
    <row r="160" spans="1:5">
      <c r="E160" s="655"/>
    </row>
    <row r="161" spans="5:5">
      <c r="E161" s="655"/>
    </row>
    <row r="162" spans="5:5">
      <c r="E162" s="655"/>
    </row>
    <row r="163" spans="5:5">
      <c r="E163" s="655"/>
    </row>
    <row r="164" spans="5:5">
      <c r="E164" s="655"/>
    </row>
    <row r="165" spans="5:5">
      <c r="E165" s="655"/>
    </row>
    <row r="166" spans="5:5">
      <c r="E166" s="655"/>
    </row>
    <row r="167" spans="5:5">
      <c r="E167" s="655"/>
    </row>
    <row r="168" spans="5:5">
      <c r="E168" s="655"/>
    </row>
    <row r="169" spans="5:5">
      <c r="E169" s="655"/>
    </row>
    <row r="170" spans="5:5">
      <c r="E170" s="655"/>
    </row>
    <row r="171" spans="5:5">
      <c r="E171" s="655"/>
    </row>
    <row r="172" spans="5:5">
      <c r="E172" s="655"/>
    </row>
    <row r="173" spans="5:5">
      <c r="E173" s="655"/>
    </row>
    <row r="174" spans="5:5">
      <c r="E174" s="655"/>
    </row>
    <row r="175" spans="5:5">
      <c r="E175" s="655"/>
    </row>
    <row r="176" spans="5:5">
      <c r="E176" s="655"/>
    </row>
    <row r="177" spans="5:5">
      <c r="E177" s="655"/>
    </row>
    <row r="178" spans="5:5">
      <c r="E178" s="655"/>
    </row>
    <row r="179" spans="5:5">
      <c r="E179" s="655"/>
    </row>
    <row r="180" spans="5:5">
      <c r="E180" s="655"/>
    </row>
    <row r="181" spans="5:5">
      <c r="E181" s="655"/>
    </row>
    <row r="182" spans="5:5">
      <c r="E182" s="655"/>
    </row>
    <row r="183" spans="5:5">
      <c r="E183" s="655"/>
    </row>
    <row r="184" spans="5:5">
      <c r="E184" s="655"/>
    </row>
    <row r="185" spans="5:5">
      <c r="E185" s="655"/>
    </row>
    <row r="186" spans="5:5">
      <c r="E186" s="655"/>
    </row>
    <row r="187" spans="5:5">
      <c r="E187" s="655"/>
    </row>
    <row r="188" spans="5:5">
      <c r="E188" s="655"/>
    </row>
    <row r="189" spans="5:5">
      <c r="E189" s="655"/>
    </row>
    <row r="190" spans="5:5">
      <c r="E190" s="655"/>
    </row>
    <row r="191" spans="5:5">
      <c r="E191" s="655"/>
    </row>
    <row r="192" spans="5:5">
      <c r="E192" s="655"/>
    </row>
    <row r="193" spans="5:5">
      <c r="E193" s="655"/>
    </row>
    <row r="194" spans="5:5">
      <c r="E194" s="655"/>
    </row>
    <row r="195" spans="5:5">
      <c r="E195" s="655"/>
    </row>
    <row r="196" spans="5:5">
      <c r="E196" s="655"/>
    </row>
    <row r="197" spans="5:5">
      <c r="E197" s="655"/>
    </row>
    <row r="198" spans="5:5">
      <c r="E198" s="655"/>
    </row>
    <row r="199" spans="5:5">
      <c r="E199" s="655"/>
    </row>
    <row r="200" spans="5:5">
      <c r="E200" s="655"/>
    </row>
    <row r="201" spans="5:5">
      <c r="E201" s="655"/>
    </row>
    <row r="202" spans="5:5">
      <c r="E202" s="655"/>
    </row>
    <row r="203" spans="5:5">
      <c r="E203" s="655"/>
    </row>
    <row r="204" spans="5:5">
      <c r="E204" s="655"/>
    </row>
    <row r="205" spans="5:5">
      <c r="E205" s="655"/>
    </row>
    <row r="206" spans="5:5">
      <c r="E206" s="655"/>
    </row>
    <row r="207" spans="5:5">
      <c r="E207" s="655"/>
    </row>
    <row r="208" spans="5:5">
      <c r="E208" s="655"/>
    </row>
    <row r="209" spans="5:5">
      <c r="E209" s="655"/>
    </row>
    <row r="210" spans="5:5">
      <c r="E210" s="655"/>
    </row>
    <row r="211" spans="5:5">
      <c r="E211" s="655"/>
    </row>
    <row r="212" spans="5:5">
      <c r="E212" s="655"/>
    </row>
    <row r="213" spans="5:5">
      <c r="E213" s="655"/>
    </row>
    <row r="214" spans="5:5">
      <c r="E214" s="655"/>
    </row>
    <row r="215" spans="5:5">
      <c r="E215" s="655"/>
    </row>
    <row r="216" spans="5:5">
      <c r="E216" s="655"/>
    </row>
    <row r="217" spans="5:5">
      <c r="E217" s="655"/>
    </row>
    <row r="218" spans="5:5">
      <c r="E218" s="655"/>
    </row>
    <row r="219" spans="5:5">
      <c r="E219" s="655"/>
    </row>
    <row r="220" spans="5:5">
      <c r="E220" s="655"/>
    </row>
    <row r="221" spans="5:5">
      <c r="E221" s="655"/>
    </row>
    <row r="222" spans="5:5">
      <c r="E222" s="655"/>
    </row>
    <row r="223" spans="5:5">
      <c r="E223" s="655"/>
    </row>
    <row r="224" spans="5:5">
      <c r="E224" s="655"/>
    </row>
    <row r="225" spans="5:5">
      <c r="E225" s="655"/>
    </row>
    <row r="226" spans="5:5">
      <c r="E226" s="655"/>
    </row>
    <row r="227" spans="5:5">
      <c r="E227" s="655"/>
    </row>
    <row r="228" spans="5:5">
      <c r="E228" s="655"/>
    </row>
    <row r="229" spans="5:5">
      <c r="E229" s="655"/>
    </row>
    <row r="230" spans="5:5">
      <c r="E230" s="655"/>
    </row>
    <row r="231" spans="5:5">
      <c r="E231" s="655"/>
    </row>
    <row r="232" spans="5:5">
      <c r="E232" s="655"/>
    </row>
    <row r="233" spans="5:5">
      <c r="E233" s="655"/>
    </row>
    <row r="234" spans="5:5">
      <c r="E234" s="655"/>
    </row>
  </sheetData>
  <pageMargins left="0.5" right="0.2" top="0" bottom="0" header="0.3" footer="0.3"/>
  <pageSetup paperSize="5" scale="65" fitToHeight="25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tabColor rgb="FFFF0000"/>
    <pageSetUpPr fitToPage="1"/>
  </sheetPr>
  <dimension ref="A1:M582"/>
  <sheetViews>
    <sheetView tabSelected="1" zoomScale="90" zoomScaleNormal="90" zoomScaleSheetLayoutView="75" zoomScalePageLayoutView="90" workbookViewId="0">
      <selection activeCell="D22" sqref="D22"/>
    </sheetView>
  </sheetViews>
  <sheetFormatPr defaultColWidth="8.77734375" defaultRowHeight="15"/>
  <cols>
    <col min="1" max="1" width="6" style="12" customWidth="1"/>
    <col min="2" max="2" width="1.44140625" style="12" customWidth="1"/>
    <col min="3" max="3" width="60.33203125" style="12" customWidth="1"/>
    <col min="4" max="4" width="23.44140625" style="12" customWidth="1"/>
    <col min="5" max="5" width="15.5546875" style="12" customWidth="1"/>
    <col min="6" max="6" width="5.77734375" style="12" customWidth="1"/>
    <col min="7" max="7" width="5.6640625" style="12" customWidth="1"/>
    <col min="8" max="8" width="10.6640625" style="12" customWidth="1"/>
    <col min="9" max="9" width="5.77734375" style="12" customWidth="1"/>
    <col min="10" max="10" width="15.44140625" style="12" customWidth="1"/>
    <col min="11" max="11" width="3.44140625" style="12" customWidth="1"/>
    <col min="12" max="12" width="15.5546875" style="12" customWidth="1"/>
    <col min="13" max="13" width="1.109375" style="12" customWidth="1"/>
    <col min="14" max="16384" width="8.77734375" style="12"/>
  </cols>
  <sheetData>
    <row r="1" spans="1:13" ht="18">
      <c r="A1" s="244"/>
      <c r="C1" s="29"/>
      <c r="D1" s="29"/>
      <c r="E1" s="30"/>
      <c r="F1" s="29"/>
      <c r="G1" s="29"/>
      <c r="H1" s="29"/>
      <c r="I1" s="31"/>
      <c r="J1" s="77" t="s">
        <v>369</v>
      </c>
      <c r="K1" s="91"/>
      <c r="M1" s="91"/>
    </row>
    <row r="2" spans="1:13">
      <c r="C2" s="29"/>
      <c r="D2" s="29"/>
      <c r="E2" s="30"/>
      <c r="F2" s="29"/>
      <c r="G2" s="29"/>
      <c r="H2" s="29"/>
      <c r="I2" s="31"/>
      <c r="J2" s="77" t="s">
        <v>570</v>
      </c>
      <c r="M2" s="77"/>
    </row>
    <row r="3" spans="1:13">
      <c r="C3" s="29"/>
      <c r="D3" s="29"/>
      <c r="E3" s="30"/>
      <c r="F3" s="29"/>
      <c r="G3" s="29"/>
      <c r="H3" s="29"/>
      <c r="I3" s="31"/>
      <c r="K3" s="1"/>
      <c r="M3" s="77"/>
    </row>
    <row r="4" spans="1:13">
      <c r="C4" s="29"/>
      <c r="D4" s="29"/>
      <c r="E4" s="30"/>
      <c r="F4" s="29"/>
      <c r="G4" s="29"/>
      <c r="H4" s="29"/>
      <c r="I4" s="31"/>
      <c r="K4" s="1"/>
      <c r="M4" s="77"/>
    </row>
    <row r="5" spans="1:13">
      <c r="C5" s="29"/>
      <c r="D5" s="29"/>
      <c r="E5" s="30"/>
      <c r="F5" s="29"/>
      <c r="G5" s="29"/>
      <c r="H5" s="29"/>
      <c r="I5" s="31"/>
      <c r="K5" s="1"/>
      <c r="L5" s="1"/>
      <c r="M5" s="77"/>
    </row>
    <row r="6" spans="1:13">
      <c r="C6" s="29"/>
      <c r="D6" s="29"/>
      <c r="E6" s="30"/>
      <c r="F6" s="29"/>
      <c r="G6" s="29"/>
      <c r="H6" s="29"/>
      <c r="I6" s="31"/>
      <c r="J6" s="1"/>
      <c r="K6" s="1"/>
      <c r="L6" s="1"/>
      <c r="M6" s="1"/>
    </row>
    <row r="7" spans="1:13">
      <c r="C7" s="29" t="s">
        <v>11</v>
      </c>
      <c r="D7" s="29"/>
      <c r="E7" s="30"/>
      <c r="F7" s="29"/>
      <c r="G7" s="29"/>
      <c r="H7" s="487"/>
      <c r="I7" s="488"/>
      <c r="J7" s="624" t="str">
        <f>"For the 12 months ended: "&amp;TEXT(INPUT!B1,"mm/dd/yyyy")</f>
        <v>For the 12 months ended: 12/31/2015</v>
      </c>
      <c r="K7" s="66"/>
      <c r="L7" s="1"/>
      <c r="M7" s="1"/>
    </row>
    <row r="8" spans="1:13">
      <c r="A8" s="305" t="s">
        <v>309</v>
      </c>
      <c r="B8" s="279"/>
      <c r="C8" s="279"/>
      <c r="D8" s="277"/>
      <c r="E8" s="279"/>
      <c r="F8" s="277"/>
      <c r="G8" s="277"/>
      <c r="H8" s="277"/>
      <c r="I8" s="277"/>
      <c r="J8" s="278"/>
      <c r="K8" s="1"/>
      <c r="L8" s="1"/>
      <c r="M8" s="1"/>
    </row>
    <row r="9" spans="1:13">
      <c r="A9" s="280" t="s">
        <v>331</v>
      </c>
      <c r="B9" s="279"/>
      <c r="C9" s="277"/>
      <c r="D9" s="280"/>
      <c r="E9" s="279"/>
      <c r="F9" s="280"/>
      <c r="G9" s="280"/>
      <c r="H9" s="280"/>
      <c r="I9" s="277"/>
      <c r="J9" s="277"/>
      <c r="K9" s="1"/>
      <c r="L9" s="1"/>
      <c r="M9" s="1"/>
    </row>
    <row r="10" spans="1:13">
      <c r="A10" s="273"/>
      <c r="B10" s="279"/>
      <c r="C10" s="273"/>
      <c r="D10" s="273"/>
      <c r="E10" s="279"/>
      <c r="F10" s="273"/>
      <c r="G10" s="273"/>
      <c r="H10" s="273"/>
      <c r="I10" s="273"/>
      <c r="J10" s="273"/>
      <c r="K10" s="1"/>
      <c r="L10" s="1"/>
      <c r="M10" s="1"/>
    </row>
    <row r="11" spans="1:13" ht="15.75">
      <c r="A11" s="489" t="s">
        <v>537</v>
      </c>
      <c r="B11" s="490"/>
      <c r="C11" s="491"/>
      <c r="D11" s="491"/>
      <c r="E11" s="490"/>
      <c r="F11" s="491"/>
      <c r="G11" s="491"/>
      <c r="H11" s="491"/>
      <c r="I11" s="491"/>
      <c r="J11" s="491"/>
      <c r="K11" s="1"/>
      <c r="L11" s="1"/>
      <c r="M11" s="1"/>
    </row>
    <row r="12" spans="1:13">
      <c r="A12" s="32"/>
      <c r="C12" s="1"/>
      <c r="D12" s="1"/>
      <c r="E12" s="21"/>
      <c r="F12" s="1"/>
      <c r="G12" s="1"/>
      <c r="H12" s="1"/>
      <c r="I12" s="1"/>
      <c r="J12" s="1"/>
      <c r="K12" s="1"/>
      <c r="L12" s="1"/>
      <c r="M12" s="1"/>
    </row>
    <row r="13" spans="1:13">
      <c r="A13" s="32" t="s">
        <v>13</v>
      </c>
      <c r="C13" s="1"/>
      <c r="D13" s="1"/>
      <c r="E13" s="21"/>
      <c r="F13" s="1"/>
      <c r="G13" s="1"/>
      <c r="H13" s="1"/>
      <c r="I13" s="1"/>
      <c r="J13" s="32" t="s">
        <v>14</v>
      </c>
      <c r="K13" s="1"/>
      <c r="L13" s="1"/>
      <c r="M13" s="1"/>
    </row>
    <row r="14" spans="1:13">
      <c r="A14" s="290" t="s">
        <v>15</v>
      </c>
      <c r="B14" s="297"/>
      <c r="C14" s="298"/>
      <c r="D14" s="298"/>
      <c r="E14" s="298"/>
      <c r="F14" s="298"/>
      <c r="G14" s="298"/>
      <c r="H14" s="298"/>
      <c r="I14" s="298"/>
      <c r="J14" s="290" t="s">
        <v>16</v>
      </c>
      <c r="K14" s="1"/>
      <c r="L14" s="1"/>
      <c r="M14" s="1"/>
    </row>
    <row r="15" spans="1:13">
      <c r="A15" s="32">
        <v>1</v>
      </c>
      <c r="C15" s="1" t="s">
        <v>406</v>
      </c>
      <c r="D15" s="1"/>
      <c r="E15" s="2"/>
      <c r="F15" s="1"/>
      <c r="G15" s="1"/>
      <c r="H15" s="1"/>
      <c r="I15" s="1"/>
      <c r="J15" s="36">
        <f>J184</f>
        <v>105564466.30590898</v>
      </c>
      <c r="K15" s="1"/>
      <c r="M15" s="1"/>
    </row>
    <row r="16" spans="1:13">
      <c r="A16" s="32"/>
      <c r="C16" s="1"/>
      <c r="D16" s="1"/>
      <c r="E16" s="1"/>
      <c r="F16" s="1"/>
      <c r="G16" s="1"/>
      <c r="H16" s="1"/>
      <c r="I16" s="1"/>
      <c r="J16" s="2"/>
      <c r="K16" s="1"/>
      <c r="M16" s="1"/>
    </row>
    <row r="17" spans="1:13">
      <c r="A17" s="32"/>
      <c r="C17" s="1"/>
      <c r="D17" s="1"/>
      <c r="E17" s="1"/>
      <c r="F17" s="1"/>
      <c r="G17" s="1"/>
      <c r="H17" s="1"/>
      <c r="I17" s="1"/>
      <c r="J17" s="2"/>
      <c r="K17" s="1"/>
      <c r="M17" s="1"/>
    </row>
    <row r="18" spans="1:13" ht="15.75" thickBot="1">
      <c r="A18" s="32" t="s">
        <v>12</v>
      </c>
      <c r="C18" s="431" t="s">
        <v>454</v>
      </c>
      <c r="E18" s="40" t="s">
        <v>17</v>
      </c>
      <c r="F18" s="5"/>
      <c r="G18" s="49" t="s">
        <v>18</v>
      </c>
      <c r="H18" s="49"/>
      <c r="I18" s="1"/>
      <c r="J18" s="2"/>
      <c r="K18" s="1"/>
      <c r="L18" s="1"/>
      <c r="M18" s="1"/>
    </row>
    <row r="19" spans="1:13">
      <c r="A19" s="32">
        <v>2</v>
      </c>
      <c r="C19" s="3" t="s">
        <v>429</v>
      </c>
      <c r="D19" s="780" t="s">
        <v>153</v>
      </c>
      <c r="E19" s="366">
        <f>J260</f>
        <v>179258</v>
      </c>
      <c r="F19" s="366"/>
      <c r="G19" s="366" t="s">
        <v>19</v>
      </c>
      <c r="H19" s="19">
        <f t="shared" ref="H19:H22" si="0">J$208</f>
        <v>0.97887580266101915</v>
      </c>
      <c r="I19" s="366"/>
      <c r="J19" s="366">
        <f>H19*E19</f>
        <v>175471.31863340898</v>
      </c>
      <c r="K19" s="1"/>
      <c r="L19" s="1"/>
      <c r="M19" s="1"/>
    </row>
    <row r="20" spans="1:13">
      <c r="A20" s="32">
        <v>3</v>
      </c>
      <c r="C20" s="3" t="s">
        <v>465</v>
      </c>
      <c r="D20" s="780" t="s">
        <v>377</v>
      </c>
      <c r="E20" s="225">
        <f>J262</f>
        <v>826614</v>
      </c>
      <c r="F20" s="366"/>
      <c r="G20" s="366" t="str">
        <f>G$19</f>
        <v>TP</v>
      </c>
      <c r="H20" s="19">
        <f t="shared" si="0"/>
        <v>0.97887580266101915</v>
      </c>
      <c r="I20" s="366"/>
      <c r="J20" s="225">
        <f>H20*E20</f>
        <v>809152.44274083572</v>
      </c>
      <c r="K20" s="1"/>
      <c r="L20" s="1"/>
      <c r="M20" s="1"/>
    </row>
    <row r="21" spans="1:13">
      <c r="A21" s="32" t="s">
        <v>360</v>
      </c>
      <c r="C21" s="38" t="s">
        <v>430</v>
      </c>
      <c r="D21" s="5"/>
      <c r="E21" s="368">
        <f>DEO!E21+DEK!E21</f>
        <v>0</v>
      </c>
      <c r="F21" s="366"/>
      <c r="G21" s="366" t="str">
        <f t="shared" ref="G21:G22" si="1">G$19</f>
        <v>TP</v>
      </c>
      <c r="H21" s="19">
        <f t="shared" si="0"/>
        <v>0.97887580266101915</v>
      </c>
      <c r="I21" s="366"/>
      <c r="J21" s="225">
        <f>H21*E21</f>
        <v>0</v>
      </c>
      <c r="K21" s="1"/>
      <c r="L21" s="1"/>
      <c r="M21" s="1"/>
    </row>
    <row r="22" spans="1:13">
      <c r="A22" s="32" t="s">
        <v>361</v>
      </c>
      <c r="C22" s="38" t="s">
        <v>561</v>
      </c>
      <c r="D22" s="5"/>
      <c r="E22" s="368">
        <f>DEO!E22+DEK!E22</f>
        <v>0</v>
      </c>
      <c r="F22" s="366"/>
      <c r="G22" s="366" t="str">
        <f t="shared" si="1"/>
        <v>TP</v>
      </c>
      <c r="H22" s="19">
        <f t="shared" si="0"/>
        <v>0.97887580266101915</v>
      </c>
      <c r="I22" s="366"/>
      <c r="J22" s="225">
        <f>H22*E22</f>
        <v>0</v>
      </c>
      <c r="K22" s="1"/>
      <c r="L22" s="1"/>
      <c r="M22" s="1"/>
    </row>
    <row r="23" spans="1:13">
      <c r="A23" s="32" t="s">
        <v>175</v>
      </c>
      <c r="C23" s="38" t="s">
        <v>556</v>
      </c>
      <c r="D23" s="5"/>
      <c r="E23" s="225">
        <f>'Appx C - DEOK(MTEP)'!X88</f>
        <v>2766800.2821926838</v>
      </c>
      <c r="F23" s="366"/>
      <c r="G23" s="366"/>
      <c r="H23" s="510">
        <v>1</v>
      </c>
      <c r="I23" s="366"/>
      <c r="J23" s="225">
        <f t="shared" ref="J23" si="2">H23*E23</f>
        <v>2766800.2821926838</v>
      </c>
      <c r="K23" s="1"/>
      <c r="L23" s="1"/>
      <c r="M23" s="1"/>
    </row>
    <row r="24" spans="1:13">
      <c r="A24" s="32" t="s">
        <v>362</v>
      </c>
      <c r="C24" s="453" t="s">
        <v>557</v>
      </c>
      <c r="D24" s="5"/>
      <c r="E24" s="618">
        <f>DEO!E24+DEK!E24</f>
        <v>4.8385864477564411E-3</v>
      </c>
      <c r="F24" s="366"/>
      <c r="G24" s="366"/>
      <c r="H24" s="510">
        <v>1</v>
      </c>
      <c r="I24" s="366"/>
      <c r="J24" s="709">
        <f t="shared" ref="J24" si="3">H24*E24</f>
        <v>4.8385864477564411E-3</v>
      </c>
      <c r="K24" s="1"/>
      <c r="L24" s="1"/>
      <c r="M24" s="1"/>
    </row>
    <row r="25" spans="1:13" s="898" customFormat="1">
      <c r="A25" s="830"/>
      <c r="C25" s="453"/>
      <c r="D25" s="783"/>
      <c r="E25" s="225"/>
      <c r="F25" s="611"/>
      <c r="G25" s="611"/>
      <c r="H25" s="510">
        <v>1</v>
      </c>
      <c r="I25" s="611"/>
      <c r="J25" s="426">
        <f t="shared" ref="J25" si="4">H25*E25</f>
        <v>0</v>
      </c>
      <c r="K25" s="891"/>
      <c r="L25" s="891"/>
      <c r="M25" s="891"/>
    </row>
    <row r="26" spans="1:13">
      <c r="A26" s="32">
        <v>6</v>
      </c>
      <c r="C26" s="3" t="s">
        <v>636</v>
      </c>
      <c r="D26" s="1"/>
      <c r="E26" s="17" t="s">
        <v>12</v>
      </c>
      <c r="F26" s="5"/>
      <c r="G26" s="5"/>
      <c r="H26" s="19"/>
      <c r="I26" s="5"/>
      <c r="J26" s="366">
        <f>SUM(J19:J25)</f>
        <v>3751424.0484055146</v>
      </c>
      <c r="K26" s="1"/>
      <c r="L26" s="1"/>
      <c r="M26" s="1"/>
    </row>
    <row r="27" spans="1:13">
      <c r="A27" s="32"/>
      <c r="D27" s="1"/>
      <c r="E27" s="5" t="s">
        <v>12</v>
      </c>
      <c r="F27" s="1"/>
      <c r="G27" s="1"/>
      <c r="H27" s="19"/>
      <c r="I27" s="1"/>
      <c r="K27" s="1"/>
      <c r="L27" s="1"/>
      <c r="M27" s="1"/>
    </row>
    <row r="28" spans="1:13">
      <c r="A28" s="32"/>
      <c r="C28" s="3"/>
      <c r="D28" s="1"/>
      <c r="J28" s="5"/>
      <c r="K28" s="1"/>
      <c r="L28" s="1"/>
      <c r="M28" s="1"/>
    </row>
    <row r="29" spans="1:13" ht="15.75" thickBot="1">
      <c r="A29" s="32">
        <v>7</v>
      </c>
      <c r="C29" s="3" t="s">
        <v>20</v>
      </c>
      <c r="D29" s="781" t="s">
        <v>154</v>
      </c>
      <c r="E29" s="17" t="s">
        <v>12</v>
      </c>
      <c r="F29" s="5"/>
      <c r="G29" s="5"/>
      <c r="H29" s="5"/>
      <c r="I29" s="5"/>
      <c r="J29" s="50">
        <f>J15-J26</f>
        <v>101813042.25750346</v>
      </c>
      <c r="K29" s="1"/>
      <c r="L29" s="1"/>
      <c r="M29" s="1"/>
    </row>
    <row r="30" spans="1:13" ht="15.75" thickTop="1">
      <c r="A30" s="32"/>
      <c r="D30" s="1"/>
      <c r="E30" s="17"/>
      <c r="F30" s="5"/>
      <c r="G30" s="5"/>
      <c r="H30" s="5"/>
      <c r="I30" s="5"/>
      <c r="K30" s="1"/>
      <c r="L30" s="1"/>
      <c r="M30" s="1"/>
    </row>
    <row r="31" spans="1:13">
      <c r="A31" s="32"/>
      <c r="D31" s="5"/>
      <c r="J31" s="5"/>
      <c r="K31" s="1"/>
      <c r="L31" s="1"/>
      <c r="M31" s="1"/>
    </row>
    <row r="32" spans="1:13">
      <c r="A32" s="32"/>
      <c r="C32" s="3" t="s">
        <v>378</v>
      </c>
      <c r="D32" s="1"/>
      <c r="E32" s="2"/>
      <c r="F32" s="1"/>
      <c r="G32" s="1"/>
      <c r="H32" s="1"/>
      <c r="I32" s="1"/>
      <c r="J32" s="2"/>
      <c r="K32" s="1"/>
      <c r="L32" s="1"/>
      <c r="M32" s="1"/>
    </row>
    <row r="33" spans="1:13">
      <c r="A33" s="32">
        <v>8</v>
      </c>
      <c r="C33" s="428" t="s">
        <v>434</v>
      </c>
      <c r="E33" s="2"/>
      <c r="F33" s="1"/>
      <c r="G33" s="1"/>
      <c r="H33" s="60"/>
      <c r="I33" s="1"/>
      <c r="J33" s="231">
        <f>MAX(PeakKW_DEOK)</f>
        <v>5121000</v>
      </c>
      <c r="K33" s="1"/>
      <c r="L33" s="1"/>
      <c r="M33" s="1"/>
    </row>
    <row r="34" spans="1:13">
      <c r="A34" s="32">
        <v>9</v>
      </c>
      <c r="C34" s="429" t="s">
        <v>435</v>
      </c>
      <c r="D34" s="37"/>
      <c r="E34" s="37"/>
      <c r="F34" s="37"/>
      <c r="G34" s="37"/>
      <c r="H34" s="37"/>
      <c r="I34" s="5"/>
      <c r="J34" s="231">
        <f>DEO!J33+DEK!J33</f>
        <v>4141583</v>
      </c>
      <c r="K34" s="1"/>
      <c r="L34" s="1"/>
      <c r="M34" s="1"/>
    </row>
    <row r="35" spans="1:13">
      <c r="A35" s="32"/>
      <c r="C35" s="3"/>
      <c r="D35" s="1"/>
      <c r="E35" s="1"/>
      <c r="F35" s="1"/>
      <c r="G35" s="1"/>
      <c r="H35" s="1"/>
      <c r="I35" s="1"/>
      <c r="J35" s="232"/>
      <c r="K35" s="1"/>
      <c r="L35" s="1"/>
      <c r="M35" s="1"/>
    </row>
    <row r="36" spans="1:13">
      <c r="A36" s="32">
        <v>10</v>
      </c>
      <c r="C36" s="3" t="s">
        <v>364</v>
      </c>
      <c r="D36" s="1"/>
      <c r="E36" s="36"/>
      <c r="F36" s="36"/>
      <c r="G36" s="36"/>
      <c r="H36" s="36"/>
      <c r="I36" s="36"/>
      <c r="J36" s="36"/>
      <c r="K36" s="1"/>
      <c r="L36" s="1"/>
      <c r="M36" s="1"/>
    </row>
    <row r="37" spans="1:13">
      <c r="A37" s="32">
        <v>11</v>
      </c>
      <c r="C37" s="3" t="s">
        <v>364</v>
      </c>
      <c r="D37" s="1"/>
      <c r="E37" s="36"/>
      <c r="F37" s="36"/>
      <c r="G37" s="36"/>
      <c r="H37" s="36"/>
      <c r="I37" s="36"/>
      <c r="J37" s="36"/>
      <c r="K37" s="1"/>
      <c r="L37" s="1"/>
      <c r="M37" s="1"/>
    </row>
    <row r="38" spans="1:13">
      <c r="A38" s="32">
        <v>12</v>
      </c>
      <c r="C38" s="3" t="s">
        <v>364</v>
      </c>
      <c r="D38" s="1"/>
      <c r="E38" s="36"/>
      <c r="F38" s="36"/>
      <c r="G38" s="36"/>
      <c r="H38" s="36"/>
      <c r="I38" s="36"/>
      <c r="J38" s="36"/>
      <c r="K38" s="1"/>
      <c r="L38" s="1"/>
      <c r="M38" s="1"/>
    </row>
    <row r="39" spans="1:13">
      <c r="A39" s="32">
        <v>13</v>
      </c>
      <c r="C39" s="3" t="s">
        <v>364</v>
      </c>
      <c r="D39" s="1"/>
      <c r="E39" s="36"/>
      <c r="F39" s="36"/>
      <c r="G39" s="36"/>
      <c r="H39" s="36"/>
      <c r="I39" s="36"/>
      <c r="J39" s="36"/>
      <c r="K39" s="1"/>
      <c r="L39" s="1"/>
      <c r="M39" s="1"/>
    </row>
    <row r="40" spans="1:13">
      <c r="A40" s="32">
        <v>14</v>
      </c>
      <c r="C40" s="3" t="s">
        <v>364</v>
      </c>
      <c r="D40" s="1"/>
      <c r="E40" s="36"/>
      <c r="F40" s="36"/>
      <c r="G40" s="36"/>
      <c r="H40" s="36"/>
      <c r="I40" s="36"/>
      <c r="J40" s="36"/>
      <c r="K40" s="1"/>
      <c r="L40" s="1"/>
      <c r="M40" s="1"/>
    </row>
    <row r="41" spans="1:13">
      <c r="A41" s="32"/>
      <c r="C41" s="3"/>
      <c r="D41" s="1"/>
      <c r="E41" s="36"/>
      <c r="F41" s="36"/>
      <c r="G41" s="36"/>
      <c r="H41" s="36"/>
      <c r="I41" s="36"/>
      <c r="J41" s="36"/>
      <c r="K41" s="1"/>
      <c r="L41" s="1"/>
      <c r="M41" s="1"/>
    </row>
    <row r="42" spans="1:13">
      <c r="A42" s="235">
        <v>15</v>
      </c>
      <c r="C42" s="3" t="s">
        <v>334</v>
      </c>
      <c r="D42" s="781" t="s">
        <v>379</v>
      </c>
      <c r="E42" s="25">
        <f>IF(J33&gt;0,J29/J33,0)</f>
        <v>19.881476714997749</v>
      </c>
      <c r="F42" s="36"/>
      <c r="G42" s="36"/>
      <c r="H42" s="36"/>
      <c r="I42" s="36"/>
      <c r="J42" s="366"/>
      <c r="K42" s="1"/>
      <c r="L42" s="1"/>
      <c r="M42" s="1"/>
    </row>
    <row r="43" spans="1:13">
      <c r="A43" s="235"/>
      <c r="C43" s="3"/>
      <c r="D43" s="1"/>
      <c r="E43" s="25"/>
      <c r="F43" s="36"/>
      <c r="G43" s="36"/>
      <c r="H43" s="36"/>
      <c r="I43" s="36"/>
      <c r="J43" s="366"/>
      <c r="K43" s="1"/>
      <c r="L43" s="1"/>
      <c r="M43" s="1"/>
    </row>
    <row r="44" spans="1:13">
      <c r="A44" s="235">
        <v>16</v>
      </c>
      <c r="C44" s="3" t="s">
        <v>477</v>
      </c>
      <c r="D44" s="781" t="s">
        <v>478</v>
      </c>
      <c r="E44" s="25">
        <f>IF(J34&gt;0,J29/J34,0)</f>
        <v>24.58312250593637</v>
      </c>
      <c r="F44" s="36"/>
      <c r="G44" s="36"/>
      <c r="H44" s="36"/>
      <c r="I44" s="36"/>
      <c r="J44" s="366"/>
      <c r="K44" s="1"/>
      <c r="L44" s="1"/>
      <c r="M44" s="1"/>
    </row>
    <row r="45" spans="1:13">
      <c r="A45" s="235"/>
      <c r="C45" s="3"/>
      <c r="D45" s="1"/>
      <c r="E45" s="25"/>
      <c r="F45" s="36"/>
      <c r="G45" s="36"/>
      <c r="H45" s="36"/>
      <c r="I45" s="36"/>
      <c r="J45" s="366"/>
      <c r="K45" s="1"/>
      <c r="L45" s="1"/>
      <c r="M45" s="1"/>
    </row>
    <row r="46" spans="1:13">
      <c r="A46" s="235">
        <v>17</v>
      </c>
      <c r="C46" s="3" t="s">
        <v>479</v>
      </c>
      <c r="D46" s="781" t="s">
        <v>480</v>
      </c>
      <c r="E46" s="25">
        <f>ROUND(E42/12,9)</f>
        <v>1.656789726</v>
      </c>
      <c r="F46" s="36"/>
      <c r="G46" s="36"/>
      <c r="H46" s="36"/>
      <c r="I46" s="36"/>
      <c r="J46" s="366"/>
      <c r="K46" s="1"/>
      <c r="L46" s="1"/>
      <c r="M46" s="1"/>
    </row>
    <row r="47" spans="1:13">
      <c r="A47" s="235"/>
      <c r="C47" s="3"/>
      <c r="D47" s="1"/>
      <c r="E47" s="25"/>
      <c r="F47" s="36"/>
      <c r="G47" s="36"/>
      <c r="H47" s="36"/>
      <c r="I47" s="36"/>
      <c r="J47" s="366"/>
      <c r="K47" s="1"/>
      <c r="L47" s="1"/>
      <c r="M47" s="1"/>
    </row>
    <row r="48" spans="1:13">
      <c r="A48" s="235" t="s">
        <v>476</v>
      </c>
      <c r="C48" s="3" t="s">
        <v>481</v>
      </c>
      <c r="D48" s="781" t="s">
        <v>482</v>
      </c>
      <c r="E48" s="25">
        <f>ROUND($E$44/12,9)</f>
        <v>2.0485935419999999</v>
      </c>
      <c r="F48" s="36"/>
      <c r="G48" s="36"/>
      <c r="H48" s="36"/>
      <c r="I48" s="36"/>
      <c r="J48" s="366"/>
      <c r="K48" s="1"/>
      <c r="L48" s="1"/>
      <c r="M48" s="1"/>
    </row>
    <row r="49" spans="1:13">
      <c r="A49" s="235"/>
      <c r="C49" s="3"/>
      <c r="D49" s="1"/>
      <c r="E49" s="25"/>
      <c r="F49" s="36"/>
      <c r="G49" s="36"/>
      <c r="H49" s="36"/>
      <c r="I49" s="36"/>
      <c r="J49" s="366"/>
      <c r="K49" s="1"/>
      <c r="L49" s="1"/>
      <c r="M49" s="1"/>
    </row>
    <row r="50" spans="1:13">
      <c r="A50" s="235"/>
      <c r="C50" s="3"/>
      <c r="D50" s="1"/>
      <c r="E50" s="451" t="s">
        <v>489</v>
      </c>
      <c r="F50" s="212"/>
      <c r="G50" s="212"/>
      <c r="I50" s="36"/>
      <c r="J50" s="451" t="s">
        <v>490</v>
      </c>
      <c r="K50" s="1"/>
      <c r="L50" s="1"/>
      <c r="M50" s="1"/>
    </row>
    <row r="51" spans="1:13">
      <c r="A51" s="235"/>
      <c r="C51" s="3"/>
      <c r="D51" s="1"/>
      <c r="E51" s="451"/>
      <c r="F51" s="212"/>
      <c r="G51" s="212"/>
      <c r="I51" s="36"/>
      <c r="J51" s="451"/>
      <c r="K51" s="1"/>
      <c r="L51" s="1"/>
      <c r="M51" s="1"/>
    </row>
    <row r="52" spans="1:13">
      <c r="A52" s="235">
        <v>18</v>
      </c>
      <c r="C52" s="3" t="s">
        <v>483</v>
      </c>
      <c r="D52" s="781" t="s">
        <v>486</v>
      </c>
      <c r="E52" s="25">
        <f>ROUND($E$44/52,9)</f>
        <v>0.47275235599999998</v>
      </c>
      <c r="F52" s="36"/>
      <c r="G52" s="36"/>
      <c r="H52" s="36"/>
      <c r="I52" s="36"/>
      <c r="J52" s="366"/>
      <c r="K52" s="1"/>
      <c r="L52" s="1"/>
      <c r="M52" s="1"/>
    </row>
    <row r="53" spans="1:13">
      <c r="A53" s="235"/>
      <c r="C53" s="3"/>
      <c r="D53" s="1"/>
      <c r="E53" s="25"/>
      <c r="F53" s="36"/>
      <c r="G53" s="36"/>
      <c r="H53" s="36"/>
      <c r="I53" s="36"/>
      <c r="J53" s="366"/>
      <c r="K53" s="1"/>
      <c r="L53" s="1"/>
      <c r="M53" s="1"/>
    </row>
    <row r="54" spans="1:13">
      <c r="A54" s="235">
        <v>19</v>
      </c>
      <c r="C54" s="3" t="s">
        <v>484</v>
      </c>
      <c r="D54" s="781" t="s">
        <v>487</v>
      </c>
      <c r="E54" s="25">
        <f>ROUND($E$44/260,9)</f>
        <v>9.4550470999999997E-2</v>
      </c>
      <c r="F54" s="36" t="s">
        <v>491</v>
      </c>
      <c r="G54" s="36"/>
      <c r="H54" s="36"/>
      <c r="I54" s="36"/>
      <c r="J54" s="25">
        <f>ROUND($E$44/365,9)</f>
        <v>6.7351020999999997E-2</v>
      </c>
      <c r="K54" s="1"/>
      <c r="L54" s="1"/>
      <c r="M54" s="1"/>
    </row>
    <row r="55" spans="1:13">
      <c r="A55" s="235"/>
      <c r="C55" s="3"/>
      <c r="D55" s="1"/>
      <c r="E55" s="25"/>
      <c r="F55" s="36"/>
      <c r="G55" s="36"/>
      <c r="H55" s="36"/>
      <c r="I55" s="36"/>
      <c r="J55" s="25"/>
      <c r="K55" s="1"/>
      <c r="L55" s="1"/>
      <c r="M55" s="1"/>
    </row>
    <row r="56" spans="1:13" ht="30">
      <c r="A56" s="235">
        <v>20</v>
      </c>
      <c r="C56" s="3" t="s">
        <v>485</v>
      </c>
      <c r="D56" s="782" t="s">
        <v>488</v>
      </c>
      <c r="E56" s="25">
        <f>IF(ISERR(ROUND(($J$29/$J$34)/4160,4))=TRUE,0,ROUND(($J$29/$J$34)/4160,4))</f>
        <v>5.8999999999999999E-3</v>
      </c>
      <c r="F56" s="36" t="s">
        <v>492</v>
      </c>
      <c r="G56" s="36"/>
      <c r="H56" s="36"/>
      <c r="I56" s="36"/>
      <c r="J56" s="25">
        <f>IF(ISERR(ROUND(($J$29/$J$34)/8760*1000,4)=TRUE),0,ROUND(($J$29/$J$34)/8760*1000,4))</f>
        <v>2.8062999999999998</v>
      </c>
      <c r="K56" s="1"/>
      <c r="L56" s="1"/>
      <c r="M56" s="1"/>
    </row>
    <row r="57" spans="1:13">
      <c r="C57" s="3"/>
      <c r="D57" s="1"/>
      <c r="E57" s="30"/>
      <c r="F57" s="29"/>
      <c r="G57" s="29"/>
      <c r="H57" s="29"/>
      <c r="I57" s="31"/>
      <c r="K57" s="32"/>
      <c r="L57" s="92"/>
      <c r="M57" s="1"/>
    </row>
    <row r="58" spans="1:13" ht="18">
      <c r="A58" s="244"/>
      <c r="C58" s="29"/>
      <c r="D58" s="29"/>
      <c r="E58" s="30"/>
      <c r="F58" s="29"/>
      <c r="G58" s="29"/>
      <c r="H58" s="29"/>
      <c r="I58" s="31"/>
      <c r="J58" s="77" t="s">
        <v>369</v>
      </c>
      <c r="K58" s="91"/>
      <c r="M58" s="91"/>
    </row>
    <row r="59" spans="1:13">
      <c r="C59" s="29"/>
      <c r="D59" s="29"/>
      <c r="E59" s="30"/>
      <c r="F59" s="29"/>
      <c r="G59" s="29"/>
      <c r="H59" s="29"/>
      <c r="I59" s="31"/>
      <c r="J59" s="77" t="s">
        <v>571</v>
      </c>
      <c r="M59" s="77"/>
    </row>
    <row r="60" spans="1:13">
      <c r="C60" s="29"/>
      <c r="D60" s="29"/>
      <c r="E60" s="30"/>
      <c r="F60" s="29"/>
      <c r="G60" s="29"/>
      <c r="H60" s="29"/>
      <c r="I60" s="31"/>
      <c r="K60" s="1"/>
      <c r="M60" s="77"/>
    </row>
    <row r="61" spans="1:13">
      <c r="C61" s="29"/>
      <c r="D61" s="29"/>
      <c r="E61" s="30"/>
      <c r="F61" s="29"/>
      <c r="G61" s="29"/>
      <c r="H61" s="29"/>
      <c r="I61" s="31"/>
      <c r="K61" s="1"/>
      <c r="M61" s="77"/>
    </row>
    <row r="62" spans="1:13">
      <c r="C62" s="29"/>
      <c r="D62" s="29"/>
      <c r="E62" s="30"/>
      <c r="F62" s="29"/>
      <c r="G62" s="29"/>
      <c r="H62" s="29"/>
      <c r="I62" s="31"/>
      <c r="K62" s="1"/>
      <c r="M62" s="77"/>
    </row>
    <row r="63" spans="1:13">
      <c r="C63" s="29"/>
      <c r="D63" s="29"/>
      <c r="E63" s="30"/>
      <c r="F63" s="29"/>
      <c r="G63" s="29"/>
      <c r="H63" s="29"/>
      <c r="I63" s="31"/>
      <c r="J63" s="77"/>
      <c r="K63" s="1"/>
      <c r="M63" s="77"/>
    </row>
    <row r="64" spans="1:13">
      <c r="C64" s="29" t="s">
        <v>11</v>
      </c>
      <c r="D64" s="29"/>
      <c r="E64" s="30"/>
      <c r="F64" s="29"/>
      <c r="G64" s="29"/>
      <c r="H64" s="29"/>
      <c r="I64" s="31"/>
      <c r="J64" s="92" t="str">
        <f>J7</f>
        <v>For the 12 months ended: 12/31/2015</v>
      </c>
      <c r="K64" s="5"/>
      <c r="M64" s="77"/>
    </row>
    <row r="65" spans="1:13">
      <c r="A65" s="277" t="str">
        <f>A8</f>
        <v>Rate Formula Template</v>
      </c>
      <c r="B65" s="279"/>
      <c r="C65" s="279"/>
      <c r="D65" s="277"/>
      <c r="E65" s="279"/>
      <c r="F65" s="277"/>
      <c r="G65" s="277"/>
      <c r="H65" s="277"/>
      <c r="I65" s="277"/>
      <c r="J65" s="279"/>
      <c r="K65" s="5"/>
      <c r="L65" s="279"/>
      <c r="M65" s="1"/>
    </row>
    <row r="66" spans="1:13">
      <c r="A66" s="280" t="s">
        <v>331</v>
      </c>
      <c r="B66" s="279"/>
      <c r="C66" s="277"/>
      <c r="D66" s="280"/>
      <c r="E66" s="279"/>
      <c r="F66" s="280"/>
      <c r="G66" s="280"/>
      <c r="H66" s="280"/>
      <c r="I66" s="277"/>
      <c r="J66" s="277"/>
      <c r="K66" s="5"/>
      <c r="L66" s="273"/>
      <c r="M66" s="1"/>
    </row>
    <row r="67" spans="1:13">
      <c r="A67" s="273"/>
      <c r="B67" s="279"/>
      <c r="C67" s="273"/>
      <c r="D67" s="273"/>
      <c r="E67" s="279"/>
      <c r="F67" s="273"/>
      <c r="G67" s="273"/>
      <c r="H67" s="273"/>
      <c r="I67" s="273"/>
      <c r="J67" s="273"/>
      <c r="K67" s="5"/>
      <c r="L67" s="273"/>
      <c r="M67" s="1"/>
    </row>
    <row r="68" spans="1:13" ht="15.75">
      <c r="A68" s="427" t="str">
        <f>$A$11</f>
        <v>DUKE ENERGY OHIO AND DUKE ENERGY KENTUCKY (DEOK)</v>
      </c>
      <c r="B68" s="279"/>
      <c r="C68" s="273"/>
      <c r="D68" s="273"/>
      <c r="E68" s="279"/>
      <c r="F68" s="273"/>
      <c r="G68" s="273"/>
      <c r="H68" s="273"/>
      <c r="I68" s="273"/>
      <c r="J68" s="273"/>
      <c r="K68" s="5"/>
      <c r="L68" s="273"/>
      <c r="M68" s="5"/>
    </row>
    <row r="69" spans="1:13">
      <c r="C69" s="3"/>
      <c r="D69" s="1"/>
      <c r="E69" s="279"/>
      <c r="F69" s="273"/>
      <c r="G69" s="273"/>
      <c r="H69" s="273"/>
      <c r="I69" s="273"/>
      <c r="J69" s="273"/>
      <c r="K69" s="5"/>
      <c r="L69" s="273"/>
      <c r="M69" s="5"/>
    </row>
    <row r="70" spans="1:13">
      <c r="C70" s="4" t="s">
        <v>24</v>
      </c>
      <c r="D70" s="4" t="s">
        <v>25</v>
      </c>
      <c r="E70" s="4" t="s">
        <v>26</v>
      </c>
      <c r="F70" s="5" t="s">
        <v>12</v>
      </c>
      <c r="G70" s="5"/>
      <c r="H70" s="7" t="s">
        <v>27</v>
      </c>
      <c r="I70" s="5"/>
      <c r="J70" s="8" t="s">
        <v>28</v>
      </c>
      <c r="K70" s="5"/>
      <c r="L70" s="4"/>
      <c r="M70" s="5"/>
    </row>
    <row r="71" spans="1:13" ht="15.75">
      <c r="A71" s="33" t="s">
        <v>13</v>
      </c>
      <c r="B71" s="381"/>
      <c r="C71" s="13"/>
      <c r="D71" s="26" t="s">
        <v>29</v>
      </c>
      <c r="E71" s="436"/>
      <c r="F71" s="436"/>
      <c r="G71" s="436"/>
      <c r="H71" s="33"/>
      <c r="I71" s="436"/>
      <c r="J71" s="33" t="s">
        <v>30</v>
      </c>
      <c r="K71" s="5"/>
      <c r="L71" s="4"/>
      <c r="M71" s="5"/>
    </row>
    <row r="72" spans="1:13" ht="16.5" thickBot="1">
      <c r="A72" s="300" t="s">
        <v>15</v>
      </c>
      <c r="B72" s="723"/>
      <c r="C72" s="291" t="s">
        <v>33</v>
      </c>
      <c r="D72" s="438" t="s">
        <v>31</v>
      </c>
      <c r="E72" s="439" t="s">
        <v>32</v>
      </c>
      <c r="F72" s="10"/>
      <c r="G72" s="440" t="s">
        <v>18</v>
      </c>
      <c r="H72" s="440"/>
      <c r="I72" s="10"/>
      <c r="J72" s="437" t="s">
        <v>424</v>
      </c>
      <c r="K72" s="5"/>
      <c r="L72" s="4"/>
      <c r="M72" s="1"/>
    </row>
    <row r="73" spans="1:13">
      <c r="D73" s="5"/>
      <c r="E73" s="5"/>
      <c r="F73" s="5"/>
      <c r="G73" s="5"/>
      <c r="H73" s="5"/>
      <c r="I73" s="5"/>
      <c r="J73" s="5"/>
      <c r="K73" s="5"/>
      <c r="L73" s="5"/>
      <c r="M73" s="1"/>
    </row>
    <row r="74" spans="1:13">
      <c r="A74" s="32"/>
      <c r="C74" s="3"/>
      <c r="D74" s="5"/>
      <c r="E74" s="5"/>
      <c r="F74" s="5"/>
      <c r="G74" s="5"/>
      <c r="H74" s="5"/>
      <c r="I74" s="5"/>
      <c r="J74" s="5"/>
      <c r="K74" s="5"/>
      <c r="L74" s="5"/>
      <c r="M74" s="1"/>
    </row>
    <row r="75" spans="1:13">
      <c r="A75" s="32"/>
      <c r="C75" s="787" t="s">
        <v>34</v>
      </c>
      <c r="D75" s="5"/>
      <c r="E75" s="5"/>
      <c r="F75" s="5"/>
      <c r="G75" s="5"/>
      <c r="H75" s="5"/>
      <c r="I75" s="5"/>
      <c r="J75" s="5"/>
      <c r="K75" s="5"/>
      <c r="L75" s="5"/>
      <c r="M75" s="1"/>
    </row>
    <row r="76" spans="1:13" ht="15.95" customHeight="1">
      <c r="A76" s="32">
        <v>1</v>
      </c>
      <c r="C76" s="787" t="s">
        <v>35</v>
      </c>
      <c r="D76" s="957" t="s">
        <v>219</v>
      </c>
      <c r="E76" s="494">
        <f>DEO!E75+DEK!E75</f>
        <v>1061538257</v>
      </c>
      <c r="F76" s="5"/>
      <c r="G76" s="5" t="s">
        <v>36</v>
      </c>
      <c r="H76" s="14" t="s">
        <v>12</v>
      </c>
      <c r="I76" s="5"/>
      <c r="J76" s="227" t="s">
        <v>12</v>
      </c>
      <c r="K76" s="5"/>
      <c r="L76" s="5"/>
      <c r="M76" s="1"/>
    </row>
    <row r="77" spans="1:13" ht="15.95" customHeight="1">
      <c r="A77" s="32">
        <v>2</v>
      </c>
      <c r="C77" s="787" t="s">
        <v>37</v>
      </c>
      <c r="D77" s="957" t="s">
        <v>204</v>
      </c>
      <c r="E77" s="368">
        <f>DEO!E76+DEK!E76</f>
        <v>777824773</v>
      </c>
      <c r="F77" s="5"/>
      <c r="G77" s="5" t="s">
        <v>19</v>
      </c>
      <c r="H77" s="14">
        <f>J208</f>
        <v>0.97887580266101915</v>
      </c>
      <c r="I77" s="5"/>
      <c r="J77" s="84">
        <f>H77*E77</f>
        <v>761393849</v>
      </c>
      <c r="K77" s="5"/>
      <c r="L77" s="5"/>
      <c r="M77" s="1"/>
    </row>
    <row r="78" spans="1:13" ht="15.95" customHeight="1">
      <c r="A78" s="32">
        <v>3</v>
      </c>
      <c r="C78" s="787" t="s">
        <v>38</v>
      </c>
      <c r="D78" s="957" t="s">
        <v>205</v>
      </c>
      <c r="E78" s="368">
        <f>DEO!E77+DEK!E77</f>
        <v>2675008435</v>
      </c>
      <c r="F78" s="5"/>
      <c r="G78" s="5" t="s">
        <v>36</v>
      </c>
      <c r="H78" s="14" t="s">
        <v>12</v>
      </c>
      <c r="I78" s="5"/>
      <c r="J78" s="227" t="s">
        <v>12</v>
      </c>
      <c r="K78" s="5"/>
      <c r="L78" s="5"/>
      <c r="M78" s="1"/>
    </row>
    <row r="79" spans="1:13" ht="15.95" customHeight="1">
      <c r="A79" s="32">
        <v>4</v>
      </c>
      <c r="C79" s="787" t="s">
        <v>39</v>
      </c>
      <c r="D79" s="957" t="s">
        <v>0</v>
      </c>
      <c r="E79" s="368">
        <f>DEO!E78+DEK!E78</f>
        <v>249454653</v>
      </c>
      <c r="F79" s="5"/>
      <c r="G79" s="5" t="s">
        <v>40</v>
      </c>
      <c r="H79" s="14">
        <f>J226</f>
        <v>0.10748176530554367</v>
      </c>
      <c r="I79" s="5"/>
      <c r="J79" s="227">
        <f>H79*E79</f>
        <v>26811826.468121834</v>
      </c>
      <c r="K79" s="5"/>
      <c r="L79" s="5"/>
      <c r="M79" s="5"/>
    </row>
    <row r="80" spans="1:13" ht="15.75" thickBot="1">
      <c r="A80" s="32">
        <v>5</v>
      </c>
      <c r="C80" s="787" t="s">
        <v>41</v>
      </c>
      <c r="D80" s="958" t="s">
        <v>42</v>
      </c>
      <c r="E80" s="492">
        <f>DEO!E79+DEK!E79</f>
        <v>246267928</v>
      </c>
      <c r="F80" s="5"/>
      <c r="G80" s="5" t="s">
        <v>93</v>
      </c>
      <c r="H80" s="14">
        <f>L230</f>
        <v>7.5880468812248553E-2</v>
      </c>
      <c r="I80" s="5"/>
      <c r="J80" s="228">
        <f>H80*E80</f>
        <v>18686925.830061071</v>
      </c>
      <c r="K80" s="5"/>
      <c r="L80" s="5"/>
      <c r="M80" s="5"/>
    </row>
    <row r="81" spans="1:13">
      <c r="A81" s="32">
        <v>6</v>
      </c>
      <c r="C81" s="789" t="s">
        <v>43</v>
      </c>
      <c r="D81" s="780"/>
      <c r="E81" s="84">
        <f>SUM(E76:E80)</f>
        <v>5010094046</v>
      </c>
      <c r="F81" s="5"/>
      <c r="G81" s="5" t="s">
        <v>44</v>
      </c>
      <c r="H81" s="441">
        <f>IF(J81&gt;0,J81/E81,0)</f>
        <v>0.16105338420591056</v>
      </c>
      <c r="I81" s="5"/>
      <c r="J81" s="84">
        <f>SUM(J76:J80)</f>
        <v>806892601.29818296</v>
      </c>
      <c r="K81" s="5"/>
      <c r="L81" s="18"/>
      <c r="M81" s="1"/>
    </row>
    <row r="82" spans="1:13">
      <c r="C82" s="787"/>
      <c r="D82" s="780"/>
      <c r="E82" s="225"/>
      <c r="F82" s="5"/>
      <c r="G82" s="5"/>
      <c r="H82" s="18"/>
      <c r="I82" s="5"/>
      <c r="J82" s="227"/>
      <c r="K82" s="5"/>
      <c r="L82" s="18"/>
      <c r="M82" s="1"/>
    </row>
    <row r="83" spans="1:13">
      <c r="C83" s="787" t="s">
        <v>45</v>
      </c>
      <c r="D83" s="780"/>
      <c r="E83" s="225"/>
      <c r="F83" s="5"/>
      <c r="G83" s="5"/>
      <c r="H83" s="5"/>
      <c r="I83" s="5"/>
      <c r="J83" s="227"/>
      <c r="K83" s="5"/>
      <c r="L83" s="5"/>
      <c r="M83" s="1"/>
    </row>
    <row r="84" spans="1:13">
      <c r="A84" s="32">
        <v>7</v>
      </c>
      <c r="C84" s="787" t="s">
        <v>35</v>
      </c>
      <c r="D84" s="780" t="s">
        <v>197</v>
      </c>
      <c r="E84" s="494">
        <f>DEO!E83+DEK!E83</f>
        <v>606328680</v>
      </c>
      <c r="F84" s="5"/>
      <c r="G84" s="5" t="str">
        <f t="shared" ref="G84:H88" si="5">G76</f>
        <v>NA</v>
      </c>
      <c r="H84" s="14" t="str">
        <f t="shared" si="5"/>
        <v xml:space="preserve"> </v>
      </c>
      <c r="I84" s="5"/>
      <c r="J84" s="227" t="s">
        <v>12</v>
      </c>
      <c r="K84" s="5"/>
      <c r="L84" s="5"/>
      <c r="M84" s="1"/>
    </row>
    <row r="85" spans="1:13">
      <c r="A85" s="32">
        <v>8</v>
      </c>
      <c r="C85" s="787" t="s">
        <v>37</v>
      </c>
      <c r="D85" s="780" t="s">
        <v>185</v>
      </c>
      <c r="E85" s="368">
        <f>DEO!E84+DEK!E84</f>
        <v>259460284</v>
      </c>
      <c r="F85" s="5"/>
      <c r="G85" s="5" t="str">
        <f t="shared" si="5"/>
        <v>TP</v>
      </c>
      <c r="H85" s="14">
        <f t="shared" si="5"/>
        <v>0.97887580266101915</v>
      </c>
      <c r="I85" s="5"/>
      <c r="J85" s="84">
        <f>H85*E85</f>
        <v>253979393.75915599</v>
      </c>
      <c r="K85" s="5"/>
      <c r="L85" s="5"/>
      <c r="M85" s="1"/>
    </row>
    <row r="86" spans="1:13">
      <c r="A86" s="32">
        <v>9</v>
      </c>
      <c r="C86" s="787" t="s">
        <v>38</v>
      </c>
      <c r="D86" s="780" t="s">
        <v>186</v>
      </c>
      <c r="E86" s="368">
        <f>DEO!E85+DEK!E85</f>
        <v>909171660</v>
      </c>
      <c r="F86" s="5"/>
      <c r="G86" s="5" t="str">
        <f t="shared" si="5"/>
        <v>NA</v>
      </c>
      <c r="H86" s="14" t="str">
        <f t="shared" si="5"/>
        <v xml:space="preserve"> </v>
      </c>
      <c r="I86" s="5"/>
      <c r="J86" s="227" t="s">
        <v>12</v>
      </c>
      <c r="K86" s="5"/>
      <c r="L86" s="5"/>
      <c r="M86" s="1"/>
    </row>
    <row r="87" spans="1:13">
      <c r="A87" s="32">
        <v>10</v>
      </c>
      <c r="C87" s="787" t="s">
        <v>39</v>
      </c>
      <c r="D87" s="780" t="s">
        <v>685</v>
      </c>
      <c r="E87" s="368">
        <f>DEO!E86+DEK!E86</f>
        <v>98465375</v>
      </c>
      <c r="F87" s="5"/>
      <c r="G87" s="5" t="str">
        <f t="shared" si="5"/>
        <v>W/S</v>
      </c>
      <c r="H87" s="14">
        <f t="shared" si="5"/>
        <v>0.10748176530554367</v>
      </c>
      <c r="I87" s="5"/>
      <c r="J87" s="227">
        <f>H87*E87</f>
        <v>10583232.326472348</v>
      </c>
      <c r="K87" s="5"/>
      <c r="L87" s="5"/>
      <c r="M87" s="1"/>
    </row>
    <row r="88" spans="1:13" ht="15.75" thickBot="1">
      <c r="A88" s="32">
        <v>11</v>
      </c>
      <c r="C88" s="787" t="s">
        <v>41</v>
      </c>
      <c r="D88" s="780" t="s">
        <v>42</v>
      </c>
      <c r="E88" s="492">
        <f>DEO!E87+DEK!E87</f>
        <v>103251328</v>
      </c>
      <c r="F88" s="5"/>
      <c r="G88" s="5" t="str">
        <f t="shared" si="5"/>
        <v>CE</v>
      </c>
      <c r="H88" s="14">
        <f t="shared" si="5"/>
        <v>7.5880468812248553E-2</v>
      </c>
      <c r="I88" s="5"/>
      <c r="J88" s="228">
        <f>H88*E88</f>
        <v>7834759.1741272453</v>
      </c>
      <c r="K88" s="5"/>
      <c r="L88" s="5"/>
      <c r="M88" s="1"/>
    </row>
    <row r="89" spans="1:13">
      <c r="A89" s="32">
        <v>12</v>
      </c>
      <c r="C89" s="787" t="s">
        <v>46</v>
      </c>
      <c r="D89" s="780"/>
      <c r="E89" s="84">
        <f>SUM(E84:E88)</f>
        <v>1976677327</v>
      </c>
      <c r="F89" s="5"/>
      <c r="G89" s="5"/>
      <c r="H89" s="5"/>
      <c r="I89" s="5"/>
      <c r="J89" s="84">
        <f>SUM(J84:J88)</f>
        <v>272397385.25975555</v>
      </c>
      <c r="K89" s="5"/>
      <c r="L89" s="5"/>
      <c r="M89" s="1"/>
    </row>
    <row r="90" spans="1:13">
      <c r="A90" s="32"/>
      <c r="C90" s="786"/>
      <c r="D90" s="780" t="s">
        <v>12</v>
      </c>
      <c r="E90" s="225"/>
      <c r="F90" s="5"/>
      <c r="G90" s="5"/>
      <c r="H90" s="18"/>
      <c r="I90" s="5"/>
      <c r="J90" s="227"/>
      <c r="K90" s="5"/>
      <c r="L90" s="18"/>
      <c r="M90" s="1"/>
    </row>
    <row r="91" spans="1:13">
      <c r="A91" s="32"/>
      <c r="C91" s="787" t="s">
        <v>47</v>
      </c>
      <c r="D91" s="780"/>
      <c r="E91" s="225"/>
      <c r="F91" s="5"/>
      <c r="G91" s="5"/>
      <c r="H91" s="5"/>
      <c r="I91" s="5"/>
      <c r="J91" s="227"/>
      <c r="K91" s="5"/>
      <c r="L91" s="5"/>
      <c r="M91" s="1"/>
    </row>
    <row r="92" spans="1:13">
      <c r="A92" s="32">
        <v>13</v>
      </c>
      <c r="C92" s="787" t="s">
        <v>35</v>
      </c>
      <c r="D92" s="780" t="s">
        <v>422</v>
      </c>
      <c r="E92" s="84">
        <f>E76-E84</f>
        <v>455209577</v>
      </c>
      <c r="F92" s="5"/>
      <c r="G92" s="5"/>
      <c r="H92" s="18"/>
      <c r="I92" s="5"/>
      <c r="J92" s="227" t="s">
        <v>12</v>
      </c>
      <c r="K92" s="5"/>
      <c r="L92" s="18"/>
      <c r="M92" s="1"/>
    </row>
    <row r="93" spans="1:13">
      <c r="A93" s="32">
        <v>14</v>
      </c>
      <c r="C93" s="787" t="s">
        <v>37</v>
      </c>
      <c r="D93" s="780" t="s">
        <v>423</v>
      </c>
      <c r="E93" s="225">
        <f>E77-E85</f>
        <v>518364489</v>
      </c>
      <c r="F93" s="5"/>
      <c r="G93" s="5"/>
      <c r="H93" s="14"/>
      <c r="I93" s="5"/>
      <c r="J93" s="84">
        <f>J77-J85</f>
        <v>507414455.24084401</v>
      </c>
      <c r="K93" s="5"/>
      <c r="L93" s="18"/>
      <c r="M93" s="1"/>
    </row>
    <row r="94" spans="1:13">
      <c r="A94" s="32">
        <v>15</v>
      </c>
      <c r="C94" s="787" t="s">
        <v>38</v>
      </c>
      <c r="D94" s="780" t="s">
        <v>48</v>
      </c>
      <c r="E94" s="225">
        <f>E78-E86</f>
        <v>1765836775</v>
      </c>
      <c r="F94" s="5"/>
      <c r="G94" s="5"/>
      <c r="H94" s="18"/>
      <c r="I94" s="5"/>
      <c r="J94" s="227" t="s">
        <v>12</v>
      </c>
      <c r="K94" s="5"/>
      <c r="L94" s="18"/>
      <c r="M94" s="1"/>
    </row>
    <row r="95" spans="1:13">
      <c r="A95" s="32">
        <v>16</v>
      </c>
      <c r="C95" s="787" t="s">
        <v>39</v>
      </c>
      <c r="D95" s="780" t="s">
        <v>49</v>
      </c>
      <c r="E95" s="225">
        <f>E79-E87</f>
        <v>150989278</v>
      </c>
      <c r="F95" s="5"/>
      <c r="G95" s="5"/>
      <c r="H95" s="18"/>
      <c r="I95" s="5"/>
      <c r="J95" s="227">
        <f>J79-J87</f>
        <v>16228594.141649486</v>
      </c>
      <c r="K95" s="5"/>
      <c r="L95" s="18"/>
      <c r="M95" s="1"/>
    </row>
    <row r="96" spans="1:13" ht="15.75" thickBot="1">
      <c r="A96" s="32">
        <v>17</v>
      </c>
      <c r="C96" s="787" t="s">
        <v>41</v>
      </c>
      <c r="D96" s="780" t="s">
        <v>50</v>
      </c>
      <c r="E96" s="226">
        <f>E80-E88</f>
        <v>143016600</v>
      </c>
      <c r="F96" s="5"/>
      <c r="G96" s="5"/>
      <c r="H96" s="18"/>
      <c r="I96" s="5"/>
      <c r="J96" s="228">
        <f>J80-J88</f>
        <v>10852166.655933825</v>
      </c>
      <c r="K96" s="5"/>
      <c r="L96" s="18"/>
      <c r="M96" s="1"/>
    </row>
    <row r="97" spans="1:13">
      <c r="A97" s="32">
        <v>18</v>
      </c>
      <c r="C97" s="787" t="s">
        <v>51</v>
      </c>
      <c r="D97" s="780"/>
      <c r="E97" s="84">
        <f>SUM(E92:E96)</f>
        <v>3033416719</v>
      </c>
      <c r="F97" s="5"/>
      <c r="G97" s="5" t="s">
        <v>52</v>
      </c>
      <c r="H97" s="18">
        <f>IF(J97&gt;0,J97/E97,0)</f>
        <v>0.17620237031416827</v>
      </c>
      <c r="I97" s="5"/>
      <c r="J97" s="84">
        <f>SUM(J92:J96)</f>
        <v>534495216.03842729</v>
      </c>
      <c r="K97" s="5"/>
      <c r="L97" s="5"/>
      <c r="M97" s="1"/>
    </row>
    <row r="98" spans="1:13">
      <c r="A98" s="32"/>
      <c r="C98" s="786"/>
      <c r="D98" s="780"/>
      <c r="E98" s="225"/>
      <c r="F98" s="5"/>
      <c r="I98" s="5"/>
      <c r="J98" s="227"/>
      <c r="K98" s="5"/>
      <c r="L98" s="18"/>
      <c r="M98" s="1"/>
    </row>
    <row r="99" spans="1:13">
      <c r="A99" s="32"/>
      <c r="C99" s="790" t="s">
        <v>455</v>
      </c>
      <c r="D99" s="780"/>
      <c r="E99" s="225"/>
      <c r="F99" s="5"/>
      <c r="G99" s="5"/>
      <c r="H99" s="5"/>
      <c r="I99" s="5"/>
      <c r="J99" s="227"/>
      <c r="K99" s="5"/>
      <c r="L99" s="5"/>
      <c r="M99" s="1"/>
    </row>
    <row r="100" spans="1:13">
      <c r="A100" s="32">
        <v>19</v>
      </c>
      <c r="C100" s="787" t="s">
        <v>142</v>
      </c>
      <c r="D100" s="780" t="s">
        <v>53</v>
      </c>
      <c r="E100" s="494">
        <f>DEO!E99+DEK!E99</f>
        <v>-190426</v>
      </c>
      <c r="F100" s="37"/>
      <c r="G100" s="37" t="str">
        <f>G84</f>
        <v>NA</v>
      </c>
      <c r="H100" s="81" t="s">
        <v>176</v>
      </c>
      <c r="I100" s="5"/>
      <c r="J100" s="84">
        <v>0</v>
      </c>
      <c r="K100" s="5"/>
      <c r="L100" s="18"/>
      <c r="M100" s="1"/>
    </row>
    <row r="101" spans="1:13">
      <c r="A101" s="32">
        <v>20</v>
      </c>
      <c r="C101" s="787" t="s">
        <v>143</v>
      </c>
      <c r="D101" s="780" t="s">
        <v>686</v>
      </c>
      <c r="E101" s="368">
        <f>DEO!E100+DEK!E100</f>
        <v>-872772051</v>
      </c>
      <c r="F101" s="5"/>
      <c r="G101" s="5" t="s">
        <v>54</v>
      </c>
      <c r="H101" s="14">
        <f>H97</f>
        <v>0.17620237031416827</v>
      </c>
      <c r="I101" s="5"/>
      <c r="J101" s="227">
        <f>E101*H101</f>
        <v>-153784504.13015816</v>
      </c>
      <c r="K101" s="5"/>
      <c r="L101" s="18"/>
      <c r="M101" s="1"/>
    </row>
    <row r="102" spans="1:13">
      <c r="A102" s="32">
        <v>21</v>
      </c>
      <c r="C102" s="787" t="s">
        <v>144</v>
      </c>
      <c r="D102" s="780" t="s">
        <v>687</v>
      </c>
      <c r="E102" s="368">
        <f>DEO!E101+DEK!E101</f>
        <v>-65358625</v>
      </c>
      <c r="F102" s="5"/>
      <c r="G102" s="5" t="s">
        <v>54</v>
      </c>
      <c r="H102" s="14">
        <f>H101</f>
        <v>0.17620237031416827</v>
      </c>
      <c r="I102" s="5"/>
      <c r="J102" s="227">
        <f>E102*H102</f>
        <v>-11516344.645474857</v>
      </c>
      <c r="K102" s="5"/>
      <c r="L102" s="18"/>
      <c r="M102" s="1"/>
    </row>
    <row r="103" spans="1:13">
      <c r="A103" s="32">
        <v>22</v>
      </c>
      <c r="C103" s="787" t="s">
        <v>146</v>
      </c>
      <c r="D103" s="780" t="s">
        <v>688</v>
      </c>
      <c r="E103" s="497">
        <f>DEO!E102+DEK!E102</f>
        <v>85766319</v>
      </c>
      <c r="F103" s="5"/>
      <c r="G103" s="5" t="str">
        <f>G102</f>
        <v>NP</v>
      </c>
      <c r="H103" s="14">
        <f>H102</f>
        <v>0.17620237031416827</v>
      </c>
      <c r="I103" s="5"/>
      <c r="J103" s="227">
        <f>E103*H103</f>
        <v>15112228.700921087</v>
      </c>
      <c r="K103" s="5"/>
      <c r="L103" s="18"/>
      <c r="M103" s="1"/>
    </row>
    <row r="104" spans="1:13" ht="15.75" thickBot="1">
      <c r="A104" s="32">
        <v>23</v>
      </c>
      <c r="C104" s="788" t="s">
        <v>145</v>
      </c>
      <c r="D104" s="784" t="s">
        <v>198</v>
      </c>
      <c r="E104" s="492">
        <f>DEO!E103+DEK!E103</f>
        <v>0</v>
      </c>
      <c r="F104" s="5"/>
      <c r="G104" s="5" t="s">
        <v>54</v>
      </c>
      <c r="H104" s="14">
        <f>H102</f>
        <v>0.17620237031416827</v>
      </c>
      <c r="I104" s="5"/>
      <c r="J104" s="228">
        <f>E104*H104</f>
        <v>0</v>
      </c>
      <c r="K104" s="5"/>
      <c r="L104" s="18"/>
      <c r="M104" s="1"/>
    </row>
    <row r="105" spans="1:13">
      <c r="A105" s="32">
        <v>24</v>
      </c>
      <c r="C105" s="787" t="s">
        <v>714</v>
      </c>
      <c r="D105" s="780"/>
      <c r="E105" s="84">
        <f>SUM(E100:E104)</f>
        <v>-852554783</v>
      </c>
      <c r="F105" s="5"/>
      <c r="G105" s="5"/>
      <c r="H105" s="5"/>
      <c r="I105" s="5"/>
      <c r="J105" s="84">
        <f>SUM(J100:J104)</f>
        <v>-150188620.07471192</v>
      </c>
      <c r="K105" s="5"/>
      <c r="L105" s="5"/>
      <c r="M105" s="1"/>
    </row>
    <row r="106" spans="1:13">
      <c r="A106" s="32"/>
      <c r="C106" s="786"/>
      <c r="D106" s="780"/>
      <c r="E106" s="225"/>
      <c r="F106" s="5"/>
      <c r="G106" s="5"/>
      <c r="H106" s="18"/>
      <c r="I106" s="5"/>
      <c r="J106" s="227"/>
      <c r="K106" s="5"/>
      <c r="L106" s="18"/>
      <c r="M106" s="1"/>
    </row>
    <row r="107" spans="1:13">
      <c r="A107" s="32">
        <v>25</v>
      </c>
      <c r="C107" s="790" t="s">
        <v>436</v>
      </c>
      <c r="D107" s="780" t="s">
        <v>408</v>
      </c>
      <c r="E107" s="494">
        <f>DEO!E106+DEK!E106</f>
        <v>121217</v>
      </c>
      <c r="F107" s="5"/>
      <c r="G107" s="37"/>
      <c r="H107" s="493">
        <v>1</v>
      </c>
      <c r="I107" s="5"/>
      <c r="J107" s="84">
        <f>H107*E107</f>
        <v>121217</v>
      </c>
      <c r="K107" s="5"/>
      <c r="L107" s="5"/>
      <c r="M107" s="1"/>
    </row>
    <row r="108" spans="1:13">
      <c r="A108" s="32"/>
      <c r="C108" s="787"/>
      <c r="D108" s="780"/>
      <c r="E108" s="225"/>
      <c r="F108" s="5"/>
      <c r="G108" s="5"/>
      <c r="H108" s="5"/>
      <c r="I108" s="5"/>
      <c r="J108" s="227"/>
      <c r="K108" s="5"/>
      <c r="L108" s="5"/>
      <c r="M108" s="1"/>
    </row>
    <row r="109" spans="1:13">
      <c r="A109" s="32"/>
      <c r="C109" s="791" t="s">
        <v>456</v>
      </c>
      <c r="D109" s="780" t="s">
        <v>12</v>
      </c>
      <c r="E109" s="225"/>
      <c r="F109" s="5"/>
      <c r="G109" s="5"/>
      <c r="H109" s="5"/>
      <c r="I109" s="5"/>
      <c r="J109" s="227"/>
      <c r="K109" s="5"/>
      <c r="L109" s="5"/>
      <c r="M109" s="1"/>
    </row>
    <row r="110" spans="1:13">
      <c r="A110" s="32">
        <v>26</v>
      </c>
      <c r="C110" s="787" t="s">
        <v>170</v>
      </c>
      <c r="D110" s="784" t="s">
        <v>168</v>
      </c>
      <c r="E110" s="84">
        <f>DEO!E109+DEK!E109</f>
        <v>15216221</v>
      </c>
      <c r="F110" s="5"/>
      <c r="G110" s="5"/>
      <c r="H110" s="18"/>
      <c r="I110" s="5"/>
      <c r="J110" s="227">
        <f>J149/8</f>
        <v>3216967.125</v>
      </c>
      <c r="K110" s="1"/>
      <c r="L110" s="18"/>
      <c r="M110" s="1"/>
    </row>
    <row r="111" spans="1:13">
      <c r="A111" s="32">
        <v>27</v>
      </c>
      <c r="C111" s="791" t="s">
        <v>457</v>
      </c>
      <c r="D111" s="780" t="s">
        <v>683</v>
      </c>
      <c r="E111" s="368">
        <f>DEO!E110+DEK!E110</f>
        <v>17967859</v>
      </c>
      <c r="F111" s="5"/>
      <c r="G111" s="5" t="s">
        <v>55</v>
      </c>
      <c r="H111" s="14">
        <f>J218</f>
        <v>0.88687508552546224</v>
      </c>
      <c r="I111" s="5"/>
      <c r="J111" s="227">
        <f>H111*E111</f>
        <v>15935246.487334447</v>
      </c>
      <c r="K111" s="5" t="s">
        <v>12</v>
      </c>
      <c r="L111" s="18"/>
      <c r="M111" s="1"/>
    </row>
    <row r="112" spans="1:13" ht="15.75" thickBot="1">
      <c r="A112" s="32">
        <v>28</v>
      </c>
      <c r="C112" s="787" t="s">
        <v>148</v>
      </c>
      <c r="D112" s="783" t="s">
        <v>202</v>
      </c>
      <c r="E112" s="492">
        <f>DEO!E111+DEK!E111</f>
        <v>5933868</v>
      </c>
      <c r="F112" s="5"/>
      <c r="G112" s="5" t="s">
        <v>56</v>
      </c>
      <c r="H112" s="14">
        <f>H81</f>
        <v>0.16105338420591056</v>
      </c>
      <c r="I112" s="5"/>
      <c r="J112" s="228">
        <f>H112*E112</f>
        <v>955669.52283115813</v>
      </c>
      <c r="K112" s="5"/>
      <c r="L112" s="18"/>
      <c r="M112" s="1"/>
    </row>
    <row r="113" spans="1:13">
      <c r="A113" s="32">
        <v>29</v>
      </c>
      <c r="C113" s="787" t="s">
        <v>57</v>
      </c>
      <c r="D113" s="1"/>
      <c r="E113" s="366">
        <f>E110+E111+E112</f>
        <v>39117948</v>
      </c>
      <c r="F113" s="1"/>
      <c r="G113" s="1"/>
      <c r="H113" s="1"/>
      <c r="I113" s="1"/>
      <c r="J113" s="366">
        <f>J110+J111+J112</f>
        <v>20107883.135165602</v>
      </c>
      <c r="K113" s="1"/>
      <c r="L113" s="1"/>
      <c r="M113" s="1"/>
    </row>
    <row r="114" spans="1:13" ht="15.75" thickBot="1">
      <c r="C114" s="786"/>
      <c r="D114" s="5"/>
      <c r="E114" s="228"/>
      <c r="F114" s="5"/>
      <c r="G114" s="5"/>
      <c r="H114" s="5"/>
      <c r="I114" s="5"/>
      <c r="J114" s="228"/>
      <c r="K114" s="5"/>
      <c r="L114" s="5"/>
      <c r="M114" s="1"/>
    </row>
    <row r="115" spans="1:13" ht="15.75" thickBot="1">
      <c r="A115" s="32">
        <v>30</v>
      </c>
      <c r="C115" s="787" t="s">
        <v>147</v>
      </c>
      <c r="D115" s="5"/>
      <c r="E115" s="367">
        <f>E113+E107+E105+E97</f>
        <v>2220101101</v>
      </c>
      <c r="F115" s="5"/>
      <c r="G115" s="5"/>
      <c r="H115" s="18"/>
      <c r="I115" s="5"/>
      <c r="J115" s="367">
        <f>J113+J107+J105+J97</f>
        <v>404535696.09888101</v>
      </c>
      <c r="K115" s="5"/>
      <c r="L115" s="18"/>
      <c r="M115" s="5"/>
    </row>
    <row r="116" spans="1:13" ht="15.75" thickTop="1">
      <c r="A116" s="32"/>
      <c r="C116" s="3"/>
      <c r="D116" s="5"/>
      <c r="E116" s="5"/>
      <c r="F116" s="5"/>
      <c r="G116" s="5"/>
      <c r="H116" s="5"/>
      <c r="I116" s="5"/>
      <c r="J116" s="5"/>
      <c r="K116" s="5"/>
      <c r="L116" s="5"/>
      <c r="M116" s="5"/>
    </row>
    <row r="117" spans="1:13">
      <c r="A117" s="32"/>
      <c r="C117" s="3"/>
      <c r="D117" s="5"/>
      <c r="E117" s="30"/>
      <c r="F117" s="29"/>
      <c r="G117" s="29"/>
      <c r="H117" s="29"/>
      <c r="I117" s="31"/>
      <c r="K117" s="32"/>
      <c r="L117" s="92"/>
      <c r="M117" s="5"/>
    </row>
    <row r="118" spans="1:13" ht="18">
      <c r="A118" s="244"/>
      <c r="C118" s="29"/>
      <c r="D118" s="29"/>
      <c r="E118" s="30"/>
      <c r="F118" s="29"/>
      <c r="G118" s="29"/>
      <c r="H118" s="29"/>
      <c r="I118" s="31"/>
      <c r="J118" s="77" t="s">
        <v>369</v>
      </c>
      <c r="K118" s="91"/>
      <c r="M118" s="91"/>
    </row>
    <row r="119" spans="1:13">
      <c r="C119" s="29"/>
      <c r="D119" s="29"/>
      <c r="E119" s="30"/>
      <c r="F119" s="29"/>
      <c r="G119" s="29"/>
      <c r="H119" s="29"/>
      <c r="I119" s="31"/>
      <c r="J119" s="77" t="s">
        <v>572</v>
      </c>
      <c r="M119" s="77"/>
    </row>
    <row r="120" spans="1:13">
      <c r="C120" s="29"/>
      <c r="D120" s="29"/>
      <c r="E120" s="30"/>
      <c r="F120" s="29"/>
      <c r="G120" s="29"/>
      <c r="H120" s="29"/>
      <c r="I120" s="31"/>
      <c r="J120" s="77"/>
      <c r="M120" s="77"/>
    </row>
    <row r="121" spans="1:13">
      <c r="C121" s="29"/>
      <c r="D121" s="29"/>
      <c r="E121" s="30"/>
      <c r="F121" s="29"/>
      <c r="G121" s="29"/>
      <c r="H121" s="29"/>
      <c r="I121" s="31"/>
      <c r="M121" s="77"/>
    </row>
    <row r="122" spans="1:13">
      <c r="C122" s="29"/>
      <c r="D122" s="29"/>
      <c r="E122" s="30"/>
      <c r="F122" s="29"/>
      <c r="G122" s="29"/>
      <c r="H122" s="29"/>
      <c r="I122" s="31"/>
      <c r="K122" s="1"/>
      <c r="M122" s="77"/>
    </row>
    <row r="123" spans="1:13">
      <c r="C123" s="29"/>
      <c r="D123" s="29"/>
      <c r="E123" s="30"/>
      <c r="F123" s="29"/>
      <c r="G123" s="29"/>
      <c r="H123" s="29"/>
      <c r="I123" s="31"/>
      <c r="J123" s="77"/>
      <c r="K123" s="1"/>
      <c r="M123" s="77"/>
    </row>
    <row r="124" spans="1:13">
      <c r="C124" s="29" t="s">
        <v>11</v>
      </c>
      <c r="D124" s="29"/>
      <c r="E124" s="30"/>
      <c r="F124" s="29"/>
      <c r="G124" s="29"/>
      <c r="H124" s="29"/>
      <c r="I124" s="31"/>
      <c r="J124" s="92" t="str">
        <f>J7</f>
        <v>For the 12 months ended: 12/31/2015</v>
      </c>
      <c r="K124" s="1"/>
      <c r="M124" s="77"/>
    </row>
    <row r="125" spans="1:13">
      <c r="A125" s="277" t="str">
        <f>A8</f>
        <v>Rate Formula Template</v>
      </c>
      <c r="B125" s="279"/>
      <c r="C125" s="279"/>
      <c r="D125" s="277"/>
      <c r="E125" s="279"/>
      <c r="F125" s="277"/>
      <c r="G125" s="277"/>
      <c r="H125" s="277"/>
      <c r="I125" s="277"/>
      <c r="J125" s="279"/>
      <c r="K125" s="5"/>
      <c r="L125" s="279"/>
      <c r="M125" s="1"/>
    </row>
    <row r="126" spans="1:13">
      <c r="A126" s="280" t="s">
        <v>331</v>
      </c>
      <c r="B126" s="279"/>
      <c r="C126" s="277"/>
      <c r="D126" s="280"/>
      <c r="E126" s="279"/>
      <c r="F126" s="280"/>
      <c r="G126" s="280"/>
      <c r="H126" s="280"/>
      <c r="I126" s="277"/>
      <c r="J126" s="277"/>
      <c r="K126" s="5"/>
      <c r="L126" s="273"/>
      <c r="M126" s="1"/>
    </row>
    <row r="127" spans="1:13">
      <c r="A127" s="273"/>
      <c r="B127" s="279"/>
      <c r="C127" s="273"/>
      <c r="D127" s="273"/>
      <c r="E127" s="279"/>
      <c r="F127" s="273"/>
      <c r="G127" s="273"/>
      <c r="H127" s="273"/>
      <c r="I127" s="273"/>
      <c r="J127" s="273"/>
      <c r="K127" s="5"/>
      <c r="L127" s="273"/>
      <c r="M127" s="1"/>
    </row>
    <row r="128" spans="1:13" ht="15.75">
      <c r="A128" s="427" t="str">
        <f>$A$11</f>
        <v>DUKE ENERGY OHIO AND DUKE ENERGY KENTUCKY (DEOK)</v>
      </c>
      <c r="B128" s="279"/>
      <c r="C128" s="273"/>
      <c r="D128" s="273"/>
      <c r="E128" s="279"/>
      <c r="F128" s="273"/>
      <c r="G128" s="273"/>
      <c r="H128" s="273"/>
      <c r="I128" s="273"/>
      <c r="J128" s="273"/>
      <c r="K128" s="5"/>
      <c r="L128" s="273"/>
      <c r="M128" s="5"/>
    </row>
    <row r="129" spans="1:13">
      <c r="A129" s="32"/>
      <c r="C129" s="67"/>
      <c r="K129" s="5"/>
      <c r="L129" s="5"/>
      <c r="M129" s="5"/>
    </row>
    <row r="130" spans="1:13" ht="15.75">
      <c r="A130" s="32"/>
      <c r="C130" s="4" t="s">
        <v>24</v>
      </c>
      <c r="D130" s="4" t="s">
        <v>25</v>
      </c>
      <c r="E130" s="4" t="s">
        <v>26</v>
      </c>
      <c r="F130" s="5" t="s">
        <v>12</v>
      </c>
      <c r="G130" s="5"/>
      <c r="H130" s="7" t="s">
        <v>27</v>
      </c>
      <c r="I130" s="5"/>
      <c r="J130" s="8" t="s">
        <v>28</v>
      </c>
      <c r="K130" s="5"/>
      <c r="L130" s="33"/>
      <c r="M130" s="31"/>
    </row>
    <row r="131" spans="1:13" ht="15.75">
      <c r="A131" s="58" t="s">
        <v>13</v>
      </c>
      <c r="B131" s="297"/>
      <c r="C131" s="299"/>
      <c r="D131" s="47" t="s">
        <v>29</v>
      </c>
      <c r="E131" s="5"/>
      <c r="F131" s="5"/>
      <c r="G131" s="5"/>
      <c r="H131" s="32"/>
      <c r="I131" s="5"/>
      <c r="J131" s="32" t="s">
        <v>30</v>
      </c>
      <c r="K131" s="5"/>
      <c r="L131" s="33"/>
      <c r="M131" s="5"/>
    </row>
    <row r="132" spans="1:13" ht="15.75">
      <c r="A132" s="290" t="s">
        <v>15</v>
      </c>
      <c r="B132" s="297"/>
      <c r="C132" s="299"/>
      <c r="D132" s="409" t="s">
        <v>31</v>
      </c>
      <c r="E132" s="406" t="s">
        <v>32</v>
      </c>
      <c r="F132" s="407"/>
      <c r="G132" s="408" t="s">
        <v>18</v>
      </c>
      <c r="H132" s="294"/>
      <c r="I132" s="407"/>
      <c r="J132" s="293" t="s">
        <v>424</v>
      </c>
      <c r="K132" s="5"/>
      <c r="L132" s="33"/>
      <c r="M132" s="51"/>
    </row>
    <row r="133" spans="1:13" ht="15.75">
      <c r="C133" s="3"/>
      <c r="D133" s="5"/>
      <c r="E133" s="9"/>
      <c r="F133" s="10"/>
      <c r="G133" s="11"/>
      <c r="I133" s="10"/>
      <c r="J133" s="9"/>
      <c r="K133" s="5"/>
      <c r="L133" s="5"/>
      <c r="M133" s="5"/>
    </row>
    <row r="134" spans="1:13">
      <c r="A134" s="32"/>
      <c r="C134" s="793" t="s">
        <v>58</v>
      </c>
      <c r="D134" s="5"/>
      <c r="E134" s="5"/>
      <c r="F134" s="5"/>
      <c r="G134" s="5"/>
      <c r="H134" s="5"/>
      <c r="I134" s="5"/>
      <c r="J134" s="5"/>
      <c r="K134" s="5"/>
      <c r="L134" s="5"/>
      <c r="M134" s="5"/>
    </row>
    <row r="135" spans="1:13">
      <c r="A135" s="32">
        <v>1</v>
      </c>
      <c r="C135" s="793" t="s">
        <v>59</v>
      </c>
      <c r="D135" s="780" t="s">
        <v>220</v>
      </c>
      <c r="E135" s="84">
        <f>DEO!E134+DEK!E134</f>
        <v>48160612</v>
      </c>
      <c r="F135" s="5"/>
      <c r="G135" s="5" t="s">
        <v>55</v>
      </c>
      <c r="H135" s="14">
        <f>J218</f>
        <v>0.88687508552546224</v>
      </c>
      <c r="I135" s="5"/>
      <c r="J135" s="366">
        <f>ROUND(H135*E135,0)</f>
        <v>42712447</v>
      </c>
      <c r="K135" s="1"/>
      <c r="L135" s="5"/>
      <c r="M135" s="5"/>
    </row>
    <row r="136" spans="1:13">
      <c r="A136" s="235" t="s">
        <v>3</v>
      </c>
      <c r="B136" s="67"/>
      <c r="C136" s="800" t="s">
        <v>446</v>
      </c>
      <c r="D136" s="783" t="s">
        <v>7</v>
      </c>
      <c r="E136" s="368">
        <f>DEO!E135+DEK!E135</f>
        <v>15550907</v>
      </c>
      <c r="F136" s="37"/>
      <c r="G136" s="37"/>
      <c r="H136" s="64">
        <v>1</v>
      </c>
      <c r="I136" s="37"/>
      <c r="J136" s="227">
        <f>ROUND(H136*E136,0)</f>
        <v>15550907</v>
      </c>
      <c r="K136" s="1"/>
      <c r="L136" s="5"/>
      <c r="M136" s="5"/>
    </row>
    <row r="137" spans="1:13">
      <c r="A137" s="235" t="s">
        <v>296</v>
      </c>
      <c r="B137" s="67"/>
      <c r="C137" s="798" t="s">
        <v>772</v>
      </c>
      <c r="D137" s="783" t="s">
        <v>641</v>
      </c>
      <c r="E137" s="618">
        <f>DEO!E136+DEK!E136</f>
        <v>0</v>
      </c>
      <c r="F137" s="37"/>
      <c r="G137" s="5" t="s">
        <v>55</v>
      </c>
      <c r="H137" s="14">
        <f>J$218</f>
        <v>0.88687508552546224</v>
      </c>
      <c r="I137" s="37"/>
      <c r="J137" s="227">
        <f t="shared" ref="J137" si="6">ROUND(H137*E137,0)</f>
        <v>0</v>
      </c>
      <c r="K137" s="1"/>
      <c r="L137" s="5"/>
      <c r="M137" s="5"/>
    </row>
    <row r="138" spans="1:13">
      <c r="A138" s="32">
        <v>2</v>
      </c>
      <c r="C138" s="798" t="s">
        <v>4</v>
      </c>
      <c r="D138" s="783" t="s">
        <v>221</v>
      </c>
      <c r="E138" s="368">
        <f>DEO!E137+DEK!E137</f>
        <v>14119424</v>
      </c>
      <c r="F138" s="5"/>
      <c r="G138" s="5" t="s">
        <v>55</v>
      </c>
      <c r="H138" s="14">
        <f>J$218</f>
        <v>0.88687508552546224</v>
      </c>
      <c r="I138" s="5"/>
      <c r="J138" s="227">
        <f t="shared" ref="J138:J148" si="7">ROUND(H138*E138,0)</f>
        <v>12522165</v>
      </c>
      <c r="K138" s="1"/>
      <c r="L138" s="5"/>
      <c r="M138" s="5"/>
    </row>
    <row r="139" spans="1:13">
      <c r="A139" s="235">
        <v>3</v>
      </c>
      <c r="B139" s="67"/>
      <c r="C139" s="803" t="s">
        <v>60</v>
      </c>
      <c r="D139" s="783" t="s">
        <v>222</v>
      </c>
      <c r="E139" s="225">
        <f>DEO!E138+DEK!E138</f>
        <v>104163477</v>
      </c>
      <c r="F139" s="37"/>
      <c r="G139" s="37" t="s">
        <v>40</v>
      </c>
      <c r="H139" s="64">
        <f t="shared" ref="H139:H145" si="8">$J$226</f>
        <v>0.10748176530554367</v>
      </c>
      <c r="I139" s="37"/>
      <c r="J139" s="227">
        <f t="shared" si="7"/>
        <v>11195674</v>
      </c>
      <c r="K139" s="5"/>
      <c r="L139" s="5" t="s">
        <v>12</v>
      </c>
      <c r="M139" s="5"/>
    </row>
    <row r="140" spans="1:13">
      <c r="A140" s="235" t="s">
        <v>469</v>
      </c>
      <c r="B140" s="67"/>
      <c r="C140" s="802" t="s">
        <v>471</v>
      </c>
      <c r="D140" s="783" t="s">
        <v>291</v>
      </c>
      <c r="E140" s="368">
        <f>DEO!E139+DEK!E139</f>
        <v>394507</v>
      </c>
      <c r="F140" s="37"/>
      <c r="G140" s="37" t="s">
        <v>40</v>
      </c>
      <c r="H140" s="64">
        <f t="shared" si="8"/>
        <v>0.10748176530554367</v>
      </c>
      <c r="I140" s="37"/>
      <c r="J140" s="227">
        <f t="shared" si="7"/>
        <v>42402</v>
      </c>
      <c r="K140" s="5"/>
      <c r="L140" s="5"/>
      <c r="M140" s="5"/>
    </row>
    <row r="141" spans="1:13">
      <c r="A141" s="235" t="s">
        <v>470</v>
      </c>
      <c r="B141" s="67"/>
      <c r="C141" s="802" t="s">
        <v>472</v>
      </c>
      <c r="D141" s="783" t="s">
        <v>291</v>
      </c>
      <c r="E141" s="368">
        <f>DEO!E140+DEK!E140</f>
        <v>2918402</v>
      </c>
      <c r="F141" s="37"/>
      <c r="G141" s="37" t="s">
        <v>40</v>
      </c>
      <c r="H141" s="64">
        <f t="shared" si="8"/>
        <v>0.10748176530554367</v>
      </c>
      <c r="I141" s="37"/>
      <c r="J141" s="227">
        <f t="shared" si="7"/>
        <v>313675</v>
      </c>
      <c r="K141" s="5"/>
      <c r="L141" s="5"/>
      <c r="M141" s="5"/>
    </row>
    <row r="142" spans="1:13">
      <c r="A142" s="235" t="s">
        <v>642</v>
      </c>
      <c r="B142" s="67"/>
      <c r="C142" s="798" t="s">
        <v>778</v>
      </c>
      <c r="D142" s="783" t="s">
        <v>644</v>
      </c>
      <c r="E142" s="618">
        <f>DEO!E141+DEK!E141</f>
        <v>0</v>
      </c>
      <c r="F142" s="37"/>
      <c r="G142" s="37" t="s">
        <v>40</v>
      </c>
      <c r="H142" s="64">
        <f t="shared" si="8"/>
        <v>0.10748176530554367</v>
      </c>
      <c r="I142" s="37"/>
      <c r="J142" s="227">
        <f t="shared" si="7"/>
        <v>0</v>
      </c>
      <c r="K142" s="5"/>
      <c r="L142" s="5"/>
      <c r="M142" s="5"/>
    </row>
    <row r="143" spans="1:13" s="898" customFormat="1">
      <c r="A143" s="833"/>
      <c r="B143" s="863"/>
      <c r="C143" s="826" t="s">
        <v>793</v>
      </c>
      <c r="D143" s="783"/>
      <c r="E143" s="225"/>
      <c r="F143" s="831"/>
      <c r="G143" s="831"/>
      <c r="H143" s="64"/>
      <c r="I143" s="831"/>
      <c r="J143" s="225"/>
      <c r="K143" s="859"/>
      <c r="L143" s="859"/>
      <c r="M143" s="859"/>
    </row>
    <row r="144" spans="1:13">
      <c r="A144" s="235">
        <v>4</v>
      </c>
      <c r="B144" s="67"/>
      <c r="C144" s="802" t="s">
        <v>431</v>
      </c>
      <c r="D144" s="783" t="s">
        <v>690</v>
      </c>
      <c r="E144" s="368">
        <f>DEO!E143+DEK!E143</f>
        <v>0</v>
      </c>
      <c r="F144" s="37"/>
      <c r="G144" s="37" t="s">
        <v>40</v>
      </c>
      <c r="H144" s="64">
        <f t="shared" si="8"/>
        <v>0.10748176530554367</v>
      </c>
      <c r="I144" s="37"/>
      <c r="J144" s="227">
        <f t="shared" si="7"/>
        <v>0</v>
      </c>
      <c r="K144" s="5"/>
      <c r="L144" s="5"/>
      <c r="M144" s="5"/>
    </row>
    <row r="145" spans="1:13">
      <c r="A145" s="235">
        <v>5</v>
      </c>
      <c r="B145" s="67"/>
      <c r="C145" s="800" t="s">
        <v>447</v>
      </c>
      <c r="D145" s="37"/>
      <c r="E145" s="368">
        <f>DEO!E144+DEK!E144</f>
        <v>3447885</v>
      </c>
      <c r="F145" s="37"/>
      <c r="G145" s="37" t="s">
        <v>40</v>
      </c>
      <c r="H145" s="64">
        <f t="shared" si="8"/>
        <v>0.10748176530554367</v>
      </c>
      <c r="I145" s="37"/>
      <c r="J145" s="227">
        <f t="shared" si="7"/>
        <v>370585</v>
      </c>
      <c r="K145" s="5"/>
      <c r="L145" s="5"/>
      <c r="M145" s="5"/>
    </row>
    <row r="146" spans="1:13">
      <c r="A146" s="449" t="s">
        <v>175</v>
      </c>
      <c r="B146" s="67"/>
      <c r="C146" s="800" t="s">
        <v>448</v>
      </c>
      <c r="D146" s="37"/>
      <c r="E146" s="368">
        <f>DEO!E145+DEK!E145</f>
        <v>0</v>
      </c>
      <c r="F146" s="37"/>
      <c r="G146" s="63" t="str">
        <f>G135</f>
        <v>TE</v>
      </c>
      <c r="H146" s="64">
        <f>H135</f>
        <v>0.88687508552546224</v>
      </c>
      <c r="I146" s="37"/>
      <c r="J146" s="227">
        <f t="shared" si="7"/>
        <v>0</v>
      </c>
      <c r="K146" s="5"/>
      <c r="L146" s="5"/>
      <c r="M146" s="5"/>
    </row>
    <row r="147" spans="1:13">
      <c r="A147" s="235">
        <v>6</v>
      </c>
      <c r="B147" s="67"/>
      <c r="C147" s="803" t="s">
        <v>41</v>
      </c>
      <c r="D147" s="783" t="str">
        <f>D88</f>
        <v>356.1</v>
      </c>
      <c r="E147" s="368">
        <f>DEO!E146+DEK!E146</f>
        <v>0</v>
      </c>
      <c r="F147" s="37"/>
      <c r="G147" s="37" t="s">
        <v>93</v>
      </c>
      <c r="H147" s="64">
        <f>H88</f>
        <v>7.5880468812248553E-2</v>
      </c>
      <c r="I147" s="37"/>
      <c r="J147" s="227">
        <f t="shared" si="7"/>
        <v>0</v>
      </c>
      <c r="K147" s="5"/>
      <c r="L147" s="5"/>
      <c r="M147" s="5"/>
    </row>
    <row r="148" spans="1:13" ht="15.75" thickBot="1">
      <c r="A148" s="235">
        <v>7</v>
      </c>
      <c r="B148" s="67"/>
      <c r="C148" s="803" t="s">
        <v>61</v>
      </c>
      <c r="D148" s="37"/>
      <c r="E148" s="492">
        <f>DEO!E147+DEK!E147</f>
        <v>0</v>
      </c>
      <c r="F148" s="37"/>
      <c r="G148" s="37" t="s">
        <v>12</v>
      </c>
      <c r="H148" s="493">
        <v>1</v>
      </c>
      <c r="I148" s="37"/>
      <c r="J148" s="228">
        <f t="shared" si="7"/>
        <v>0</v>
      </c>
      <c r="K148" s="5"/>
      <c r="L148" s="5"/>
      <c r="M148" s="5"/>
    </row>
    <row r="149" spans="1:13">
      <c r="A149" s="833">
        <v>8</v>
      </c>
      <c r="B149" s="863"/>
      <c r="C149" s="827" t="s">
        <v>792</v>
      </c>
      <c r="D149" s="831"/>
      <c r="E149" s="84">
        <f>E135-E136-E137-E138+E139-E140+E141-E142-E144-E145+E146+E147+E148</f>
        <v>121729768</v>
      </c>
      <c r="F149" s="37"/>
      <c r="G149" s="37"/>
      <c r="H149" s="37"/>
      <c r="I149" s="37"/>
      <c r="J149" s="84">
        <f>J135-J136-J137-J138+J139-J140+J141-J142-J144-J145+J146+J147+J148</f>
        <v>25735737</v>
      </c>
      <c r="K149" s="5"/>
      <c r="L149" s="5"/>
      <c r="M149" s="5"/>
    </row>
    <row r="150" spans="1:13">
      <c r="A150" s="235"/>
      <c r="B150" s="67"/>
      <c r="C150" s="797"/>
      <c r="D150" s="5"/>
      <c r="E150" s="225"/>
      <c r="F150" s="37"/>
      <c r="G150" s="37"/>
      <c r="H150" s="37"/>
      <c r="I150" s="37"/>
      <c r="J150" s="225"/>
      <c r="K150" s="5"/>
      <c r="L150" s="5"/>
      <c r="M150" s="5"/>
    </row>
    <row r="151" spans="1:13">
      <c r="A151" s="32"/>
      <c r="C151" s="793" t="s">
        <v>62</v>
      </c>
      <c r="D151" s="5"/>
      <c r="E151" s="227"/>
      <c r="F151" s="5"/>
      <c r="G151" s="5"/>
      <c r="H151" s="5"/>
      <c r="I151" s="5"/>
      <c r="J151" s="227"/>
      <c r="K151" s="5"/>
      <c r="L151" s="5"/>
      <c r="M151" s="5"/>
    </row>
    <row r="152" spans="1:13">
      <c r="A152" s="32">
        <v>9</v>
      </c>
      <c r="C152" s="793" t="s">
        <v>59</v>
      </c>
      <c r="D152" s="780" t="s">
        <v>63</v>
      </c>
      <c r="E152" s="494">
        <f>DEO!E151+DEK!E151</f>
        <v>13531538</v>
      </c>
      <c r="F152" s="5"/>
      <c r="G152" s="5" t="s">
        <v>19</v>
      </c>
      <c r="H152" s="14">
        <f>J208</f>
        <v>0.97887580266101915</v>
      </c>
      <c r="I152" s="5"/>
      <c r="J152" s="366">
        <f>ROUND(H152*E152,0)</f>
        <v>13245695</v>
      </c>
      <c r="K152" s="5"/>
      <c r="L152" s="18"/>
      <c r="M152" s="5"/>
    </row>
    <row r="153" spans="1:13">
      <c r="A153" s="32">
        <v>10</v>
      </c>
      <c r="C153" s="793" t="s">
        <v>689</v>
      </c>
      <c r="D153" s="780" t="s">
        <v>691</v>
      </c>
      <c r="E153" s="368">
        <f>DEO!E152+DEK!E152</f>
        <v>15295097</v>
      </c>
      <c r="F153" s="5"/>
      <c r="G153" s="5" t="s">
        <v>40</v>
      </c>
      <c r="H153" s="14">
        <f>$J$226</f>
        <v>0.10748176530554367</v>
      </c>
      <c r="I153" s="5"/>
      <c r="J153" s="227">
        <f t="shared" ref="J153:J154" si="9">ROUND(H153*E153,0)</f>
        <v>1643944</v>
      </c>
      <c r="K153" s="5"/>
      <c r="L153" s="18"/>
      <c r="M153" s="5"/>
    </row>
    <row r="154" spans="1:13" ht="15.75" thickBot="1">
      <c r="A154" s="32">
        <v>11</v>
      </c>
      <c r="C154" s="793" t="s">
        <v>41</v>
      </c>
      <c r="D154" s="780" t="s">
        <v>1</v>
      </c>
      <c r="E154" s="492">
        <f>DEO!E153+DEK!E153</f>
        <v>11334935</v>
      </c>
      <c r="F154" s="5"/>
      <c r="G154" s="5" t="s">
        <v>93</v>
      </c>
      <c r="H154" s="14">
        <f>H147</f>
        <v>7.5880468812248553E-2</v>
      </c>
      <c r="I154" s="5"/>
      <c r="J154" s="228">
        <f t="shared" si="9"/>
        <v>860100</v>
      </c>
      <c r="K154" s="5"/>
      <c r="L154" s="18"/>
      <c r="M154" s="5"/>
    </row>
    <row r="155" spans="1:13">
      <c r="A155" s="32">
        <v>12</v>
      </c>
      <c r="C155" s="793" t="s">
        <v>64</v>
      </c>
      <c r="D155" s="5"/>
      <c r="E155" s="366">
        <f>SUM(E152:E154)</f>
        <v>40161570</v>
      </c>
      <c r="F155" s="5"/>
      <c r="G155" s="5"/>
      <c r="H155" s="5"/>
      <c r="I155" s="5"/>
      <c r="J155" s="366">
        <f>SUM(J152:J154)</f>
        <v>15749739</v>
      </c>
      <c r="K155" s="5"/>
      <c r="L155" s="5"/>
      <c r="M155" s="5"/>
    </row>
    <row r="156" spans="1:13">
      <c r="A156" s="32"/>
      <c r="C156" s="793"/>
      <c r="D156" s="5"/>
      <c r="E156" s="227"/>
      <c r="F156" s="5"/>
      <c r="G156" s="5"/>
      <c r="H156" s="5"/>
      <c r="I156" s="5"/>
      <c r="J156" s="227"/>
      <c r="K156" s="5"/>
      <c r="L156" s="5"/>
      <c r="M156" s="5"/>
    </row>
    <row r="157" spans="1:13">
      <c r="A157" s="32" t="s">
        <v>12</v>
      </c>
      <c r="C157" s="801" t="s">
        <v>449</v>
      </c>
      <c r="E157" s="227"/>
      <c r="F157" s="5"/>
      <c r="G157" s="5"/>
      <c r="H157" s="5"/>
      <c r="I157" s="5"/>
      <c r="J157" s="227"/>
      <c r="K157" s="5"/>
      <c r="L157" s="5"/>
      <c r="M157" s="5"/>
    </row>
    <row r="158" spans="1:13">
      <c r="A158" s="32"/>
      <c r="C158" s="793" t="s">
        <v>65</v>
      </c>
      <c r="E158" s="227"/>
      <c r="F158" s="5"/>
      <c r="G158" s="5"/>
      <c r="I158" s="5"/>
      <c r="J158" s="227"/>
      <c r="K158" s="5"/>
      <c r="L158" s="18"/>
      <c r="M158" s="5"/>
    </row>
    <row r="159" spans="1:13">
      <c r="A159" s="32">
        <v>13</v>
      </c>
      <c r="C159" s="799" t="s">
        <v>432</v>
      </c>
      <c r="D159" s="780" t="s">
        <v>199</v>
      </c>
      <c r="E159" s="494">
        <f>DEO!E158+DEK!E158</f>
        <v>7168721</v>
      </c>
      <c r="F159" s="5"/>
      <c r="G159" s="5" t="s">
        <v>40</v>
      </c>
      <c r="H159" s="14">
        <f>$J$226</f>
        <v>0.10748176530554367</v>
      </c>
      <c r="I159" s="5"/>
      <c r="J159" s="366">
        <f>ROUND(H159*E159,0)</f>
        <v>770507</v>
      </c>
      <c r="K159" s="5"/>
      <c r="L159" s="18"/>
      <c r="M159" s="5"/>
    </row>
    <row r="160" spans="1:13">
      <c r="A160" s="32">
        <v>14</v>
      </c>
      <c r="C160" s="799" t="s">
        <v>433</v>
      </c>
      <c r="D160" s="780" t="str">
        <f>D159</f>
        <v>263.i</v>
      </c>
      <c r="E160" s="368">
        <f>DEO!E159+DEK!E159</f>
        <v>6713</v>
      </c>
      <c r="F160" s="5"/>
      <c r="G160" s="5" t="s">
        <v>40</v>
      </c>
      <c r="H160" s="14">
        <f>$J$226</f>
        <v>0.10748176530554367</v>
      </c>
      <c r="I160" s="5"/>
      <c r="J160" s="227">
        <f t="shared" ref="J160" si="10">ROUND(H160*E160,0)</f>
        <v>722</v>
      </c>
      <c r="K160" s="5"/>
      <c r="L160" s="18"/>
      <c r="M160" s="5"/>
    </row>
    <row r="161" spans="1:13">
      <c r="A161" s="32">
        <v>15</v>
      </c>
      <c r="C161" s="793" t="s">
        <v>66</v>
      </c>
      <c r="D161" s="780" t="s">
        <v>12</v>
      </c>
      <c r="E161" s="225"/>
      <c r="F161" s="5"/>
      <c r="G161" s="5"/>
      <c r="I161" s="5"/>
      <c r="J161" s="227"/>
      <c r="K161" s="5"/>
      <c r="L161" s="18"/>
      <c r="M161" s="5"/>
    </row>
    <row r="162" spans="1:13">
      <c r="A162" s="32">
        <v>16</v>
      </c>
      <c r="C162" s="793" t="s">
        <v>67</v>
      </c>
      <c r="D162" s="780" t="s">
        <v>199</v>
      </c>
      <c r="E162" s="368">
        <f>DEO!E161+DEK!E161</f>
        <v>109864550</v>
      </c>
      <c r="F162" s="5"/>
      <c r="G162" s="5" t="s">
        <v>56</v>
      </c>
      <c r="H162" s="19">
        <f>H81</f>
        <v>0.16105338420591056</v>
      </c>
      <c r="I162" s="5"/>
      <c r="J162" s="227">
        <f t="shared" ref="J162" si="11">ROUND(H162*E162,0)</f>
        <v>17694058</v>
      </c>
      <c r="K162" s="5"/>
      <c r="L162" s="18"/>
      <c r="M162" s="5"/>
    </row>
    <row r="163" spans="1:13">
      <c r="A163" s="32">
        <v>17</v>
      </c>
      <c r="C163" s="793" t="s">
        <v>68</v>
      </c>
      <c r="D163" s="780" t="s">
        <v>199</v>
      </c>
      <c r="E163" s="368">
        <f>DEO!E162+DEK!E162</f>
        <v>2259371</v>
      </c>
      <c r="F163" s="5"/>
      <c r="G163" s="37" t="str">
        <f>G100</f>
        <v>NA</v>
      </c>
      <c r="H163" s="82" t="s">
        <v>176</v>
      </c>
      <c r="I163" s="5"/>
      <c r="J163" s="229">
        <v>0</v>
      </c>
      <c r="K163" s="5"/>
      <c r="L163" s="18"/>
      <c r="M163" s="5"/>
    </row>
    <row r="164" spans="1:13">
      <c r="A164" s="32">
        <v>18</v>
      </c>
      <c r="C164" s="793" t="s">
        <v>69</v>
      </c>
      <c r="D164" s="780" t="str">
        <f>D163</f>
        <v>263.i</v>
      </c>
      <c r="E164" s="368">
        <f>DEO!E163+DEK!E163</f>
        <v>0</v>
      </c>
      <c r="F164" s="5"/>
      <c r="G164" s="5" t="str">
        <f>G162</f>
        <v>GP</v>
      </c>
      <c r="H164" s="19">
        <f>H162</f>
        <v>0.16105338420591056</v>
      </c>
      <c r="I164" s="5"/>
      <c r="J164" s="227">
        <f t="shared" ref="J164:J165" si="12">ROUND(H164*E164,0)</f>
        <v>0</v>
      </c>
      <c r="K164" s="5"/>
      <c r="L164" s="18"/>
      <c r="M164" s="5"/>
    </row>
    <row r="165" spans="1:13" ht="15.75" thickBot="1">
      <c r="A165" s="32">
        <v>19</v>
      </c>
      <c r="C165" s="793" t="s">
        <v>70</v>
      </c>
      <c r="D165" s="5"/>
      <c r="E165" s="492">
        <f>DEO!E164+DEK!E164</f>
        <v>0</v>
      </c>
      <c r="F165" s="5"/>
      <c r="G165" s="5" t="s">
        <v>56</v>
      </c>
      <c r="H165" s="19">
        <f>H162</f>
        <v>0.16105338420591056</v>
      </c>
      <c r="I165" s="5"/>
      <c r="J165" s="228">
        <f t="shared" si="12"/>
        <v>0</v>
      </c>
      <c r="K165" s="5"/>
      <c r="L165" s="18"/>
      <c r="M165" s="5"/>
    </row>
    <row r="166" spans="1:13">
      <c r="A166" s="32">
        <v>20</v>
      </c>
      <c r="C166" s="793" t="s">
        <v>71</v>
      </c>
      <c r="D166" s="5"/>
      <c r="E166" s="366">
        <f>E159+E160+E162+E163+E164+E165</f>
        <v>119299355</v>
      </c>
      <c r="F166" s="5"/>
      <c r="G166" s="5"/>
      <c r="H166" s="19"/>
      <c r="I166" s="5"/>
      <c r="J166" s="366">
        <f>J159+J160+J162+J163+J164+J165</f>
        <v>18465287</v>
      </c>
      <c r="K166" s="5"/>
      <c r="L166" s="5"/>
      <c r="M166" s="5"/>
    </row>
    <row r="167" spans="1:13">
      <c r="A167" s="32"/>
      <c r="C167" s="793"/>
      <c r="D167" s="5"/>
      <c r="E167" s="227"/>
      <c r="F167" s="5"/>
      <c r="G167" s="5"/>
      <c r="H167" s="19"/>
      <c r="I167" s="5"/>
      <c r="J167" s="5"/>
      <c r="K167" s="5"/>
      <c r="L167" s="5"/>
      <c r="M167" s="5"/>
    </row>
    <row r="168" spans="1:13">
      <c r="A168" s="32" t="s">
        <v>72</v>
      </c>
      <c r="C168" s="793"/>
      <c r="D168" s="5"/>
      <c r="E168" s="5"/>
      <c r="F168" s="5"/>
      <c r="G168" s="5"/>
      <c r="H168" s="19"/>
      <c r="I168" s="5"/>
      <c r="J168" s="5"/>
      <c r="K168" s="5"/>
      <c r="L168" s="5"/>
      <c r="M168" s="5"/>
    </row>
    <row r="169" spans="1:13">
      <c r="A169" s="32" t="s">
        <v>12</v>
      </c>
      <c r="C169" s="801" t="s">
        <v>458</v>
      </c>
      <c r="E169" s="5"/>
      <c r="F169" s="5"/>
      <c r="H169" s="16"/>
      <c r="I169" s="5"/>
      <c r="K169" s="5"/>
      <c r="M169" s="5"/>
    </row>
    <row r="170" spans="1:13">
      <c r="A170" s="32">
        <v>21</v>
      </c>
      <c r="C170" s="795" t="s">
        <v>160</v>
      </c>
      <c r="D170" s="5"/>
      <c r="E170" s="410">
        <f>IF(E305&gt;0,1-(((1-E306)*(1-E305))/(1-E306*E305*E307)),0)</f>
        <v>0.351885</v>
      </c>
      <c r="F170" s="5"/>
      <c r="H170" s="16"/>
      <c r="I170" s="5"/>
      <c r="K170" s="5"/>
      <c r="M170" s="5"/>
    </row>
    <row r="171" spans="1:13">
      <c r="A171" s="32">
        <v>22</v>
      </c>
      <c r="C171" s="794" t="s">
        <v>161</v>
      </c>
      <c r="D171" s="5"/>
      <c r="E171" s="410">
        <f>IF(J250&gt;0,(E170/(1-E170))*(1-J247/J250),0)</f>
        <v>0.36743493176215875</v>
      </c>
      <c r="F171" s="5"/>
      <c r="H171" s="16"/>
      <c r="I171" s="5"/>
      <c r="K171" s="5"/>
      <c r="M171" s="5"/>
    </row>
    <row r="172" spans="1:13">
      <c r="A172" s="32"/>
      <c r="C172" s="793" t="s">
        <v>407</v>
      </c>
      <c r="D172" s="5"/>
      <c r="E172" s="5"/>
      <c r="F172" s="5"/>
      <c r="H172" s="16"/>
      <c r="I172" s="5"/>
      <c r="K172" s="5"/>
      <c r="M172" s="5"/>
    </row>
    <row r="173" spans="1:13">
      <c r="A173" s="32"/>
      <c r="C173" s="793" t="s">
        <v>163</v>
      </c>
      <c r="D173" s="5"/>
      <c r="E173" s="5"/>
      <c r="F173" s="5"/>
      <c r="H173" s="16"/>
      <c r="I173" s="5"/>
      <c r="K173" s="5"/>
      <c r="M173" s="5"/>
    </row>
    <row r="174" spans="1:13">
      <c r="A174" s="32">
        <v>23</v>
      </c>
      <c r="C174" s="795" t="s">
        <v>162</v>
      </c>
      <c r="D174" s="5"/>
      <c r="E174" s="778">
        <f>IF(E170&gt;0,1/(1-E170),0)</f>
        <v>1.5429360530152827</v>
      </c>
      <c r="F174" s="5"/>
      <c r="H174" s="16"/>
      <c r="I174" s="5"/>
      <c r="J174" s="227"/>
      <c r="K174" s="5"/>
      <c r="M174" s="5"/>
    </row>
    <row r="175" spans="1:13">
      <c r="A175" s="32">
        <v>24</v>
      </c>
      <c r="C175" s="793" t="s">
        <v>412</v>
      </c>
      <c r="D175" s="780" t="s">
        <v>411</v>
      </c>
      <c r="E175" s="618">
        <f>DEO!E174+DEK!E174</f>
        <v>-289307</v>
      </c>
      <c r="F175" s="5"/>
      <c r="H175" s="16"/>
      <c r="I175" s="5"/>
      <c r="J175" s="227"/>
      <c r="K175" s="5"/>
      <c r="M175" s="5"/>
    </row>
    <row r="176" spans="1:13">
      <c r="A176" s="32"/>
      <c r="C176" s="793"/>
      <c r="D176" s="5"/>
      <c r="E176" s="227"/>
      <c r="F176" s="5"/>
      <c r="H176" s="16"/>
      <c r="I176" s="5"/>
      <c r="J176" s="227"/>
      <c r="K176" s="5"/>
      <c r="M176" s="5"/>
    </row>
    <row r="177" spans="1:13">
      <c r="A177" s="32">
        <v>25</v>
      </c>
      <c r="C177" s="795" t="s">
        <v>413</v>
      </c>
      <c r="D177" s="48"/>
      <c r="E177" s="366">
        <f>E171*E181</f>
        <v>67380346.756205723</v>
      </c>
      <c r="F177" s="5"/>
      <c r="G177" s="5" t="s">
        <v>36</v>
      </c>
      <c r="H177" s="19"/>
      <c r="I177" s="5"/>
      <c r="J177" s="366">
        <f>E171*J181</f>
        <v>12277708.907736555</v>
      </c>
      <c r="K177" s="5"/>
      <c r="L177" s="15" t="s">
        <v>12</v>
      </c>
      <c r="M177" s="5"/>
    </row>
    <row r="178" spans="1:13" ht="15.75" thickBot="1">
      <c r="A178" s="32">
        <v>26</v>
      </c>
      <c r="C178" s="794" t="s">
        <v>166</v>
      </c>
      <c r="D178" s="48"/>
      <c r="E178" s="228">
        <f>E174*E175</f>
        <v>-446382.2006896924</v>
      </c>
      <c r="F178" s="5"/>
      <c r="G178" s="12" t="s">
        <v>54</v>
      </c>
      <c r="H178" s="19">
        <f>H97</f>
        <v>0.17620237031416827</v>
      </c>
      <c r="I178" s="5"/>
      <c r="J178" s="228">
        <f>H178*E178</f>
        <v>-78653.601827578561</v>
      </c>
      <c r="K178" s="5"/>
      <c r="L178" s="15"/>
      <c r="M178" s="5"/>
    </row>
    <row r="179" spans="1:13">
      <c r="A179" s="32">
        <v>27</v>
      </c>
      <c r="C179" s="796" t="s">
        <v>150</v>
      </c>
      <c r="D179" s="784" t="s">
        <v>167</v>
      </c>
      <c r="E179" s="369">
        <f>E177+E178</f>
        <v>66933964.555516027</v>
      </c>
      <c r="F179" s="5"/>
      <c r="G179" s="5" t="s">
        <v>12</v>
      </c>
      <c r="H179" s="19" t="s">
        <v>12</v>
      </c>
      <c r="I179" s="5"/>
      <c r="J179" s="369">
        <f>J177+J178</f>
        <v>12199055.305908976</v>
      </c>
      <c r="K179" s="5"/>
      <c r="L179" s="5"/>
      <c r="M179" s="5"/>
    </row>
    <row r="180" spans="1:13">
      <c r="A180" s="32" t="s">
        <v>12</v>
      </c>
      <c r="C180" s="792"/>
      <c r="D180" s="20"/>
      <c r="E180" s="227"/>
      <c r="F180" s="5"/>
      <c r="G180" s="5"/>
      <c r="H180" s="19"/>
      <c r="I180" s="5"/>
      <c r="J180" s="227"/>
      <c r="K180" s="5"/>
      <c r="L180" s="5"/>
      <c r="M180" s="5"/>
    </row>
    <row r="181" spans="1:13">
      <c r="A181" s="32">
        <v>28</v>
      </c>
      <c r="C181" s="793" t="s">
        <v>73</v>
      </c>
      <c r="D181" s="18"/>
      <c r="E181" s="366">
        <f>ROUND($J250*E115,0)</f>
        <v>183380351</v>
      </c>
      <c r="F181" s="5"/>
      <c r="G181" s="5" t="s">
        <v>36</v>
      </c>
      <c r="H181" s="16"/>
      <c r="I181" s="5"/>
      <c r="J181" s="366">
        <f>ROUND($J250*J115,0)</f>
        <v>33414648</v>
      </c>
      <c r="K181" s="5"/>
      <c r="M181" s="5"/>
    </row>
    <row r="182" spans="1:13">
      <c r="A182" s="32"/>
      <c r="C182" s="796" t="s">
        <v>74</v>
      </c>
      <c r="E182" s="227"/>
      <c r="F182" s="5"/>
      <c r="G182" s="5"/>
      <c r="H182" s="16"/>
      <c r="I182" s="5"/>
      <c r="J182" s="227"/>
      <c r="K182" s="5"/>
      <c r="L182" s="18"/>
      <c r="M182" s="5"/>
    </row>
    <row r="183" spans="1:13">
      <c r="A183" s="32"/>
      <c r="C183" s="793"/>
      <c r="E183" s="230"/>
      <c r="F183" s="5"/>
      <c r="G183" s="5"/>
      <c r="H183" s="16"/>
      <c r="I183" s="5"/>
      <c r="J183" s="230"/>
      <c r="K183" s="5"/>
      <c r="L183" s="18"/>
      <c r="M183" s="5"/>
    </row>
    <row r="184" spans="1:13" ht="15.75" thickBot="1">
      <c r="A184" s="32">
        <v>29</v>
      </c>
      <c r="C184" s="793" t="s">
        <v>164</v>
      </c>
      <c r="D184" s="5"/>
      <c r="E184" s="370">
        <f>E181+E179+E166+E155+E149</f>
        <v>531505008.555516</v>
      </c>
      <c r="F184" s="94"/>
      <c r="G184" s="94"/>
      <c r="H184" s="94"/>
      <c r="I184" s="94"/>
      <c r="J184" s="370">
        <f>J181+J179+J166+J155+J149</f>
        <v>105564466.30590898</v>
      </c>
      <c r="K184" s="1"/>
      <c r="L184" s="1"/>
      <c r="M184" s="1"/>
    </row>
    <row r="185" spans="1:13" ht="15.75" thickTop="1">
      <c r="A185" s="32"/>
      <c r="C185" s="3"/>
      <c r="D185" s="5"/>
      <c r="E185" s="94"/>
      <c r="F185" s="5"/>
      <c r="G185" s="5"/>
      <c r="H185" s="5"/>
      <c r="I185" s="5"/>
      <c r="J185" s="94"/>
      <c r="K185" s="1"/>
      <c r="L185" s="1"/>
      <c r="M185" s="1"/>
    </row>
    <row r="186" spans="1:13">
      <c r="A186" s="32"/>
      <c r="C186" s="3"/>
      <c r="D186" s="5"/>
      <c r="E186" s="94"/>
      <c r="F186" s="5"/>
      <c r="G186" s="5"/>
      <c r="H186" s="5"/>
      <c r="I186" s="5"/>
      <c r="J186" s="94"/>
      <c r="K186" s="1"/>
      <c r="L186" s="1"/>
      <c r="M186" s="1"/>
    </row>
    <row r="187" spans="1:13">
      <c r="A187" s="32"/>
      <c r="C187" s="3"/>
      <c r="D187" s="5"/>
      <c r="E187" s="30"/>
      <c r="F187" s="29"/>
      <c r="G187" s="29"/>
      <c r="H187" s="29"/>
      <c r="I187" s="31"/>
      <c r="K187" s="32"/>
      <c r="L187" s="92"/>
      <c r="M187" s="1"/>
    </row>
    <row r="188" spans="1:13" ht="18">
      <c r="A188" s="244"/>
      <c r="C188" s="29"/>
      <c r="D188" s="29"/>
      <c r="E188" s="30"/>
      <c r="F188" s="29"/>
      <c r="G188" s="29"/>
      <c r="H188" s="29"/>
      <c r="I188" s="31"/>
      <c r="J188" s="77" t="s">
        <v>369</v>
      </c>
      <c r="M188" s="91"/>
    </row>
    <row r="189" spans="1:13">
      <c r="C189" s="29"/>
      <c r="D189" s="29"/>
      <c r="E189" s="30"/>
      <c r="F189" s="29"/>
      <c r="G189" s="29"/>
      <c r="H189" s="29"/>
      <c r="I189" s="31"/>
      <c r="J189" s="77" t="s">
        <v>574</v>
      </c>
      <c r="M189" s="77"/>
    </row>
    <row r="190" spans="1:13">
      <c r="C190" s="29"/>
      <c r="D190" s="29"/>
      <c r="E190" s="30"/>
      <c r="F190" s="29"/>
      <c r="G190" s="29"/>
      <c r="H190" s="29"/>
      <c r="I190" s="31"/>
      <c r="M190" s="77"/>
    </row>
    <row r="191" spans="1:13">
      <c r="C191" s="29"/>
      <c r="D191" s="29"/>
      <c r="E191" s="30"/>
      <c r="F191" s="29"/>
      <c r="G191" s="29"/>
      <c r="H191" s="29"/>
      <c r="I191" s="31"/>
      <c r="M191" s="77"/>
    </row>
    <row r="192" spans="1:13">
      <c r="C192" s="29"/>
      <c r="D192" s="29"/>
      <c r="E192" s="30"/>
      <c r="F192" s="29"/>
      <c r="G192" s="29"/>
      <c r="H192" s="29"/>
      <c r="I192" s="31"/>
      <c r="M192" s="77"/>
    </row>
    <row r="193" spans="1:13">
      <c r="C193" s="29"/>
      <c r="D193" s="29"/>
      <c r="E193" s="30"/>
      <c r="F193" s="29"/>
      <c r="G193" s="29"/>
      <c r="H193" s="29"/>
      <c r="I193" s="31"/>
      <c r="J193" s="77"/>
      <c r="M193" s="77"/>
    </row>
    <row r="194" spans="1:13">
      <c r="C194" s="29" t="s">
        <v>11</v>
      </c>
      <c r="D194" s="29"/>
      <c r="E194" s="30"/>
      <c r="F194" s="29"/>
      <c r="G194" s="29"/>
      <c r="H194" s="29"/>
      <c r="I194" s="31"/>
      <c r="J194" s="92" t="str">
        <f>J7</f>
        <v>For the 12 months ended: 12/31/2015</v>
      </c>
      <c r="M194" s="77"/>
    </row>
    <row r="195" spans="1:13">
      <c r="A195" s="277" t="str">
        <f>A8</f>
        <v>Rate Formula Template</v>
      </c>
      <c r="B195" s="279"/>
      <c r="C195" s="279"/>
      <c r="D195" s="277"/>
      <c r="E195" s="279"/>
      <c r="F195" s="277"/>
      <c r="G195" s="277"/>
      <c r="H195" s="277"/>
      <c r="I195" s="277"/>
      <c r="J195" s="279"/>
      <c r="K195" s="273"/>
      <c r="L195" s="279"/>
      <c r="M195" s="1"/>
    </row>
    <row r="196" spans="1:13">
      <c r="A196" s="280" t="s">
        <v>331</v>
      </c>
      <c r="B196" s="279"/>
      <c r="C196" s="277"/>
      <c r="D196" s="280"/>
      <c r="E196" s="279"/>
      <c r="F196" s="280"/>
      <c r="G196" s="280"/>
      <c r="H196" s="280"/>
      <c r="I196" s="277"/>
      <c r="J196" s="277"/>
      <c r="K196" s="273"/>
      <c r="L196" s="273"/>
      <c r="M196" s="1"/>
    </row>
    <row r="197" spans="1:13">
      <c r="A197" s="273"/>
      <c r="B197" s="279"/>
      <c r="C197" s="273"/>
      <c r="D197" s="273"/>
      <c r="E197" s="279"/>
      <c r="F197" s="273"/>
      <c r="G197" s="273"/>
      <c r="H197" s="273"/>
      <c r="I197" s="273"/>
      <c r="J197" s="273"/>
      <c r="K197" s="273"/>
      <c r="L197" s="273"/>
      <c r="M197" s="5"/>
    </row>
    <row r="198" spans="1:13" ht="15.75">
      <c r="A198" s="427" t="str">
        <f>$A$11</f>
        <v>DUKE ENERGY OHIO AND DUKE ENERGY KENTUCKY (DEOK)</v>
      </c>
      <c r="B198" s="279"/>
      <c r="C198" s="273"/>
      <c r="D198" s="273"/>
      <c r="E198" s="279"/>
      <c r="F198" s="273"/>
      <c r="G198" s="273"/>
      <c r="H198" s="273"/>
      <c r="I198" s="273"/>
      <c r="J198" s="273"/>
      <c r="K198" s="273"/>
      <c r="L198" s="273"/>
      <c r="M198" s="5"/>
    </row>
    <row r="199" spans="1:13" ht="15.75">
      <c r="A199" s="281" t="s">
        <v>332</v>
      </c>
      <c r="B199" s="118"/>
      <c r="C199" s="118"/>
      <c r="D199" s="118"/>
      <c r="E199" s="118"/>
      <c r="F199" s="275"/>
      <c r="G199" s="275"/>
      <c r="H199" s="275"/>
      <c r="I199" s="275"/>
      <c r="J199" s="275"/>
      <c r="K199" s="274"/>
      <c r="L199" s="274"/>
      <c r="M199" s="5"/>
    </row>
    <row r="200" spans="1:13" ht="15.75">
      <c r="A200" s="32" t="s">
        <v>13</v>
      </c>
      <c r="C200" s="13"/>
      <c r="D200" s="1"/>
      <c r="E200" s="1"/>
      <c r="F200" s="1"/>
      <c r="G200" s="1"/>
      <c r="H200" s="1"/>
      <c r="I200" s="1"/>
      <c r="J200" s="1"/>
      <c r="K200" s="5"/>
      <c r="L200" s="5"/>
      <c r="M200" s="5"/>
    </row>
    <row r="201" spans="1:13" ht="15.75">
      <c r="A201" s="290" t="s">
        <v>15</v>
      </c>
      <c r="B201" s="297"/>
      <c r="C201" s="394" t="s">
        <v>381</v>
      </c>
      <c r="D201" s="66"/>
      <c r="E201" s="66"/>
      <c r="F201" s="66"/>
      <c r="G201" s="66"/>
      <c r="H201" s="66"/>
      <c r="I201" s="67"/>
      <c r="J201" s="67"/>
      <c r="K201" s="37"/>
      <c r="L201" s="5"/>
      <c r="M201" s="5"/>
    </row>
    <row r="202" spans="1:13">
      <c r="A202" s="32"/>
      <c r="C202" s="65"/>
      <c r="D202" s="66"/>
      <c r="E202" s="66"/>
      <c r="F202" s="66"/>
      <c r="G202" s="66"/>
      <c r="H202" s="66"/>
      <c r="I202" s="66"/>
      <c r="J202" s="66"/>
      <c r="K202" s="37"/>
      <c r="L202" s="5"/>
      <c r="M202" s="5"/>
    </row>
    <row r="203" spans="1:13">
      <c r="A203" s="32">
        <v>1</v>
      </c>
      <c r="C203" s="60" t="s">
        <v>382</v>
      </c>
      <c r="D203" s="66"/>
      <c r="E203" s="37"/>
      <c r="F203" s="37"/>
      <c r="G203" s="37"/>
      <c r="H203" s="37"/>
      <c r="I203" s="37"/>
      <c r="J203" s="610">
        <f>E77</f>
        <v>777824773</v>
      </c>
      <c r="K203" s="37"/>
      <c r="L203" s="5"/>
      <c r="M203" s="5"/>
    </row>
    <row r="204" spans="1:13">
      <c r="A204" s="32">
        <v>2</v>
      </c>
      <c r="C204" s="432" t="s">
        <v>450</v>
      </c>
      <c r="D204" s="67"/>
      <c r="E204" s="67"/>
      <c r="F204" s="67"/>
      <c r="G204" s="67"/>
      <c r="H204" s="67"/>
      <c r="I204" s="67"/>
      <c r="J204" s="233">
        <f>DEO!J203+DEK!J203</f>
        <v>0</v>
      </c>
      <c r="K204" s="37"/>
      <c r="L204" s="5"/>
      <c r="M204" s="5"/>
    </row>
    <row r="205" spans="1:13" ht="15.75" thickBot="1">
      <c r="A205" s="32">
        <v>3</v>
      </c>
      <c r="C205" s="433" t="s">
        <v>451</v>
      </c>
      <c r="D205" s="68"/>
      <c r="E205" s="69"/>
      <c r="F205" s="37"/>
      <c r="G205" s="37"/>
      <c r="H205" s="70"/>
      <c r="I205" s="37"/>
      <c r="J205" s="234">
        <f>DEO!J204+DEK!J204</f>
        <v>16430924</v>
      </c>
      <c r="K205" s="37"/>
      <c r="L205" s="5"/>
      <c r="M205" s="5"/>
    </row>
    <row r="206" spans="1:13">
      <c r="A206" s="32">
        <v>4</v>
      </c>
      <c r="C206" s="60" t="s">
        <v>383</v>
      </c>
      <c r="D206" s="66"/>
      <c r="E206" s="37"/>
      <c r="F206" s="37"/>
      <c r="G206" s="37"/>
      <c r="H206" s="70"/>
      <c r="I206" s="37"/>
      <c r="J206" s="610">
        <f>J203-J204-J205</f>
        <v>761393849</v>
      </c>
      <c r="K206" s="37"/>
      <c r="L206" s="5"/>
      <c r="M206" s="5"/>
    </row>
    <row r="207" spans="1:13">
      <c r="A207" s="32"/>
      <c r="C207" s="67"/>
      <c r="D207" s="66"/>
      <c r="E207" s="37"/>
      <c r="F207" s="37"/>
      <c r="G207" s="37"/>
      <c r="H207" s="70"/>
      <c r="I207" s="37"/>
      <c r="J207" s="67"/>
      <c r="K207" s="37"/>
      <c r="L207" s="5"/>
      <c r="M207" s="5"/>
    </row>
    <row r="208" spans="1:13">
      <c r="A208" s="32">
        <v>5</v>
      </c>
      <c r="C208" s="60" t="s">
        <v>384</v>
      </c>
      <c r="D208" s="71"/>
      <c r="E208" s="72"/>
      <c r="F208" s="72"/>
      <c r="G208" s="72"/>
      <c r="H208" s="73"/>
      <c r="I208" s="37" t="s">
        <v>78</v>
      </c>
      <c r="J208" s="62">
        <f>IF(J203&gt;0,J206/J203,0)</f>
        <v>0.97887580266101915</v>
      </c>
      <c r="K208" s="37"/>
      <c r="L208" s="5"/>
      <c r="M208" s="5"/>
    </row>
    <row r="209" spans="1:13">
      <c r="A209" s="32"/>
      <c r="C209" s="67"/>
      <c r="D209" s="67"/>
      <c r="E209" s="67"/>
      <c r="F209" s="67"/>
      <c r="G209" s="67"/>
      <c r="H209" s="67"/>
      <c r="I209" s="67"/>
      <c r="J209" s="67"/>
      <c r="K209" s="37"/>
      <c r="L209" s="5"/>
      <c r="M209" s="5"/>
    </row>
    <row r="210" spans="1:13" ht="15.75">
      <c r="A210" s="32"/>
      <c r="C210" s="393" t="s">
        <v>75</v>
      </c>
      <c r="D210" s="67"/>
      <c r="E210" s="67"/>
      <c r="F210" s="67"/>
      <c r="G210" s="67"/>
      <c r="H210" s="67"/>
      <c r="I210" s="67"/>
      <c r="J210" s="67"/>
      <c r="K210" s="37"/>
      <c r="L210" s="5"/>
      <c r="M210" s="5"/>
    </row>
    <row r="211" spans="1:13">
      <c r="A211" s="32"/>
      <c r="C211" s="67"/>
      <c r="D211" s="67"/>
      <c r="E211" s="67"/>
      <c r="F211" s="67"/>
      <c r="G211" s="67"/>
      <c r="H211" s="67"/>
      <c r="I211" s="67"/>
      <c r="J211" s="67"/>
      <c r="K211" s="37"/>
      <c r="L211" s="5"/>
      <c r="M211" s="5"/>
    </row>
    <row r="212" spans="1:13">
      <c r="A212" s="32">
        <v>6</v>
      </c>
      <c r="C212" s="67" t="s">
        <v>76</v>
      </c>
      <c r="D212" s="67"/>
      <c r="E212" s="66"/>
      <c r="F212" s="66"/>
      <c r="G212" s="66"/>
      <c r="H212" s="74"/>
      <c r="I212" s="66"/>
      <c r="J212" s="610">
        <f>E135</f>
        <v>48160612</v>
      </c>
      <c r="K212" s="37"/>
      <c r="L212" s="5"/>
      <c r="M212" s="5"/>
    </row>
    <row r="213" spans="1:13" ht="15.75" thickBot="1">
      <c r="A213" s="32">
        <v>7</v>
      </c>
      <c r="C213" s="433" t="s">
        <v>459</v>
      </c>
      <c r="D213" s="68"/>
      <c r="E213" s="69"/>
      <c r="F213" s="69"/>
      <c r="G213" s="37"/>
      <c r="H213" s="37"/>
      <c r="I213" s="37"/>
      <c r="J213" s="234">
        <f>DEO!J212+DEK!J212</f>
        <v>4526428</v>
      </c>
      <c r="K213" s="37"/>
      <c r="L213" s="5"/>
      <c r="M213" s="5"/>
    </row>
    <row r="214" spans="1:13">
      <c r="A214" s="32">
        <v>8</v>
      </c>
      <c r="C214" s="60" t="s">
        <v>180</v>
      </c>
      <c r="D214" s="71"/>
      <c r="E214" s="72"/>
      <c r="F214" s="72"/>
      <c r="G214" s="72"/>
      <c r="H214" s="73"/>
      <c r="I214" s="72"/>
      <c r="J214" s="610">
        <f>J212-J213</f>
        <v>43634184</v>
      </c>
      <c r="K214" s="67"/>
      <c r="M214" s="5"/>
    </row>
    <row r="215" spans="1:13">
      <c r="A215" s="32"/>
      <c r="C215" s="60"/>
      <c r="D215" s="66"/>
      <c r="E215" s="37"/>
      <c r="F215" s="37"/>
      <c r="G215" s="37"/>
      <c r="H215" s="37"/>
      <c r="I215" s="67"/>
      <c r="J215" s="67"/>
      <c r="K215" s="67"/>
      <c r="M215" s="5"/>
    </row>
    <row r="216" spans="1:13">
      <c r="A216" s="32">
        <v>9</v>
      </c>
      <c r="C216" s="60" t="s">
        <v>179</v>
      </c>
      <c r="D216" s="66"/>
      <c r="E216" s="37"/>
      <c r="F216" s="37"/>
      <c r="G216" s="37"/>
      <c r="H216" s="37"/>
      <c r="I216" s="37"/>
      <c r="J216" s="64">
        <f>IF(J212&gt;0,J214/J212,0)</f>
        <v>0.90601390198280707</v>
      </c>
      <c r="K216" s="67"/>
      <c r="M216" s="5"/>
    </row>
    <row r="217" spans="1:13">
      <c r="A217" s="32">
        <v>10</v>
      </c>
      <c r="C217" s="60" t="s">
        <v>385</v>
      </c>
      <c r="D217" s="66"/>
      <c r="E217" s="37"/>
      <c r="F217" s="37"/>
      <c r="G217" s="37"/>
      <c r="H217" s="37"/>
      <c r="I217" s="66" t="s">
        <v>19</v>
      </c>
      <c r="J217" s="75">
        <f>J208</f>
        <v>0.97887580266101915</v>
      </c>
      <c r="K217" s="67"/>
      <c r="M217" s="5"/>
    </row>
    <row r="218" spans="1:13">
      <c r="A218" s="32">
        <v>11</v>
      </c>
      <c r="C218" s="60" t="s">
        <v>386</v>
      </c>
      <c r="D218" s="66"/>
      <c r="E218" s="66"/>
      <c r="F218" s="66"/>
      <c r="G218" s="66"/>
      <c r="H218" s="66"/>
      <c r="I218" s="66" t="s">
        <v>77</v>
      </c>
      <c r="J218" s="76">
        <f>J217*J216</f>
        <v>0.88687508552546224</v>
      </c>
      <c r="K218" s="67"/>
      <c r="M218" s="5"/>
    </row>
    <row r="219" spans="1:13">
      <c r="A219" s="32"/>
      <c r="D219" s="1"/>
      <c r="E219" s="5"/>
      <c r="F219" s="5"/>
      <c r="G219" s="5"/>
      <c r="H219" s="6"/>
      <c r="I219" s="5"/>
      <c r="M219" s="5"/>
    </row>
    <row r="220" spans="1:13" ht="15.75">
      <c r="A220" s="32" t="s">
        <v>12</v>
      </c>
      <c r="C220" s="13" t="s">
        <v>79</v>
      </c>
      <c r="D220" s="5"/>
      <c r="E220" s="5"/>
      <c r="F220" s="5"/>
      <c r="G220" s="5"/>
      <c r="H220" s="5"/>
      <c r="I220" s="5"/>
      <c r="J220" s="5"/>
      <c r="K220" s="5"/>
      <c r="L220" s="5"/>
      <c r="M220" s="5"/>
    </row>
    <row r="221" spans="1:13" ht="15.75" thickBot="1">
      <c r="A221" s="32" t="s">
        <v>12</v>
      </c>
      <c r="C221" s="3"/>
      <c r="D221" s="44" t="s">
        <v>80</v>
      </c>
      <c r="E221" s="45" t="s">
        <v>81</v>
      </c>
      <c r="F221" s="45" t="s">
        <v>19</v>
      </c>
      <c r="G221" s="5"/>
      <c r="H221" s="45" t="s">
        <v>82</v>
      </c>
      <c r="I221" s="5"/>
      <c r="J221" s="5"/>
      <c r="K221" s="5"/>
      <c r="L221" s="5"/>
      <c r="M221" s="5"/>
    </row>
    <row r="222" spans="1:13">
      <c r="A222" s="32">
        <v>12</v>
      </c>
      <c r="C222" s="3" t="s">
        <v>35</v>
      </c>
      <c r="D222" s="780" t="s">
        <v>83</v>
      </c>
      <c r="E222" s="618">
        <f>DEO!E221+DEK!E221</f>
        <v>15989898</v>
      </c>
      <c r="F222" s="83">
        <v>0</v>
      </c>
      <c r="G222" s="22"/>
      <c r="H222" s="227">
        <f>E222*F222</f>
        <v>0</v>
      </c>
      <c r="I222" s="5"/>
      <c r="J222" s="5"/>
      <c r="K222" s="5"/>
      <c r="L222" s="5"/>
      <c r="M222" s="5"/>
    </row>
    <row r="223" spans="1:13">
      <c r="A223" s="32">
        <v>13</v>
      </c>
      <c r="C223" s="3" t="s">
        <v>37</v>
      </c>
      <c r="D223" s="780" t="s">
        <v>223</v>
      </c>
      <c r="E223" s="618">
        <f>DEO!E222+DEK!E222</f>
        <v>8232810</v>
      </c>
      <c r="F223" s="22">
        <f>J208</f>
        <v>0.97887580266101915</v>
      </c>
      <c r="G223" s="22"/>
      <c r="H223" s="227">
        <f>E223*F223</f>
        <v>8058898.4969056649</v>
      </c>
      <c r="I223" s="5"/>
      <c r="J223" s="5"/>
      <c r="K223" s="5"/>
      <c r="L223" s="5"/>
      <c r="M223" s="1"/>
    </row>
    <row r="224" spans="1:13">
      <c r="A224" s="32">
        <v>14</v>
      </c>
      <c r="C224" s="3" t="s">
        <v>38</v>
      </c>
      <c r="D224" s="780" t="s">
        <v>224</v>
      </c>
      <c r="E224" s="618">
        <f>DEO!E223+DEK!E223</f>
        <v>34130245</v>
      </c>
      <c r="F224" s="83">
        <v>0</v>
      </c>
      <c r="G224" s="22"/>
      <c r="H224" s="227">
        <f>E224*F224</f>
        <v>0</v>
      </c>
      <c r="I224" s="5"/>
      <c r="J224" s="47" t="s">
        <v>84</v>
      </c>
      <c r="K224" s="5"/>
      <c r="L224" s="5"/>
      <c r="M224" s="5"/>
    </row>
    <row r="225" spans="1:13" ht="15.75" thickBot="1">
      <c r="A225" s="32">
        <v>15</v>
      </c>
      <c r="C225" s="3" t="s">
        <v>85</v>
      </c>
      <c r="D225" s="780" t="s">
        <v>225</v>
      </c>
      <c r="E225" s="619">
        <f>DEO!E224+DEK!E224</f>
        <v>16626263</v>
      </c>
      <c r="F225" s="83">
        <v>0</v>
      </c>
      <c r="G225" s="22"/>
      <c r="H225" s="228">
        <f>E225*F225</f>
        <v>0</v>
      </c>
      <c r="I225" s="5"/>
      <c r="J225" s="40" t="s">
        <v>86</v>
      </c>
      <c r="K225" s="5"/>
      <c r="L225" s="5"/>
      <c r="M225" s="5"/>
    </row>
    <row r="226" spans="1:13">
      <c r="A226" s="32">
        <v>16</v>
      </c>
      <c r="C226" s="3" t="s">
        <v>172</v>
      </c>
      <c r="D226" s="5"/>
      <c r="E226" s="227">
        <f>SUM(E222:E225)</f>
        <v>74979216</v>
      </c>
      <c r="F226" s="5"/>
      <c r="G226" s="5"/>
      <c r="H226" s="227">
        <f>SUM(H222:H225)</f>
        <v>8058898.4969056649</v>
      </c>
      <c r="I226" s="4" t="s">
        <v>87</v>
      </c>
      <c r="J226" s="14">
        <f>IF(H226&gt;0,H226/E226,0)</f>
        <v>0.10748176530554367</v>
      </c>
      <c r="K226" s="6" t="s">
        <v>87</v>
      </c>
      <c r="L226" s="5" t="s">
        <v>169</v>
      </c>
      <c r="M226" s="5"/>
    </row>
    <row r="227" spans="1:13">
      <c r="A227" s="32"/>
      <c r="C227" s="3"/>
      <c r="D227" s="5"/>
      <c r="E227" s="5"/>
      <c r="F227" s="5"/>
      <c r="G227" s="5"/>
      <c r="H227" s="5"/>
      <c r="I227" s="5"/>
      <c r="J227" s="5"/>
      <c r="K227" s="5"/>
      <c r="L227" s="5"/>
      <c r="M227" s="5"/>
    </row>
    <row r="228" spans="1:13" ht="15.75">
      <c r="A228" s="32"/>
      <c r="C228" s="434" t="s">
        <v>460</v>
      </c>
      <c r="D228" s="5"/>
      <c r="E228" s="5"/>
      <c r="F228" s="5"/>
      <c r="G228" s="5"/>
      <c r="H228" s="6" t="s">
        <v>88</v>
      </c>
      <c r="I228" s="16" t="s">
        <v>12</v>
      </c>
      <c r="J228" s="18" t="str">
        <f>J224</f>
        <v>W&amp;S Allocator</v>
      </c>
      <c r="M228" s="5"/>
    </row>
    <row r="229" spans="1:13" ht="15.75" thickBot="1">
      <c r="A229" s="32"/>
      <c r="C229" s="3"/>
      <c r="D229" s="5"/>
      <c r="E229" s="609" t="s">
        <v>81</v>
      </c>
      <c r="F229" s="5"/>
      <c r="G229" s="5"/>
      <c r="H229" s="32" t="s">
        <v>91</v>
      </c>
      <c r="I229" s="34"/>
      <c r="J229" s="32" t="s">
        <v>92</v>
      </c>
      <c r="K229" s="5"/>
      <c r="L229" s="519" t="s">
        <v>93</v>
      </c>
      <c r="M229" s="5"/>
    </row>
    <row r="230" spans="1:13">
      <c r="A230" s="32">
        <v>17</v>
      </c>
      <c r="C230" s="3" t="s">
        <v>89</v>
      </c>
      <c r="D230" s="780" t="s">
        <v>90</v>
      </c>
      <c r="E230" s="618">
        <f>DEO!E229+DEK!E229</f>
        <v>4137497782</v>
      </c>
      <c r="F230" s="5"/>
      <c r="H230" s="19">
        <f>IF(E233&gt;0,E230/E233,0)</f>
        <v>0.70598457884032173</v>
      </c>
      <c r="I230" s="6" t="s">
        <v>95</v>
      </c>
      <c r="J230" s="19">
        <f>J226</f>
        <v>0.10748176530554367</v>
      </c>
      <c r="K230" s="16" t="s">
        <v>87</v>
      </c>
      <c r="L230" s="520">
        <f>J230*H230</f>
        <v>7.5880468812248553E-2</v>
      </c>
      <c r="M230" s="5"/>
    </row>
    <row r="231" spans="1:13">
      <c r="A231" s="32">
        <v>18</v>
      </c>
      <c r="C231" s="3" t="s">
        <v>94</v>
      </c>
      <c r="D231" s="780" t="s">
        <v>200</v>
      </c>
      <c r="E231" s="618">
        <f>DEO!E230+DEK!E230</f>
        <v>1723108676</v>
      </c>
      <c r="F231" s="5"/>
      <c r="M231" s="5"/>
    </row>
    <row r="232" spans="1:13" ht="15.75" thickBot="1">
      <c r="A232" s="32">
        <v>19</v>
      </c>
      <c r="C232" s="54" t="s">
        <v>96</v>
      </c>
      <c r="D232" s="785" t="s">
        <v>201</v>
      </c>
      <c r="E232" s="617">
        <f>DEO!E231+DEK!E231</f>
        <v>0</v>
      </c>
      <c r="F232" s="5"/>
      <c r="G232" s="5"/>
      <c r="H232" s="5" t="s">
        <v>12</v>
      </c>
      <c r="I232" s="5"/>
      <c r="J232" s="5"/>
      <c r="K232" s="5"/>
      <c r="L232" s="5"/>
      <c r="M232" s="5"/>
    </row>
    <row r="233" spans="1:13">
      <c r="A233" s="32">
        <v>20</v>
      </c>
      <c r="C233" s="3" t="s">
        <v>151</v>
      </c>
      <c r="D233" s="5"/>
      <c r="E233" s="227">
        <f>E230+E231+E232</f>
        <v>5860606458</v>
      </c>
      <c r="F233" s="5"/>
      <c r="G233" s="5"/>
      <c r="H233" s="5"/>
      <c r="I233" s="5"/>
      <c r="J233" s="5"/>
      <c r="K233" s="5"/>
      <c r="L233" s="5"/>
      <c r="M233" s="5"/>
    </row>
    <row r="234" spans="1:13">
      <c r="A234" s="32"/>
      <c r="C234" s="3"/>
      <c r="D234" s="5"/>
      <c r="F234" s="5"/>
      <c r="G234" s="5"/>
      <c r="H234" s="5"/>
      <c r="I234" s="5"/>
      <c r="J234" s="5"/>
      <c r="K234" s="5"/>
      <c r="L234" s="5"/>
      <c r="M234" s="5"/>
    </row>
    <row r="235" spans="1:13" ht="16.5" thickBot="1">
      <c r="A235" s="32"/>
      <c r="B235" s="31"/>
      <c r="C235" s="392" t="s">
        <v>97</v>
      </c>
      <c r="D235" s="5"/>
      <c r="E235" s="5"/>
      <c r="F235" s="5"/>
      <c r="G235" s="5"/>
      <c r="H235" s="5"/>
      <c r="I235" s="5"/>
      <c r="J235" s="45" t="s">
        <v>81</v>
      </c>
      <c r="K235" s="5"/>
      <c r="L235" s="5"/>
      <c r="M235" s="5"/>
    </row>
    <row r="236" spans="1:13">
      <c r="A236" s="32">
        <v>21</v>
      </c>
      <c r="B236" s="31"/>
      <c r="C236" s="31"/>
      <c r="D236" s="783" t="s">
        <v>213</v>
      </c>
      <c r="E236" s="5"/>
      <c r="F236" s="5"/>
      <c r="G236" s="5"/>
      <c r="H236" s="5"/>
      <c r="I236" s="5"/>
      <c r="J236" s="607">
        <f>DEO!J235+DEK!J235</f>
        <v>84797863</v>
      </c>
      <c r="K236" s="5"/>
      <c r="L236" s="5"/>
      <c r="M236" s="5"/>
    </row>
    <row r="237" spans="1:13">
      <c r="A237" s="32"/>
      <c r="C237" s="3"/>
      <c r="D237" s="5"/>
      <c r="E237" s="5"/>
      <c r="F237" s="5"/>
      <c r="G237" s="5"/>
      <c r="H237" s="5"/>
      <c r="I237" s="5"/>
      <c r="J237" s="616"/>
      <c r="K237" s="5"/>
      <c r="L237" s="5"/>
      <c r="M237" s="5"/>
    </row>
    <row r="238" spans="1:13">
      <c r="A238" s="32">
        <v>22</v>
      </c>
      <c r="B238" s="31"/>
      <c r="C238" s="29"/>
      <c r="D238" s="780" t="s">
        <v>98</v>
      </c>
      <c r="E238" s="5"/>
      <c r="F238" s="5"/>
      <c r="G238" s="5"/>
      <c r="H238" s="5"/>
      <c r="I238" s="37"/>
      <c r="J238" s="606">
        <f>DEO!J237+DEK!J237</f>
        <v>0</v>
      </c>
      <c r="K238" s="5"/>
      <c r="L238" s="5"/>
      <c r="M238" s="5"/>
    </row>
    <row r="239" spans="1:13">
      <c r="A239" s="32"/>
      <c r="B239" s="31"/>
      <c r="C239" s="29"/>
      <c r="D239" s="5"/>
      <c r="E239" s="5"/>
      <c r="F239" s="5"/>
      <c r="G239" s="5"/>
      <c r="H239" s="5"/>
      <c r="I239" s="5"/>
      <c r="J239" s="616"/>
      <c r="K239" s="5"/>
      <c r="L239" s="5"/>
      <c r="M239" s="5"/>
    </row>
    <row r="240" spans="1:13">
      <c r="A240" s="32"/>
      <c r="B240" s="31"/>
      <c r="C240" s="29" t="s">
        <v>99</v>
      </c>
      <c r="D240" s="5"/>
      <c r="E240" s="5"/>
      <c r="F240" s="5"/>
      <c r="G240" s="5"/>
      <c r="H240" s="5"/>
      <c r="I240" s="5"/>
      <c r="J240" s="616"/>
      <c r="K240" s="5"/>
      <c r="L240" s="5"/>
      <c r="M240" s="5"/>
    </row>
    <row r="241" spans="1:13">
      <c r="A241" s="32">
        <v>23</v>
      </c>
      <c r="B241" s="31"/>
      <c r="C241" s="29"/>
      <c r="D241" s="783" t="s">
        <v>207</v>
      </c>
      <c r="E241" s="31"/>
      <c r="F241" s="5"/>
      <c r="G241" s="5"/>
      <c r="H241" s="5"/>
      <c r="I241" s="5"/>
      <c r="J241" s="618">
        <f>DEO!J240+DEK!J240</f>
        <v>2288303525</v>
      </c>
      <c r="K241" s="5"/>
      <c r="L241" s="5"/>
      <c r="M241" s="5"/>
    </row>
    <row r="242" spans="1:13">
      <c r="A242" s="32">
        <v>24</v>
      </c>
      <c r="B242" s="31"/>
      <c r="C242" s="29"/>
      <c r="D242" s="780" t="s">
        <v>174</v>
      </c>
      <c r="E242" s="5"/>
      <c r="F242" s="5"/>
      <c r="G242" s="5"/>
      <c r="H242" s="5"/>
      <c r="I242" s="5"/>
      <c r="J242" s="612">
        <f>DEO!J241+DEK!J241</f>
        <v>0</v>
      </c>
      <c r="K242" s="5"/>
      <c r="L242" s="5"/>
      <c r="M242" s="5"/>
    </row>
    <row r="243" spans="1:13" ht="15.75" thickBot="1">
      <c r="A243" s="32">
        <v>25</v>
      </c>
      <c r="B243" s="31"/>
      <c r="C243" s="29"/>
      <c r="D243" s="783" t="s">
        <v>208</v>
      </c>
      <c r="E243" s="5"/>
      <c r="F243" s="5"/>
      <c r="G243" s="5"/>
      <c r="H243" s="5"/>
      <c r="I243" s="5"/>
      <c r="J243" s="617">
        <f>+DEO!J242+DEK!J242</f>
        <v>-727839201</v>
      </c>
      <c r="K243" s="5"/>
      <c r="L243" s="5"/>
      <c r="M243" s="5"/>
    </row>
    <row r="244" spans="1:13">
      <c r="A244" s="32">
        <v>26</v>
      </c>
      <c r="B244" s="31"/>
      <c r="C244" s="31"/>
      <c r="D244" s="780" t="s">
        <v>684</v>
      </c>
      <c r="E244" s="31"/>
      <c r="F244" s="31"/>
      <c r="G244" s="31"/>
      <c r="H244" s="31"/>
      <c r="I244" s="31"/>
      <c r="J244" s="227">
        <f>J241+J242+J243</f>
        <v>1560464324</v>
      </c>
      <c r="K244" s="5"/>
      <c r="L244" s="5"/>
      <c r="M244" s="5"/>
    </row>
    <row r="245" spans="1:13">
      <c r="A245" s="32"/>
      <c r="C245" s="3"/>
      <c r="D245" s="5"/>
      <c r="E245" s="5"/>
      <c r="F245" s="5"/>
      <c r="G245" s="5"/>
      <c r="H245" s="6"/>
      <c r="I245" s="5"/>
      <c r="J245" s="5"/>
      <c r="K245" s="5"/>
      <c r="L245" s="5"/>
      <c r="M245" s="5"/>
    </row>
    <row r="246" spans="1:13" ht="15.75" thickBot="1">
      <c r="A246" s="32"/>
      <c r="C246" s="3"/>
      <c r="D246" s="58" t="s">
        <v>426</v>
      </c>
      <c r="E246" s="40" t="s">
        <v>81</v>
      </c>
      <c r="F246" s="40" t="s">
        <v>102</v>
      </c>
      <c r="G246" s="5"/>
      <c r="H246" s="40" t="s">
        <v>101</v>
      </c>
      <c r="I246" s="5"/>
      <c r="J246" s="40" t="s">
        <v>103</v>
      </c>
      <c r="K246" s="5"/>
      <c r="L246" s="5"/>
      <c r="M246" s="5"/>
    </row>
    <row r="247" spans="1:13">
      <c r="A247" s="32">
        <v>27</v>
      </c>
      <c r="C247" s="65" t="s">
        <v>209</v>
      </c>
      <c r="D247" s="67"/>
      <c r="E247" s="618">
        <f>DEO!E246+DEK!E246</f>
        <v>1616720000</v>
      </c>
      <c r="F247" s="55">
        <f>IF($E$250&gt;0,E247/$E$250,0)</f>
        <v>0.50885307087395792</v>
      </c>
      <c r="G247" s="23"/>
      <c r="H247" s="23">
        <f>IF(E247&gt;0,J236/E247,0)</f>
        <v>5.2450556064129843E-2</v>
      </c>
      <c r="J247" s="23">
        <f>ROUND(H247*F247,4)</f>
        <v>2.6700000000000002E-2</v>
      </c>
      <c r="K247" s="24" t="s">
        <v>104</v>
      </c>
      <c r="M247" s="5"/>
    </row>
    <row r="248" spans="1:13">
      <c r="A248" s="32">
        <v>28</v>
      </c>
      <c r="C248" s="65" t="s">
        <v>210</v>
      </c>
      <c r="E248" s="368">
        <f>DEO!E247+DEK!E247</f>
        <v>0</v>
      </c>
      <c r="F248" s="55">
        <f>IF($E$250&gt;0,E248/$E$250,0)</f>
        <v>0</v>
      </c>
      <c r="G248" s="23"/>
      <c r="H248" s="23">
        <f>IF(E248&gt;0,J238/E248,0)</f>
        <v>0</v>
      </c>
      <c r="J248" s="23">
        <f>ROUND(H248*F248,4)</f>
        <v>0</v>
      </c>
      <c r="K248" s="5"/>
      <c r="M248" s="5"/>
    </row>
    <row r="249" spans="1:13" ht="16.5" thickBot="1">
      <c r="A249" s="32">
        <v>29</v>
      </c>
      <c r="C249" s="29" t="s">
        <v>105</v>
      </c>
      <c r="E249" s="228">
        <f>J244</f>
        <v>1560464324</v>
      </c>
      <c r="F249" s="55">
        <f>IF($E$250&gt;0,E249/$E$250,0)</f>
        <v>0.49114692912604213</v>
      </c>
      <c r="G249" s="23"/>
      <c r="H249" s="1027">
        <f>ROE</f>
        <v>0.1138</v>
      </c>
      <c r="J249" s="61">
        <f>ROUND(H249*F249,4)</f>
        <v>5.5899999999999998E-2</v>
      </c>
      <c r="K249" s="5"/>
      <c r="M249" s="5"/>
    </row>
    <row r="250" spans="1:13">
      <c r="A250" s="32">
        <v>30</v>
      </c>
      <c r="C250" s="3" t="s">
        <v>171</v>
      </c>
      <c r="E250" s="227">
        <f>E249+E248+E247</f>
        <v>3177184324</v>
      </c>
      <c r="F250" s="5" t="s">
        <v>12</v>
      </c>
      <c r="G250" s="5"/>
      <c r="H250" s="5"/>
      <c r="I250" s="5"/>
      <c r="J250" s="23">
        <f>SUM(J247:J249)</f>
        <v>8.2600000000000007E-2</v>
      </c>
      <c r="K250" s="24" t="s">
        <v>106</v>
      </c>
      <c r="M250" s="5"/>
    </row>
    <row r="251" spans="1:13">
      <c r="F251" s="5"/>
      <c r="G251" s="5"/>
      <c r="H251" s="5"/>
      <c r="I251" s="5"/>
      <c r="M251" s="5"/>
    </row>
    <row r="252" spans="1:13">
      <c r="L252" s="5"/>
      <c r="M252" s="5"/>
    </row>
    <row r="253" spans="1:13" ht="15.75">
      <c r="A253" s="32"/>
      <c r="C253" s="392" t="s">
        <v>107</v>
      </c>
      <c r="D253" s="31"/>
      <c r="E253" s="31"/>
      <c r="F253" s="31"/>
      <c r="G253" s="31"/>
      <c r="H253" s="31"/>
      <c r="I253" s="31"/>
      <c r="J253" s="31"/>
      <c r="K253" s="31"/>
      <c r="L253" s="31"/>
      <c r="M253" s="5"/>
    </row>
    <row r="254" spans="1:13" ht="15.75" thickBot="1">
      <c r="A254" s="32"/>
      <c r="C254" s="29"/>
      <c r="D254" s="29"/>
      <c r="E254" s="29"/>
      <c r="F254" s="29"/>
      <c r="G254" s="29"/>
      <c r="H254" s="29"/>
      <c r="I254" s="29"/>
      <c r="J254" s="40" t="s">
        <v>152</v>
      </c>
      <c r="K254" s="58"/>
    </row>
    <row r="255" spans="1:13">
      <c r="A255" s="32"/>
      <c r="C255" s="430" t="s">
        <v>461</v>
      </c>
      <c r="D255" s="31"/>
      <c r="E255" s="31" t="s">
        <v>108</v>
      </c>
      <c r="F255" s="31"/>
      <c r="G255" s="31"/>
      <c r="H255" s="35" t="s">
        <v>12</v>
      </c>
      <c r="I255" s="28"/>
      <c r="J255" s="237"/>
      <c r="K255" s="237"/>
    </row>
    <row r="256" spans="1:13">
      <c r="A256" s="32">
        <v>31</v>
      </c>
      <c r="C256" s="12" t="s">
        <v>149</v>
      </c>
      <c r="D256" s="31"/>
      <c r="E256" s="31"/>
      <c r="G256" s="31"/>
      <c r="I256" s="28"/>
      <c r="J256" s="412">
        <f>DEO!J255+DEK!J255</f>
        <v>0</v>
      </c>
      <c r="K256" s="238"/>
    </row>
    <row r="257" spans="1:13" ht="15.75" thickBot="1">
      <c r="A257" s="32">
        <v>32</v>
      </c>
      <c r="C257" s="56" t="s">
        <v>414</v>
      </c>
      <c r="D257" s="53"/>
      <c r="E257" s="56"/>
      <c r="F257" s="52"/>
      <c r="G257" s="52"/>
      <c r="H257" s="52"/>
      <c r="I257" s="31"/>
      <c r="J257" s="413">
        <f>DEO!J256+DEK!J256</f>
        <v>0</v>
      </c>
      <c r="K257" s="239"/>
    </row>
    <row r="258" spans="1:13">
      <c r="A258" s="32">
        <v>33</v>
      </c>
      <c r="C258" s="12" t="s">
        <v>109</v>
      </c>
      <c r="D258" s="1"/>
      <c r="F258" s="31"/>
      <c r="G258" s="31"/>
      <c r="H258" s="31"/>
      <c r="I258" s="31"/>
      <c r="J258" s="248">
        <f>J256-J257</f>
        <v>0</v>
      </c>
      <c r="K258" s="238"/>
    </row>
    <row r="259" spans="1:13">
      <c r="A259" s="32"/>
      <c r="C259" s="12" t="s">
        <v>12</v>
      </c>
      <c r="D259" s="1"/>
      <c r="F259" s="31"/>
      <c r="G259" s="31"/>
      <c r="H259" s="46"/>
      <c r="I259" s="31"/>
      <c r="J259" s="41" t="s">
        <v>12</v>
      </c>
      <c r="K259" s="237"/>
      <c r="L259" s="42"/>
      <c r="M259" s="5"/>
    </row>
    <row r="260" spans="1:13">
      <c r="A260" s="32">
        <v>34</v>
      </c>
      <c r="C260" s="430" t="s">
        <v>462</v>
      </c>
      <c r="D260" s="1"/>
      <c r="F260" s="31"/>
      <c r="G260" s="31"/>
      <c r="H260" s="57"/>
      <c r="I260" s="31"/>
      <c r="J260" s="116">
        <f>DEO!J259+DEK!J259</f>
        <v>179258</v>
      </c>
      <c r="K260" s="237"/>
      <c r="L260" s="42"/>
      <c r="M260" s="5"/>
    </row>
    <row r="261" spans="1:13">
      <c r="A261" s="32"/>
      <c r="D261" s="31"/>
      <c r="E261" s="31"/>
      <c r="F261" s="31"/>
      <c r="G261" s="31"/>
      <c r="H261" s="31"/>
      <c r="I261" s="31"/>
      <c r="J261" s="79"/>
      <c r="K261" s="237"/>
      <c r="L261" s="42"/>
      <c r="M261" s="5"/>
    </row>
    <row r="262" spans="1:13">
      <c r="A262" s="32">
        <v>35</v>
      </c>
      <c r="C262" s="430" t="s">
        <v>466</v>
      </c>
      <c r="D262" s="31"/>
      <c r="E262" s="31" t="s">
        <v>110</v>
      </c>
      <c r="F262" s="31"/>
      <c r="G262" s="31"/>
      <c r="H262" s="31"/>
      <c r="I262" s="31"/>
      <c r="J262" s="365">
        <f>DEO!J261+DEK!J261</f>
        <v>826614</v>
      </c>
      <c r="L262" s="43"/>
      <c r="M262" s="5"/>
    </row>
    <row r="263" spans="1:13">
      <c r="A263" s="32"/>
      <c r="C263" s="39"/>
      <c r="D263" s="32"/>
      <c r="E263" s="30"/>
      <c r="F263" s="29"/>
      <c r="G263" s="29"/>
      <c r="H263" s="29"/>
      <c r="I263" s="31"/>
      <c r="K263" s="32"/>
      <c r="L263" s="92"/>
      <c r="M263" s="31"/>
    </row>
    <row r="264" spans="1:13" ht="18">
      <c r="A264" s="244"/>
      <c r="C264" s="29"/>
      <c r="D264" s="29"/>
      <c r="E264" s="30"/>
      <c r="F264" s="29"/>
      <c r="G264" s="29"/>
      <c r="H264" s="29"/>
      <c r="I264" s="31"/>
      <c r="J264" s="77" t="s">
        <v>369</v>
      </c>
      <c r="K264" s="91"/>
      <c r="M264" s="91"/>
    </row>
    <row r="265" spans="1:13">
      <c r="C265" s="29"/>
      <c r="D265" s="29"/>
      <c r="E265" s="30"/>
      <c r="F265" s="29"/>
      <c r="G265" s="29"/>
      <c r="H265" s="29"/>
      <c r="I265" s="31"/>
      <c r="J265" s="77" t="s">
        <v>573</v>
      </c>
      <c r="M265" s="77"/>
    </row>
    <row r="266" spans="1:13">
      <c r="C266" s="29"/>
      <c r="D266" s="29"/>
      <c r="E266" s="30"/>
      <c r="F266" s="29"/>
      <c r="G266" s="29"/>
      <c r="H266" s="29"/>
      <c r="I266" s="31"/>
      <c r="J266" s="77"/>
      <c r="M266" s="77"/>
    </row>
    <row r="267" spans="1:13">
      <c r="C267" s="29"/>
      <c r="D267" s="29"/>
      <c r="E267" s="30"/>
      <c r="F267" s="29"/>
      <c r="G267" s="29"/>
      <c r="H267" s="29"/>
      <c r="I267" s="31"/>
      <c r="M267" s="77"/>
    </row>
    <row r="268" spans="1:13">
      <c r="C268" s="29"/>
      <c r="D268" s="29"/>
      <c r="E268" s="30"/>
      <c r="F268" s="29"/>
      <c r="G268" s="29"/>
      <c r="H268" s="29"/>
      <c r="I268" s="31"/>
      <c r="K268" s="1"/>
      <c r="M268" s="77"/>
    </row>
    <row r="269" spans="1:13">
      <c r="C269" s="29"/>
      <c r="D269" s="29"/>
      <c r="E269" s="30"/>
      <c r="F269" s="29"/>
      <c r="G269" s="29"/>
      <c r="H269" s="29"/>
      <c r="I269" s="31"/>
      <c r="J269" s="77"/>
      <c r="K269" s="1"/>
      <c r="M269" s="77"/>
    </row>
    <row r="270" spans="1:13">
      <c r="C270" s="29" t="s">
        <v>11</v>
      </c>
      <c r="D270" s="29"/>
      <c r="E270" s="30"/>
      <c r="F270" s="29"/>
      <c r="G270" s="29"/>
      <c r="H270" s="29"/>
      <c r="I270" s="31"/>
      <c r="J270" s="92" t="str">
        <f>$J$7</f>
        <v>For the 12 months ended: 12/31/2015</v>
      </c>
      <c r="K270" s="1"/>
      <c r="M270" s="77"/>
    </row>
    <row r="271" spans="1:13">
      <c r="A271" s="277" t="str">
        <f>$A$8</f>
        <v>Rate Formula Template</v>
      </c>
      <c r="B271" s="279"/>
      <c r="C271" s="279"/>
      <c r="D271" s="277"/>
      <c r="E271" s="279"/>
      <c r="F271" s="277"/>
      <c r="G271" s="277"/>
      <c r="H271" s="277"/>
      <c r="I271" s="277"/>
      <c r="J271" s="279"/>
      <c r="K271" s="60"/>
      <c r="L271" s="279"/>
      <c r="M271" s="1"/>
    </row>
    <row r="272" spans="1:13">
      <c r="A272" s="280" t="s">
        <v>331</v>
      </c>
      <c r="B272" s="279"/>
      <c r="C272" s="277"/>
      <c r="D272" s="280"/>
      <c r="E272" s="279"/>
      <c r="F272" s="280"/>
      <c r="G272" s="280"/>
      <c r="H272" s="280"/>
      <c r="I272" s="277"/>
      <c r="J272" s="277"/>
      <c r="K272" s="60"/>
      <c r="L272" s="273"/>
      <c r="M272" s="1"/>
    </row>
    <row r="273" spans="1:13">
      <c r="A273" s="273"/>
      <c r="B273" s="279"/>
      <c r="C273" s="273"/>
      <c r="D273" s="273"/>
      <c r="E273" s="279"/>
      <c r="F273" s="273"/>
      <c r="G273" s="273"/>
      <c r="H273" s="273"/>
      <c r="I273" s="273"/>
      <c r="J273" s="273"/>
      <c r="K273" s="60"/>
      <c r="L273" s="273"/>
      <c r="M273" s="31"/>
    </row>
    <row r="274" spans="1:13" ht="15.75">
      <c r="A274" s="427" t="str">
        <f>$A$11</f>
        <v>DUKE ENERGY OHIO AND DUKE ENERGY KENTUCKY (DEOK)</v>
      </c>
      <c r="B274" s="279"/>
      <c r="C274" s="273"/>
      <c r="D274" s="273"/>
      <c r="E274" s="279"/>
      <c r="F274" s="273"/>
      <c r="G274" s="273"/>
      <c r="H274" s="273"/>
      <c r="I274" s="273"/>
      <c r="J274" s="273"/>
      <c r="K274" s="60"/>
      <c r="L274" s="273"/>
      <c r="M274" s="31"/>
    </row>
    <row r="275" spans="1:13">
      <c r="A275" s="32"/>
      <c r="B275" s="31"/>
      <c r="C275" s="39"/>
      <c r="D275" s="32"/>
      <c r="E275" s="5"/>
      <c r="F275" s="5"/>
      <c r="G275" s="5"/>
      <c r="H275" s="5"/>
      <c r="I275" s="31"/>
      <c r="J275" s="241"/>
      <c r="K275" s="60"/>
      <c r="L275" s="240"/>
      <c r="M275" s="31"/>
    </row>
    <row r="276" spans="1:13" ht="20.25">
      <c r="A276" s="32"/>
      <c r="B276" s="31"/>
      <c r="C276" s="29" t="s">
        <v>111</v>
      </c>
      <c r="D276" s="32"/>
      <c r="E276" s="5"/>
      <c r="F276" s="5"/>
      <c r="G276" s="5"/>
      <c r="H276" s="5"/>
      <c r="I276" s="31"/>
      <c r="J276" s="5"/>
      <c r="K276" s="60"/>
      <c r="L276" s="5"/>
      <c r="M276" s="242"/>
    </row>
    <row r="277" spans="1:13" ht="20.25">
      <c r="A277" s="32" t="s">
        <v>113</v>
      </c>
      <c r="B277" s="31"/>
      <c r="C277" s="29" t="s">
        <v>371</v>
      </c>
      <c r="D277" s="31"/>
      <c r="E277" s="5"/>
      <c r="F277" s="5"/>
      <c r="G277" s="5"/>
      <c r="H277" s="5"/>
      <c r="I277" s="31"/>
      <c r="J277" s="5"/>
      <c r="K277" s="60"/>
      <c r="L277" s="5"/>
      <c r="M277" s="242"/>
    </row>
    <row r="278" spans="1:13" ht="20.25">
      <c r="A278" s="290" t="s">
        <v>114</v>
      </c>
      <c r="B278" s="31"/>
      <c r="C278" s="29"/>
      <c r="D278" s="31"/>
      <c r="E278" s="5"/>
      <c r="F278" s="5"/>
      <c r="G278" s="5"/>
      <c r="H278" s="5"/>
      <c r="I278" s="31"/>
      <c r="J278" s="5"/>
      <c r="K278" s="60"/>
      <c r="L278" s="5"/>
      <c r="M278" s="242"/>
    </row>
    <row r="279" spans="1:13" ht="20.25">
      <c r="A279" s="32" t="s">
        <v>115</v>
      </c>
      <c r="B279" s="31"/>
      <c r="C279" s="905" t="s">
        <v>692</v>
      </c>
      <c r="D279" s="60"/>
      <c r="E279" s="37"/>
      <c r="F279" s="37"/>
      <c r="G279" s="37"/>
      <c r="H279" s="37"/>
      <c r="I279" s="60"/>
      <c r="J279" s="37"/>
      <c r="K279" s="60"/>
      <c r="L279" s="37"/>
      <c r="M279" s="243"/>
    </row>
    <row r="280" spans="1:13" s="828" customFormat="1" ht="20.45" customHeight="1">
      <c r="A280" s="830"/>
      <c r="B280" s="829"/>
      <c r="C280" s="905" t="s">
        <v>693</v>
      </c>
      <c r="D280" s="832"/>
      <c r="E280" s="831"/>
      <c r="F280" s="831"/>
      <c r="G280" s="831"/>
      <c r="H280" s="831"/>
      <c r="I280" s="832"/>
      <c r="J280" s="831"/>
      <c r="K280" s="832"/>
      <c r="L280" s="831"/>
      <c r="M280" s="834"/>
    </row>
    <row r="281" spans="1:13" s="828" customFormat="1" ht="20.45" customHeight="1">
      <c r="A281" s="830"/>
      <c r="B281" s="829"/>
      <c r="C281" s="905" t="s">
        <v>694</v>
      </c>
      <c r="D281" s="832"/>
      <c r="E281" s="831"/>
      <c r="F281" s="831"/>
      <c r="G281" s="831"/>
      <c r="H281" s="831"/>
      <c r="I281" s="832"/>
      <c r="J281" s="831"/>
      <c r="K281" s="832"/>
      <c r="L281" s="831"/>
      <c r="M281" s="834"/>
    </row>
    <row r="282" spans="1:13" ht="20.25">
      <c r="A282" s="235" t="s">
        <v>116</v>
      </c>
      <c r="B282" s="60"/>
      <c r="C282" s="837" t="s">
        <v>695</v>
      </c>
      <c r="D282" s="60"/>
      <c r="E282" s="37"/>
      <c r="F282" s="37"/>
      <c r="G282" s="37"/>
      <c r="H282" s="37"/>
      <c r="I282" s="60"/>
      <c r="J282" s="37"/>
      <c r="K282" s="60"/>
      <c r="L282" s="37"/>
      <c r="M282" s="243"/>
    </row>
    <row r="283" spans="1:13" s="828" customFormat="1" ht="20.25">
      <c r="A283" s="833"/>
      <c r="B283" s="832"/>
      <c r="C283" s="835" t="s">
        <v>696</v>
      </c>
      <c r="D283" s="832"/>
      <c r="E283" s="831"/>
      <c r="F283" s="831"/>
      <c r="G283" s="831"/>
      <c r="H283" s="831"/>
      <c r="I283" s="832"/>
      <c r="J283" s="831"/>
      <c r="K283" s="832"/>
      <c r="L283" s="831"/>
      <c r="M283" s="834"/>
    </row>
    <row r="284" spans="1:13" s="828" customFormat="1" ht="20.25">
      <c r="A284" s="833"/>
      <c r="B284" s="832"/>
      <c r="C284" s="837" t="s">
        <v>697</v>
      </c>
      <c r="D284" s="832"/>
      <c r="E284" s="831"/>
      <c r="F284" s="831"/>
      <c r="G284" s="831"/>
      <c r="H284" s="831"/>
      <c r="I284" s="832"/>
      <c r="J284" s="831"/>
      <c r="K284" s="832"/>
      <c r="L284" s="831"/>
      <c r="M284" s="834"/>
    </row>
    <row r="285" spans="1:13" ht="20.25">
      <c r="A285" s="235" t="s">
        <v>117</v>
      </c>
      <c r="B285" s="60"/>
      <c r="C285" s="837" t="s">
        <v>364</v>
      </c>
      <c r="D285" s="60"/>
      <c r="E285" s="60"/>
      <c r="F285" s="60"/>
      <c r="G285" s="60"/>
      <c r="H285" s="60"/>
      <c r="I285" s="60"/>
      <c r="J285" s="37"/>
      <c r="K285" s="60"/>
      <c r="L285" s="60"/>
      <c r="M285" s="243"/>
    </row>
    <row r="286" spans="1:13" ht="20.25">
      <c r="A286" s="235" t="s">
        <v>118</v>
      </c>
      <c r="B286" s="60"/>
      <c r="C286" s="837" t="s">
        <v>364</v>
      </c>
      <c r="D286" s="60"/>
      <c r="E286" s="60"/>
      <c r="F286" s="60"/>
      <c r="G286" s="60"/>
      <c r="H286" s="60"/>
      <c r="I286" s="60"/>
      <c r="J286" s="37"/>
      <c r="K286" s="60"/>
      <c r="L286" s="60"/>
      <c r="M286" s="243"/>
    </row>
    <row r="287" spans="1:13" ht="20.25">
      <c r="A287" s="235" t="s">
        <v>119</v>
      </c>
      <c r="B287" s="60"/>
      <c r="C287" s="836" t="s">
        <v>473</v>
      </c>
      <c r="D287" s="60"/>
      <c r="E287" s="60"/>
      <c r="F287" s="60"/>
      <c r="G287" s="60"/>
      <c r="H287" s="60"/>
      <c r="I287" s="60"/>
      <c r="J287" s="37"/>
      <c r="K287" s="60"/>
      <c r="L287" s="60"/>
      <c r="M287" s="243"/>
    </row>
    <row r="288" spans="1:13" ht="20.25">
      <c r="A288" s="235"/>
      <c r="B288" s="60"/>
      <c r="C288" s="836" t="s">
        <v>541</v>
      </c>
      <c r="D288" s="60"/>
      <c r="E288" s="60"/>
      <c r="F288" s="60"/>
      <c r="G288" s="60"/>
      <c r="H288" s="60"/>
      <c r="I288" s="60"/>
      <c r="J288" s="37"/>
      <c r="K288" s="60"/>
      <c r="L288" s="60"/>
      <c r="M288" s="243"/>
    </row>
    <row r="289" spans="1:13" ht="20.25">
      <c r="A289" s="32" t="s">
        <v>120</v>
      </c>
      <c r="B289" s="31"/>
      <c r="C289" s="836" t="s">
        <v>264</v>
      </c>
      <c r="D289" s="60"/>
      <c r="E289" s="60"/>
      <c r="F289" s="60"/>
      <c r="G289" s="60"/>
      <c r="H289" s="60"/>
      <c r="I289" s="60"/>
      <c r="J289" s="60"/>
      <c r="K289" s="60"/>
      <c r="L289" s="60"/>
      <c r="M289" s="243"/>
    </row>
    <row r="290" spans="1:13" ht="20.25">
      <c r="A290" s="32"/>
      <c r="B290" s="31"/>
      <c r="C290" s="836" t="s">
        <v>265</v>
      </c>
      <c r="D290" s="60"/>
      <c r="E290" s="60"/>
      <c r="F290" s="60"/>
      <c r="G290" s="60"/>
      <c r="H290" s="60"/>
      <c r="I290" s="60"/>
      <c r="J290" s="60"/>
      <c r="K290" s="60"/>
      <c r="L290" s="60"/>
      <c r="M290" s="243"/>
    </row>
    <row r="291" spans="1:13" ht="20.25">
      <c r="A291" s="32"/>
      <c r="B291" s="31"/>
      <c r="C291" s="836" t="s">
        <v>243</v>
      </c>
      <c r="D291" s="60"/>
      <c r="E291" s="60"/>
      <c r="F291" s="60"/>
      <c r="G291" s="60"/>
      <c r="H291" s="60"/>
      <c r="I291" s="60"/>
      <c r="J291" s="60"/>
      <c r="K291" s="60"/>
      <c r="L291" s="60"/>
      <c r="M291" s="243"/>
    </row>
    <row r="292" spans="1:13" ht="20.25">
      <c r="A292" s="32" t="s">
        <v>121</v>
      </c>
      <c r="B292" s="31"/>
      <c r="C292" s="836" t="s">
        <v>122</v>
      </c>
      <c r="D292" s="60"/>
      <c r="E292" s="60"/>
      <c r="F292" s="60"/>
      <c r="G292" s="60"/>
      <c r="H292" s="60"/>
      <c r="I292" s="60"/>
      <c r="J292" s="60"/>
      <c r="K292" s="60"/>
      <c r="L292" s="60"/>
      <c r="M292" s="243"/>
    </row>
    <row r="293" spans="1:13" ht="20.25">
      <c r="A293" s="32" t="s">
        <v>123</v>
      </c>
      <c r="B293" s="31"/>
      <c r="C293" s="836" t="s">
        <v>124</v>
      </c>
      <c r="D293" s="60"/>
      <c r="E293" s="60"/>
      <c r="F293" s="60"/>
      <c r="G293" s="60"/>
      <c r="H293" s="60"/>
      <c r="I293" s="60"/>
      <c r="J293" s="60"/>
      <c r="K293" s="60"/>
      <c r="L293" s="60"/>
      <c r="M293" s="243"/>
    </row>
    <row r="294" spans="1:13" ht="20.25">
      <c r="A294" s="32"/>
      <c r="B294" s="31"/>
      <c r="C294" s="836" t="s">
        <v>372</v>
      </c>
      <c r="D294" s="60"/>
      <c r="E294" s="60"/>
      <c r="F294" s="60"/>
      <c r="G294" s="60"/>
      <c r="H294" s="60"/>
      <c r="I294" s="60"/>
      <c r="J294" s="60"/>
      <c r="K294" s="60"/>
      <c r="L294" s="60"/>
      <c r="M294" s="243"/>
    </row>
    <row r="295" spans="1:13" ht="20.25">
      <c r="A295" s="32" t="s">
        <v>125</v>
      </c>
      <c r="B295" s="31"/>
      <c r="C295" s="836" t="s">
        <v>397</v>
      </c>
      <c r="D295" s="60"/>
      <c r="E295" s="60"/>
      <c r="F295" s="60"/>
      <c r="G295" s="60"/>
      <c r="H295" s="60"/>
      <c r="I295" s="60"/>
      <c r="J295" s="60"/>
      <c r="K295" s="60"/>
      <c r="L295" s="60"/>
      <c r="M295" s="243"/>
    </row>
    <row r="296" spans="1:13" ht="20.25">
      <c r="A296" s="32"/>
      <c r="B296" s="31"/>
      <c r="C296" s="838" t="s">
        <v>398</v>
      </c>
      <c r="D296" s="60"/>
      <c r="E296" s="60"/>
      <c r="F296" s="60"/>
      <c r="G296" s="60"/>
      <c r="H296" s="60"/>
      <c r="I296" s="60"/>
      <c r="J296" s="60"/>
      <c r="K296" s="60"/>
      <c r="L296" s="60"/>
      <c r="M296" s="243"/>
    </row>
    <row r="297" spans="1:13" ht="20.25">
      <c r="A297" s="32" t="s">
        <v>126</v>
      </c>
      <c r="B297" s="31"/>
      <c r="C297" s="836" t="s">
        <v>399</v>
      </c>
      <c r="D297" s="60"/>
      <c r="E297" s="60"/>
      <c r="F297" s="60"/>
      <c r="G297" s="60"/>
      <c r="H297" s="60"/>
      <c r="I297" s="60"/>
      <c r="J297" s="60"/>
      <c r="K297" s="60"/>
      <c r="L297" s="60"/>
      <c r="M297" s="243"/>
    </row>
    <row r="298" spans="1:13" ht="20.25">
      <c r="A298" s="32"/>
      <c r="B298" s="31"/>
      <c r="C298" s="836" t="s">
        <v>400</v>
      </c>
      <c r="D298" s="60"/>
      <c r="E298" s="60"/>
      <c r="F298" s="60"/>
      <c r="G298" s="60"/>
      <c r="H298" s="60"/>
      <c r="I298" s="60"/>
      <c r="J298" s="60"/>
      <c r="K298" s="60"/>
      <c r="L298" s="60"/>
      <c r="M298" s="243"/>
    </row>
    <row r="299" spans="1:13" ht="20.25">
      <c r="A299" s="32" t="s">
        <v>127</v>
      </c>
      <c r="B299" s="31"/>
      <c r="C299" s="836" t="s">
        <v>698</v>
      </c>
      <c r="D299" s="60"/>
      <c r="E299" s="60"/>
      <c r="F299" s="60"/>
      <c r="G299" s="60"/>
      <c r="H299" s="60"/>
      <c r="I299" s="60"/>
      <c r="J299" s="60"/>
      <c r="K299" s="60"/>
      <c r="L299" s="60"/>
      <c r="M299" s="243"/>
    </row>
    <row r="300" spans="1:13" ht="20.25">
      <c r="A300" s="32"/>
      <c r="B300" s="31"/>
      <c r="C300" s="836" t="s">
        <v>401</v>
      </c>
      <c r="D300" s="60"/>
      <c r="E300" s="60"/>
      <c r="F300" s="60"/>
      <c r="G300" s="60"/>
      <c r="H300" s="60"/>
      <c r="I300" s="60"/>
      <c r="J300" s="60"/>
      <c r="K300" s="60"/>
      <c r="L300" s="60"/>
      <c r="M300" s="243"/>
    </row>
    <row r="301" spans="1:13" ht="20.25">
      <c r="A301" s="32"/>
      <c r="B301" s="31"/>
      <c r="C301" s="836" t="s">
        <v>402</v>
      </c>
      <c r="D301" s="60"/>
      <c r="E301" s="60"/>
      <c r="F301" s="60"/>
      <c r="G301" s="60"/>
      <c r="H301" s="60"/>
      <c r="I301" s="60"/>
      <c r="J301" s="60"/>
      <c r="K301" s="60"/>
      <c r="L301" s="60"/>
      <c r="M301" s="243"/>
    </row>
    <row r="302" spans="1:13" ht="20.25">
      <c r="A302" s="32"/>
      <c r="B302" s="31"/>
      <c r="C302" s="836" t="s">
        <v>403</v>
      </c>
      <c r="D302" s="60"/>
      <c r="E302" s="60"/>
      <c r="F302" s="60"/>
      <c r="G302" s="60"/>
      <c r="H302" s="60"/>
      <c r="I302" s="60"/>
      <c r="J302" s="60"/>
      <c r="K302" s="60"/>
      <c r="L302" s="60"/>
      <c r="M302" s="243"/>
    </row>
    <row r="303" spans="1:13" ht="20.25">
      <c r="A303" s="32"/>
      <c r="B303" s="31"/>
      <c r="C303" s="836" t="s">
        <v>404</v>
      </c>
      <c r="D303" s="60"/>
      <c r="E303" s="60"/>
      <c r="F303" s="60"/>
      <c r="G303" s="60"/>
      <c r="H303" s="60"/>
      <c r="I303" s="60"/>
      <c r="J303" s="60"/>
      <c r="K303" s="60"/>
      <c r="L303" s="60"/>
      <c r="M303" s="243"/>
    </row>
    <row r="304" spans="1:13" ht="20.25">
      <c r="A304" s="32"/>
      <c r="B304" s="31"/>
      <c r="C304" s="60"/>
      <c r="D304" s="60"/>
      <c r="E304" s="60"/>
      <c r="F304" s="60"/>
      <c r="G304" s="60"/>
      <c r="H304" s="60"/>
      <c r="I304" s="60"/>
      <c r="J304" s="60"/>
      <c r="K304" s="60"/>
      <c r="L304" s="60"/>
      <c r="M304" s="243"/>
    </row>
    <row r="305" spans="1:13" ht="20.25">
      <c r="A305" s="32" t="s">
        <v>12</v>
      </c>
      <c r="B305" s="31"/>
      <c r="C305" s="60" t="s">
        <v>165</v>
      </c>
      <c r="D305" s="60" t="s">
        <v>155</v>
      </c>
      <c r="E305" s="623">
        <f>INPUT!E86</f>
        <v>0.35</v>
      </c>
      <c r="F305" s="60"/>
      <c r="H305" s="60"/>
      <c r="I305" s="60"/>
      <c r="J305" s="60"/>
      <c r="K305" s="60"/>
      <c r="L305" s="60"/>
      <c r="M305" s="243"/>
    </row>
    <row r="306" spans="1:13" ht="20.25">
      <c r="A306" s="32"/>
      <c r="B306" s="31"/>
      <c r="C306" s="60"/>
      <c r="D306" s="60" t="s">
        <v>156</v>
      </c>
      <c r="E306" s="415">
        <f>'P6 Statetax'!D17</f>
        <v>2.8999999999999998E-3</v>
      </c>
      <c r="F306" s="60" t="s">
        <v>157</v>
      </c>
      <c r="H306" s="60"/>
      <c r="I306" s="60"/>
      <c r="J306" s="60"/>
      <c r="K306" s="60"/>
      <c r="L306" s="60"/>
      <c r="M306" s="243"/>
    </row>
    <row r="307" spans="1:13" ht="20.25">
      <c r="A307" s="32"/>
      <c r="B307" s="31"/>
      <c r="C307" s="60"/>
      <c r="D307" s="60" t="s">
        <v>158</v>
      </c>
      <c r="E307" s="414">
        <v>0</v>
      </c>
      <c r="F307" s="60" t="s">
        <v>159</v>
      </c>
      <c r="H307" s="60"/>
      <c r="I307" s="60"/>
      <c r="J307" s="60"/>
      <c r="K307" s="60"/>
      <c r="L307" s="60"/>
      <c r="M307" s="243"/>
    </row>
    <row r="308" spans="1:13" ht="20.25">
      <c r="A308" s="32" t="s">
        <v>128</v>
      </c>
      <c r="B308" s="31"/>
      <c r="C308" s="841" t="s">
        <v>5</v>
      </c>
      <c r="D308" s="60"/>
      <c r="E308" s="60"/>
      <c r="F308" s="60"/>
      <c r="G308" s="60"/>
      <c r="H308" s="60"/>
      <c r="I308" s="60"/>
      <c r="J308" s="60"/>
      <c r="K308" s="60"/>
      <c r="L308" s="60"/>
      <c r="M308" s="243"/>
    </row>
    <row r="309" spans="1:13" ht="20.25">
      <c r="A309" s="32" t="s">
        <v>129</v>
      </c>
      <c r="B309" s="31"/>
      <c r="C309" s="841" t="s">
        <v>130</v>
      </c>
      <c r="D309" s="60"/>
      <c r="E309" s="60"/>
      <c r="F309" s="60"/>
      <c r="G309" s="60"/>
      <c r="H309" s="60"/>
      <c r="I309" s="60"/>
      <c r="J309" s="60"/>
      <c r="K309" s="60"/>
      <c r="L309" s="60"/>
      <c r="M309" s="243"/>
    </row>
    <row r="310" spans="1:13" ht="20.25">
      <c r="A310" s="32"/>
      <c r="B310" s="31"/>
      <c r="C310" s="841" t="s">
        <v>540</v>
      </c>
      <c r="D310" s="60"/>
      <c r="E310" s="60"/>
      <c r="F310" s="60"/>
      <c r="G310" s="60"/>
      <c r="H310" s="60"/>
      <c r="I310" s="60"/>
      <c r="J310" s="60"/>
      <c r="K310" s="60"/>
      <c r="L310" s="60"/>
      <c r="M310" s="243"/>
    </row>
    <row r="311" spans="1:13" ht="20.25">
      <c r="A311" s="32" t="s">
        <v>131</v>
      </c>
      <c r="B311" s="31"/>
      <c r="C311" s="841" t="s">
        <v>173</v>
      </c>
      <c r="D311" s="60"/>
      <c r="E311" s="60"/>
      <c r="F311" s="60"/>
      <c r="G311" s="60"/>
      <c r="H311" s="60"/>
      <c r="I311" s="60"/>
      <c r="J311" s="60"/>
      <c r="K311" s="60"/>
      <c r="L311" s="60"/>
      <c r="M311" s="243"/>
    </row>
    <row r="312" spans="1:13" ht="20.25">
      <c r="A312" s="32"/>
      <c r="B312" s="31"/>
      <c r="C312" s="841" t="s">
        <v>373</v>
      </c>
      <c r="D312" s="60"/>
      <c r="E312" s="60"/>
      <c r="F312" s="60"/>
      <c r="G312" s="60"/>
      <c r="H312" s="60"/>
      <c r="I312" s="60"/>
      <c r="J312" s="60"/>
      <c r="K312" s="60"/>
      <c r="L312" s="60"/>
      <c r="M312" s="243"/>
    </row>
    <row r="313" spans="1:13" ht="20.25">
      <c r="A313" s="32"/>
      <c r="B313" s="31"/>
      <c r="C313" s="841" t="s">
        <v>374</v>
      </c>
      <c r="D313" s="60"/>
      <c r="E313" s="60"/>
      <c r="F313" s="60"/>
      <c r="G313" s="60"/>
      <c r="H313" s="60"/>
      <c r="I313" s="60"/>
      <c r="J313" s="60"/>
      <c r="K313" s="60"/>
      <c r="L313" s="60"/>
      <c r="M313" s="243"/>
    </row>
    <row r="314" spans="1:13" ht="20.25">
      <c r="A314" s="32" t="s">
        <v>132</v>
      </c>
      <c r="B314" s="31"/>
      <c r="C314" s="841" t="s">
        <v>567</v>
      </c>
      <c r="D314" s="60"/>
      <c r="E314" s="60"/>
      <c r="F314" s="60"/>
      <c r="G314" s="60"/>
      <c r="H314" s="60"/>
      <c r="I314" s="60"/>
      <c r="J314" s="60"/>
      <c r="K314" s="60"/>
      <c r="L314" s="60"/>
      <c r="M314" s="243"/>
    </row>
    <row r="315" spans="1:13" ht="20.25">
      <c r="A315" s="32" t="s">
        <v>133</v>
      </c>
      <c r="B315" s="31"/>
      <c r="C315" s="841" t="s">
        <v>562</v>
      </c>
      <c r="D315" s="60"/>
      <c r="E315" s="60"/>
      <c r="F315" s="60"/>
      <c r="G315" s="60"/>
      <c r="H315" s="60"/>
      <c r="I315" s="60"/>
      <c r="J315" s="60"/>
      <c r="K315" s="60"/>
      <c r="L315" s="60"/>
      <c r="M315" s="243"/>
    </row>
    <row r="316" spans="1:13" ht="20.25">
      <c r="A316" s="32"/>
      <c r="B316" s="31"/>
      <c r="C316" s="841" t="s">
        <v>563</v>
      </c>
      <c r="D316" s="60"/>
      <c r="E316" s="60"/>
      <c r="F316" s="60"/>
      <c r="G316" s="60"/>
      <c r="H316" s="60"/>
      <c r="I316" s="60"/>
      <c r="J316" s="60"/>
      <c r="K316" s="60"/>
      <c r="L316" s="60"/>
      <c r="M316" s="243"/>
    </row>
    <row r="317" spans="1:13" ht="20.25">
      <c r="A317" s="32" t="s">
        <v>134</v>
      </c>
      <c r="B317" s="31"/>
      <c r="C317" s="841" t="s">
        <v>425</v>
      </c>
      <c r="D317" s="60"/>
      <c r="E317" s="60"/>
      <c r="F317" s="60"/>
      <c r="G317" s="60"/>
      <c r="H317" s="60"/>
      <c r="I317" s="60"/>
      <c r="J317" s="60"/>
      <c r="K317" s="60"/>
      <c r="L317" s="60"/>
      <c r="M317" s="243"/>
    </row>
    <row r="318" spans="1:13" ht="20.25">
      <c r="A318" s="32"/>
      <c r="B318" s="31"/>
      <c r="C318" s="841" t="s">
        <v>375</v>
      </c>
      <c r="D318" s="60"/>
      <c r="E318" s="60"/>
      <c r="F318" s="60"/>
      <c r="G318" s="60"/>
      <c r="H318" s="60"/>
      <c r="I318" s="60"/>
      <c r="J318" s="60"/>
      <c r="K318" s="60"/>
      <c r="L318" s="60"/>
      <c r="M318" s="243"/>
    </row>
    <row r="319" spans="1:13" ht="20.25">
      <c r="A319" s="32" t="s">
        <v>135</v>
      </c>
      <c r="B319" s="31"/>
      <c r="C319" s="841" t="s">
        <v>141</v>
      </c>
      <c r="D319" s="60"/>
      <c r="E319" s="60"/>
      <c r="F319" s="60"/>
      <c r="G319" s="60"/>
      <c r="H319" s="60"/>
      <c r="I319" s="60"/>
      <c r="J319" s="60"/>
      <c r="K319" s="60"/>
      <c r="L319" s="60"/>
      <c r="M319" s="243"/>
    </row>
    <row r="320" spans="1:13">
      <c r="A320" s="32" t="s">
        <v>177</v>
      </c>
      <c r="B320" s="31"/>
      <c r="C320" s="842" t="s">
        <v>364</v>
      </c>
      <c r="D320" s="60"/>
      <c r="E320" s="60"/>
      <c r="F320" s="60"/>
      <c r="G320" s="60"/>
      <c r="H320" s="60"/>
      <c r="I320" s="60"/>
      <c r="J320" s="60"/>
      <c r="K320" s="60"/>
      <c r="L320" s="60"/>
      <c r="M320" s="60"/>
    </row>
    <row r="321" spans="1:13">
      <c r="A321" s="376" t="s">
        <v>178</v>
      </c>
      <c r="C321" s="843" t="s">
        <v>775</v>
      </c>
      <c r="D321" s="66"/>
      <c r="E321" s="66"/>
      <c r="F321" s="66"/>
      <c r="G321" s="66"/>
      <c r="H321" s="66"/>
      <c r="I321" s="66"/>
      <c r="J321" s="66"/>
      <c r="K321" s="66"/>
      <c r="L321" s="66"/>
      <c r="M321" s="66"/>
    </row>
    <row r="322" spans="1:13">
      <c r="C322" s="843" t="s">
        <v>376</v>
      </c>
      <c r="D322" s="245"/>
      <c r="E322" s="66"/>
      <c r="F322" s="66"/>
      <c r="G322" s="66"/>
      <c r="H322" s="66"/>
      <c r="I322" s="66"/>
      <c r="J322" s="66"/>
      <c r="K322" s="66"/>
      <c r="L322" s="66"/>
      <c r="M322" s="66"/>
    </row>
    <row r="323" spans="1:13">
      <c r="C323" s="843" t="s">
        <v>464</v>
      </c>
      <c r="D323" s="66"/>
      <c r="E323" s="66"/>
      <c r="F323" s="66"/>
      <c r="G323" s="66"/>
      <c r="H323" s="66"/>
      <c r="I323" s="66"/>
      <c r="J323" s="66"/>
      <c r="K323" s="66"/>
      <c r="L323" s="66"/>
      <c r="M323" s="246"/>
    </row>
    <row r="324" spans="1:13">
      <c r="C324" s="843" t="s">
        <v>427</v>
      </c>
      <c r="D324" s="66"/>
      <c r="E324" s="245"/>
      <c r="F324" s="66"/>
      <c r="G324" s="66"/>
      <c r="H324" s="66"/>
      <c r="I324" s="66"/>
      <c r="J324" s="66"/>
      <c r="K324" s="66"/>
      <c r="L324" s="66"/>
      <c r="M324" s="246"/>
    </row>
    <row r="325" spans="1:13">
      <c r="C325" s="66"/>
      <c r="D325" s="66"/>
      <c r="E325" s="245"/>
      <c r="F325" s="66"/>
      <c r="G325" s="66"/>
      <c r="H325" s="66"/>
      <c r="I325" s="66"/>
      <c r="J325" s="66"/>
      <c r="K325" s="66"/>
      <c r="L325" s="66"/>
      <c r="M325" s="246"/>
    </row>
    <row r="326" spans="1:13" ht="18">
      <c r="A326" s="244"/>
      <c r="C326" s="29"/>
      <c r="D326" s="29"/>
      <c r="E326" s="30"/>
      <c r="F326" s="29"/>
      <c r="G326" s="29"/>
      <c r="H326" s="29"/>
      <c r="I326" s="31"/>
      <c r="J326" s="77" t="s">
        <v>369</v>
      </c>
      <c r="K326" s="91"/>
      <c r="M326" s="91"/>
    </row>
    <row r="327" spans="1:13">
      <c r="C327" s="29"/>
      <c r="D327" s="29"/>
      <c r="E327" s="30"/>
      <c r="F327" s="29"/>
      <c r="G327" s="29"/>
      <c r="H327" s="29"/>
      <c r="I327" s="31"/>
      <c r="J327" s="77" t="s">
        <v>569</v>
      </c>
      <c r="M327" s="77"/>
    </row>
    <row r="328" spans="1:13">
      <c r="C328" s="29"/>
      <c r="D328" s="29"/>
      <c r="E328" s="30"/>
      <c r="F328" s="29"/>
      <c r="G328" s="29"/>
      <c r="H328" s="29"/>
      <c r="I328" s="31"/>
      <c r="J328" s="77"/>
      <c r="M328" s="77"/>
    </row>
    <row r="329" spans="1:13">
      <c r="C329" s="29"/>
      <c r="D329" s="29"/>
      <c r="E329" s="30"/>
      <c r="F329" s="29"/>
      <c r="G329" s="29"/>
      <c r="H329" s="29"/>
      <c r="I329" s="31"/>
      <c r="M329" s="77"/>
    </row>
    <row r="330" spans="1:13">
      <c r="C330" s="29"/>
      <c r="D330" s="29"/>
      <c r="E330" s="30"/>
      <c r="F330" s="29"/>
      <c r="G330" s="29"/>
      <c r="H330" s="29"/>
      <c r="I330" s="31"/>
      <c r="K330" s="1"/>
      <c r="M330" s="77"/>
    </row>
    <row r="331" spans="1:13">
      <c r="C331" s="29"/>
      <c r="D331" s="29"/>
      <c r="E331" s="30"/>
      <c r="F331" s="29"/>
      <c r="G331" s="29"/>
      <c r="H331" s="29"/>
      <c r="I331" s="31"/>
      <c r="J331" s="77"/>
      <c r="K331" s="1"/>
      <c r="M331" s="77"/>
    </row>
    <row r="332" spans="1:13">
      <c r="C332" s="29" t="s">
        <v>11</v>
      </c>
      <c r="D332" s="29"/>
      <c r="E332" s="30"/>
      <c r="F332" s="29"/>
      <c r="G332" s="29"/>
      <c r="H332" s="29"/>
      <c r="I332" s="31"/>
      <c r="J332" s="92" t="str">
        <f>$J$7</f>
        <v>For the 12 months ended: 12/31/2015</v>
      </c>
      <c r="K332" s="1"/>
      <c r="M332" s="77"/>
    </row>
    <row r="333" spans="1:13">
      <c r="A333" s="277" t="str">
        <f>$A$8</f>
        <v>Rate Formula Template</v>
      </c>
      <c r="B333" s="279"/>
      <c r="C333" s="279"/>
      <c r="D333" s="277"/>
      <c r="E333" s="279"/>
      <c r="F333" s="277"/>
      <c r="G333" s="277"/>
      <c r="H333" s="277"/>
      <c r="I333" s="277"/>
      <c r="J333" s="279"/>
      <c r="K333" s="60"/>
      <c r="L333" s="279"/>
      <c r="M333" s="1"/>
    </row>
    <row r="334" spans="1:13">
      <c r="A334" s="280" t="s">
        <v>331</v>
      </c>
      <c r="B334" s="279"/>
      <c r="C334" s="277"/>
      <c r="D334" s="280"/>
      <c r="E334" s="279"/>
      <c r="F334" s="280"/>
      <c r="G334" s="280"/>
      <c r="H334" s="280"/>
      <c r="I334" s="277"/>
      <c r="J334" s="277"/>
      <c r="K334" s="60"/>
      <c r="L334" s="273"/>
      <c r="M334" s="1"/>
    </row>
    <row r="335" spans="1:13">
      <c r="A335" s="273"/>
      <c r="B335" s="279"/>
      <c r="C335" s="273"/>
      <c r="D335" s="273"/>
      <c r="E335" s="279"/>
      <c r="F335" s="273"/>
      <c r="G335" s="273"/>
      <c r="H335" s="273"/>
      <c r="I335" s="273"/>
      <c r="J335" s="273"/>
      <c r="K335" s="60"/>
      <c r="L335" s="273"/>
      <c r="M335" s="31"/>
    </row>
    <row r="336" spans="1:13" ht="15.75">
      <c r="A336" s="427" t="str">
        <f>$A$11</f>
        <v>DUKE ENERGY OHIO AND DUKE ENERGY KENTUCKY (DEOK)</v>
      </c>
      <c r="B336" s="279"/>
      <c r="C336" s="273"/>
      <c r="D336" s="273"/>
      <c r="E336" s="279"/>
      <c r="F336" s="273"/>
      <c r="G336" s="273"/>
      <c r="H336" s="273"/>
      <c r="I336" s="273"/>
      <c r="J336" s="273"/>
      <c r="K336" s="60"/>
      <c r="L336" s="273"/>
      <c r="M336" s="31"/>
    </row>
    <row r="337" spans="1:13">
      <c r="A337" s="32"/>
      <c r="B337" s="31"/>
      <c r="C337" s="39"/>
      <c r="D337" s="32"/>
      <c r="E337" s="5"/>
      <c r="F337" s="5"/>
      <c r="G337" s="5"/>
      <c r="H337" s="5"/>
      <c r="I337" s="31"/>
      <c r="J337" s="241"/>
      <c r="K337" s="60"/>
      <c r="L337" s="240"/>
      <c r="M337" s="31"/>
    </row>
    <row r="338" spans="1:13" ht="20.25">
      <c r="A338" s="32"/>
      <c r="B338" s="31"/>
      <c r="C338" s="29" t="s">
        <v>111</v>
      </c>
      <c r="D338" s="32"/>
      <c r="E338" s="5"/>
      <c r="F338" s="5"/>
      <c r="G338" s="5"/>
      <c r="H338" s="5"/>
      <c r="I338" s="31"/>
      <c r="J338" s="5"/>
      <c r="K338" s="60"/>
      <c r="L338" s="5"/>
      <c r="M338" s="242"/>
    </row>
    <row r="339" spans="1:13" ht="20.25">
      <c r="A339" s="32" t="s">
        <v>113</v>
      </c>
      <c r="B339" s="31"/>
      <c r="C339" s="29" t="s">
        <v>371</v>
      </c>
      <c r="D339" s="31"/>
      <c r="E339" s="5"/>
      <c r="F339" s="5"/>
      <c r="G339" s="5"/>
      <c r="H339" s="5"/>
      <c r="I339" s="31"/>
      <c r="J339" s="5"/>
      <c r="K339" s="60"/>
      <c r="L339" s="5"/>
      <c r="M339" s="242"/>
    </row>
    <row r="340" spans="1:13" ht="20.25">
      <c r="A340" s="290" t="s">
        <v>114</v>
      </c>
      <c r="B340" s="31"/>
      <c r="C340" s="29"/>
      <c r="D340" s="31"/>
      <c r="E340" s="5"/>
      <c r="F340" s="5"/>
      <c r="G340" s="5"/>
      <c r="H340" s="5"/>
      <c r="I340" s="31"/>
      <c r="J340" s="5"/>
      <c r="K340" s="60"/>
      <c r="L340" s="5"/>
      <c r="M340" s="242"/>
    </row>
    <row r="341" spans="1:13">
      <c r="A341" s="376" t="s">
        <v>203</v>
      </c>
      <c r="C341" s="853" t="s">
        <v>564</v>
      </c>
      <c r="D341" s="1"/>
      <c r="E341" s="1"/>
      <c r="F341" s="1"/>
      <c r="G341" s="1"/>
      <c r="H341" s="1"/>
      <c r="I341" s="1"/>
      <c r="J341" s="1"/>
      <c r="K341" s="1"/>
      <c r="L341" s="1"/>
      <c r="M341" s="247"/>
    </row>
    <row r="342" spans="1:13">
      <c r="A342" s="376"/>
      <c r="C342" s="853" t="s">
        <v>565</v>
      </c>
      <c r="D342" s="1"/>
      <c r="E342" s="1"/>
      <c r="F342" s="1"/>
      <c r="G342" s="1"/>
      <c r="H342" s="1"/>
      <c r="I342" s="1"/>
      <c r="J342" s="1"/>
      <c r="K342" s="1"/>
      <c r="L342" s="1"/>
      <c r="M342" s="247"/>
    </row>
    <row r="343" spans="1:13">
      <c r="A343" s="376"/>
      <c r="C343" s="853" t="s">
        <v>566</v>
      </c>
      <c r="D343" s="1"/>
      <c r="E343" s="1"/>
      <c r="F343" s="1"/>
      <c r="G343" s="1"/>
      <c r="H343" s="1"/>
      <c r="I343" s="1"/>
      <c r="J343" s="1"/>
      <c r="K343" s="1"/>
      <c r="L343" s="1"/>
      <c r="M343" s="247"/>
    </row>
    <row r="344" spans="1:13">
      <c r="A344" s="376" t="s">
        <v>6</v>
      </c>
      <c r="C344" s="850" t="s">
        <v>405</v>
      </c>
      <c r="D344" s="1"/>
      <c r="E344" s="1"/>
      <c r="F344" s="1"/>
      <c r="G344" s="1"/>
      <c r="H344" s="1"/>
      <c r="I344" s="1"/>
      <c r="J344" s="1"/>
      <c r="K344" s="1"/>
      <c r="L344" s="1"/>
      <c r="M344" s="247"/>
    </row>
    <row r="345" spans="1:13">
      <c r="A345" s="376" t="s">
        <v>463</v>
      </c>
      <c r="C345" s="852" t="s">
        <v>364</v>
      </c>
      <c r="D345" s="1"/>
      <c r="E345" s="247"/>
      <c r="F345" s="247"/>
      <c r="G345" s="247"/>
      <c r="H345" s="247"/>
      <c r="I345" s="247"/>
      <c r="J345" s="247"/>
      <c r="K345" s="247"/>
      <c r="L345" s="247"/>
      <c r="M345" s="247"/>
    </row>
    <row r="346" spans="1:13">
      <c r="A346" s="376" t="s">
        <v>638</v>
      </c>
      <c r="C346" s="851" t="s">
        <v>770</v>
      </c>
      <c r="D346" s="1"/>
      <c r="E346" s="1"/>
      <c r="F346" s="1"/>
      <c r="G346" s="1"/>
      <c r="H346" s="66"/>
      <c r="I346" s="66"/>
      <c r="J346" s="66"/>
      <c r="K346" s="66"/>
      <c r="L346" s="1"/>
      <c r="M346" s="247"/>
    </row>
    <row r="347" spans="1:13">
      <c r="C347" s="851" t="s">
        <v>771</v>
      </c>
      <c r="D347" s="1"/>
      <c r="E347" s="1"/>
      <c r="F347" s="1"/>
      <c r="G347" s="1"/>
      <c r="H347" s="66"/>
      <c r="I347" s="66"/>
      <c r="J347" s="66"/>
      <c r="K347" s="66"/>
      <c r="L347" s="1"/>
      <c r="M347" s="247"/>
    </row>
    <row r="348" spans="1:13" s="863" customFormat="1">
      <c r="A348" s="779" t="s">
        <v>639</v>
      </c>
      <c r="C348" s="863" t="s">
        <v>776</v>
      </c>
      <c r="D348" s="862"/>
      <c r="E348" s="862"/>
      <c r="F348" s="862"/>
      <c r="G348" s="862"/>
      <c r="H348" s="862"/>
      <c r="I348" s="862"/>
      <c r="J348" s="862"/>
      <c r="K348" s="862"/>
      <c r="L348" s="862"/>
      <c r="M348" s="246"/>
    </row>
    <row r="349" spans="1:13" s="863" customFormat="1">
      <c r="A349" s="779"/>
      <c r="C349" s="863" t="s">
        <v>777</v>
      </c>
      <c r="D349" s="862"/>
      <c r="E349" s="862"/>
      <c r="F349" s="862"/>
      <c r="G349" s="862"/>
      <c r="H349" s="862"/>
      <c r="I349" s="862"/>
      <c r="J349" s="862"/>
      <c r="K349" s="862"/>
      <c r="L349" s="862"/>
      <c r="M349" s="246"/>
    </row>
    <row r="350" spans="1:13">
      <c r="A350" s="779" t="s">
        <v>769</v>
      </c>
      <c r="B350" s="67"/>
      <c r="C350" s="863" t="s">
        <v>674</v>
      </c>
      <c r="D350" s="66"/>
      <c r="E350" s="66"/>
      <c r="F350" s="66"/>
      <c r="G350" s="66"/>
      <c r="H350" s="66"/>
      <c r="I350" s="66"/>
      <c r="J350" s="66"/>
      <c r="K350" s="66"/>
      <c r="L350" s="1"/>
      <c r="M350" s="247"/>
    </row>
    <row r="351" spans="1:13">
      <c r="A351" s="67"/>
      <c r="B351" s="67"/>
      <c r="C351" s="66" t="s">
        <v>675</v>
      </c>
      <c r="D351" s="66"/>
      <c r="E351" s="67"/>
      <c r="F351" s="67"/>
      <c r="G351" s="67"/>
      <c r="H351" s="67"/>
      <c r="I351" s="67"/>
      <c r="M351" s="247"/>
    </row>
    <row r="352" spans="1:13">
      <c r="M352" s="80"/>
    </row>
    <row r="353" spans="3:13">
      <c r="M353" s="80"/>
    </row>
    <row r="354" spans="3:13">
      <c r="M354" s="80"/>
    </row>
    <row r="355" spans="3:13">
      <c r="M355" s="80"/>
    </row>
    <row r="356" spans="3:13">
      <c r="M356" s="80"/>
    </row>
    <row r="357" spans="3:13">
      <c r="C357" s="80"/>
      <c r="D357" s="80"/>
      <c r="E357" s="80"/>
      <c r="F357" s="80"/>
      <c r="G357" s="80"/>
      <c r="H357" s="80"/>
      <c r="I357" s="80"/>
      <c r="J357" s="80"/>
      <c r="K357" s="80"/>
      <c r="L357" s="80"/>
      <c r="M357" s="80"/>
    </row>
    <row r="358" spans="3:13">
      <c r="C358" s="80"/>
      <c r="D358" s="80"/>
      <c r="E358" s="80"/>
      <c r="F358" s="80"/>
      <c r="G358" s="80"/>
      <c r="H358" s="80"/>
      <c r="I358" s="80"/>
      <c r="J358" s="80"/>
      <c r="K358" s="80"/>
      <c r="L358" s="80"/>
      <c r="M358" s="80"/>
    </row>
    <row r="359" spans="3:13">
      <c r="C359" s="80"/>
      <c r="D359" s="80"/>
      <c r="E359" s="80"/>
      <c r="F359" s="80"/>
      <c r="G359" s="80"/>
      <c r="H359" s="80"/>
      <c r="I359" s="80"/>
      <c r="J359" s="80"/>
      <c r="K359" s="80"/>
      <c r="L359" s="80"/>
      <c r="M359" s="80"/>
    </row>
    <row r="360" spans="3:13">
      <c r="C360" s="80"/>
      <c r="D360" s="80"/>
      <c r="E360" s="80"/>
      <c r="F360" s="80"/>
      <c r="G360" s="80"/>
      <c r="H360" s="80"/>
      <c r="I360" s="80"/>
      <c r="J360" s="80"/>
      <c r="K360" s="80"/>
      <c r="L360" s="80"/>
      <c r="M360" s="80"/>
    </row>
    <row r="361" spans="3:13">
      <c r="C361" s="80"/>
      <c r="D361" s="80"/>
      <c r="E361" s="80"/>
      <c r="F361" s="80"/>
      <c r="G361" s="80"/>
      <c r="H361" s="80"/>
      <c r="I361" s="80"/>
      <c r="J361" s="80"/>
      <c r="K361" s="80"/>
      <c r="L361" s="80"/>
      <c r="M361" s="80"/>
    </row>
    <row r="362" spans="3:13">
      <c r="C362" s="80"/>
      <c r="D362" s="80"/>
      <c r="E362" s="80"/>
      <c r="F362" s="80"/>
      <c r="G362" s="80"/>
      <c r="H362" s="80"/>
      <c r="I362" s="80"/>
      <c r="J362" s="80"/>
      <c r="K362" s="80"/>
      <c r="L362" s="80"/>
      <c r="M362" s="80"/>
    </row>
    <row r="363" spans="3:13">
      <c r="C363" s="80"/>
      <c r="D363" s="80"/>
      <c r="E363" s="80"/>
      <c r="F363" s="80"/>
      <c r="G363" s="80"/>
      <c r="H363" s="80"/>
      <c r="I363" s="80"/>
      <c r="J363" s="80"/>
      <c r="K363" s="80"/>
      <c r="L363" s="80"/>
      <c r="M363" s="80"/>
    </row>
    <row r="364" spans="3:13">
      <c r="C364" s="80"/>
      <c r="D364" s="80"/>
      <c r="E364" s="80"/>
      <c r="F364" s="80"/>
      <c r="G364" s="80"/>
      <c r="H364" s="80"/>
      <c r="I364" s="80"/>
      <c r="J364" s="80"/>
      <c r="K364" s="80"/>
      <c r="L364" s="80"/>
      <c r="M364" s="80"/>
    </row>
    <row r="365" spans="3:13">
      <c r="C365" s="80"/>
      <c r="D365" s="80"/>
      <c r="E365" s="80"/>
      <c r="F365" s="80"/>
      <c r="G365" s="80"/>
      <c r="H365" s="80"/>
      <c r="I365" s="80"/>
      <c r="J365" s="80"/>
      <c r="K365" s="80"/>
      <c r="L365" s="80"/>
      <c r="M365" s="80"/>
    </row>
    <row r="366" spans="3:13">
      <c r="C366" s="80"/>
      <c r="D366" s="80"/>
      <c r="E366" s="80"/>
      <c r="F366" s="80"/>
      <c r="G366" s="80"/>
      <c r="H366" s="80"/>
      <c r="I366" s="80"/>
      <c r="J366" s="80"/>
      <c r="K366" s="80"/>
      <c r="L366" s="80"/>
      <c r="M366" s="80"/>
    </row>
    <row r="367" spans="3:13">
      <c r="C367" s="80"/>
      <c r="D367" s="80"/>
      <c r="E367" s="80"/>
      <c r="F367" s="80"/>
      <c r="G367" s="80"/>
      <c r="H367" s="80"/>
      <c r="I367" s="80"/>
      <c r="J367" s="80"/>
      <c r="K367" s="80"/>
      <c r="L367" s="80"/>
      <c r="M367" s="80"/>
    </row>
    <row r="368" spans="3:13">
      <c r="C368" s="80"/>
      <c r="D368" s="80"/>
      <c r="E368" s="80"/>
      <c r="F368" s="80"/>
      <c r="G368" s="80"/>
      <c r="H368" s="80"/>
      <c r="I368" s="80"/>
      <c r="J368" s="80"/>
      <c r="K368" s="80"/>
      <c r="L368" s="80"/>
      <c r="M368" s="80"/>
    </row>
    <row r="369" spans="3:13">
      <c r="C369" s="80"/>
      <c r="D369" s="80"/>
      <c r="E369" s="80"/>
      <c r="F369" s="80"/>
      <c r="G369" s="80"/>
      <c r="H369" s="80"/>
      <c r="I369" s="80"/>
      <c r="J369" s="80"/>
      <c r="K369" s="80"/>
      <c r="L369" s="80"/>
      <c r="M369" s="80"/>
    </row>
    <row r="370" spans="3:13">
      <c r="C370" s="80"/>
      <c r="D370" s="80"/>
      <c r="E370" s="80"/>
      <c r="F370" s="80"/>
      <c r="G370" s="80"/>
      <c r="H370" s="80"/>
      <c r="I370" s="80"/>
      <c r="J370" s="80"/>
      <c r="K370" s="80"/>
      <c r="L370" s="80"/>
      <c r="M370" s="80"/>
    </row>
    <row r="371" spans="3:13">
      <c r="C371" s="80"/>
      <c r="D371" s="80"/>
      <c r="E371" s="80"/>
      <c r="F371" s="80"/>
      <c r="G371" s="80"/>
      <c r="H371" s="80"/>
      <c r="I371" s="80"/>
      <c r="J371" s="80"/>
      <c r="K371" s="80"/>
      <c r="L371" s="80"/>
      <c r="M371" s="80"/>
    </row>
    <row r="372" spans="3:13">
      <c r="C372" s="80"/>
      <c r="D372" s="80"/>
      <c r="E372" s="80"/>
      <c r="F372" s="80"/>
      <c r="G372" s="80"/>
      <c r="H372" s="80"/>
      <c r="I372" s="80"/>
      <c r="J372" s="80"/>
      <c r="K372" s="80"/>
      <c r="L372" s="80"/>
      <c r="M372" s="80"/>
    </row>
    <row r="373" spans="3:13">
      <c r="C373" s="80"/>
      <c r="D373" s="80"/>
      <c r="E373" s="80"/>
      <c r="F373" s="80"/>
      <c r="G373" s="80"/>
      <c r="H373" s="80"/>
      <c r="I373" s="80"/>
      <c r="J373" s="80"/>
      <c r="K373" s="80"/>
      <c r="L373" s="80"/>
      <c r="M373" s="80"/>
    </row>
    <row r="374" spans="3:13">
      <c r="C374" s="80"/>
      <c r="D374" s="80"/>
      <c r="E374" s="80"/>
      <c r="F374" s="80"/>
      <c r="G374" s="80"/>
      <c r="H374" s="80"/>
      <c r="I374" s="80"/>
      <c r="J374" s="80"/>
      <c r="K374" s="80"/>
      <c r="L374" s="80"/>
      <c r="M374" s="80"/>
    </row>
    <row r="375" spans="3:13">
      <c r="C375" s="80"/>
      <c r="D375" s="80"/>
      <c r="E375" s="80"/>
      <c r="F375" s="80"/>
      <c r="G375" s="80"/>
      <c r="H375" s="80"/>
      <c r="I375" s="80"/>
      <c r="J375" s="80"/>
      <c r="K375" s="80"/>
      <c r="L375" s="80"/>
      <c r="M375" s="80"/>
    </row>
    <row r="376" spans="3:13">
      <c r="C376" s="80"/>
      <c r="D376" s="80"/>
      <c r="E376" s="80"/>
      <c r="F376" s="80"/>
      <c r="G376" s="80"/>
      <c r="H376" s="80"/>
      <c r="I376" s="80"/>
      <c r="J376" s="80"/>
      <c r="K376" s="80"/>
      <c r="L376" s="80"/>
      <c r="M376" s="80"/>
    </row>
    <row r="377" spans="3:13">
      <c r="C377" s="80"/>
      <c r="D377" s="80"/>
      <c r="E377" s="80"/>
      <c r="F377" s="80"/>
      <c r="G377" s="80"/>
      <c r="H377" s="80"/>
      <c r="I377" s="80"/>
      <c r="J377" s="80"/>
      <c r="K377" s="80"/>
      <c r="L377" s="80"/>
      <c r="M377" s="80"/>
    </row>
    <row r="378" spans="3:13">
      <c r="C378" s="80"/>
      <c r="D378" s="80"/>
      <c r="E378" s="80"/>
      <c r="F378" s="80"/>
      <c r="G378" s="80"/>
      <c r="H378" s="80"/>
      <c r="I378" s="80"/>
      <c r="J378" s="80"/>
      <c r="K378" s="80"/>
      <c r="L378" s="80"/>
      <c r="M378" s="80"/>
    </row>
    <row r="379" spans="3:13">
      <c r="C379" s="80"/>
      <c r="D379" s="80"/>
      <c r="E379" s="80"/>
      <c r="F379" s="80"/>
      <c r="G379" s="80"/>
      <c r="H379" s="80"/>
      <c r="I379" s="80"/>
      <c r="J379" s="80"/>
      <c r="K379" s="80"/>
      <c r="L379" s="80"/>
      <c r="M379" s="80"/>
    </row>
    <row r="380" spans="3:13">
      <c r="C380" s="80"/>
      <c r="D380" s="80"/>
      <c r="E380" s="80"/>
      <c r="F380" s="80"/>
      <c r="G380" s="80"/>
      <c r="H380" s="80"/>
      <c r="I380" s="80"/>
      <c r="J380" s="80"/>
      <c r="K380" s="80"/>
      <c r="L380" s="80"/>
      <c r="M380" s="80"/>
    </row>
    <row r="381" spans="3:13">
      <c r="C381" s="80"/>
      <c r="D381" s="80"/>
      <c r="E381" s="80"/>
      <c r="F381" s="80"/>
      <c r="G381" s="80"/>
      <c r="H381" s="80"/>
      <c r="I381" s="80"/>
      <c r="J381" s="80"/>
      <c r="K381" s="80"/>
      <c r="L381" s="80"/>
      <c r="M381" s="80"/>
    </row>
    <row r="382" spans="3:13">
      <c r="C382" s="80"/>
      <c r="D382" s="80"/>
      <c r="E382" s="80"/>
      <c r="F382" s="80"/>
      <c r="G382" s="80"/>
      <c r="H382" s="80"/>
      <c r="I382" s="80"/>
      <c r="J382" s="80"/>
      <c r="K382" s="80"/>
      <c r="L382" s="80"/>
      <c r="M382" s="80"/>
    </row>
    <row r="383" spans="3:13">
      <c r="C383" s="80"/>
      <c r="D383" s="80"/>
      <c r="E383" s="80"/>
      <c r="F383" s="80"/>
      <c r="G383" s="80"/>
      <c r="H383" s="80"/>
      <c r="I383" s="80"/>
      <c r="J383" s="80"/>
      <c r="K383" s="80"/>
      <c r="L383" s="80"/>
      <c r="M383" s="80"/>
    </row>
    <row r="384" spans="3:13">
      <c r="C384" s="80"/>
      <c r="D384" s="80"/>
      <c r="E384" s="80"/>
      <c r="F384" s="80"/>
      <c r="G384" s="80"/>
      <c r="H384" s="80"/>
      <c r="I384" s="80"/>
      <c r="J384" s="80"/>
      <c r="K384" s="80"/>
      <c r="L384" s="80"/>
      <c r="M384" s="80"/>
    </row>
    <row r="385" spans="3:13">
      <c r="C385" s="80"/>
      <c r="D385" s="80"/>
      <c r="E385" s="80"/>
      <c r="F385" s="80"/>
      <c r="G385" s="80"/>
      <c r="H385" s="80"/>
      <c r="I385" s="80"/>
      <c r="J385" s="80"/>
      <c r="K385" s="80"/>
      <c r="L385" s="80"/>
      <c r="M385" s="80"/>
    </row>
    <row r="386" spans="3:13">
      <c r="C386" s="80"/>
      <c r="D386" s="80"/>
      <c r="E386" s="80"/>
      <c r="F386" s="80"/>
      <c r="G386" s="80"/>
      <c r="H386" s="80"/>
      <c r="I386" s="80"/>
      <c r="J386" s="80"/>
      <c r="K386" s="80"/>
      <c r="L386" s="80"/>
      <c r="M386" s="80"/>
    </row>
    <row r="387" spans="3:13">
      <c r="C387" s="80"/>
      <c r="D387" s="80"/>
      <c r="E387" s="80"/>
      <c r="F387" s="80"/>
      <c r="G387" s="80"/>
      <c r="H387" s="80"/>
      <c r="I387" s="80"/>
      <c r="J387" s="80"/>
      <c r="K387" s="80"/>
      <c r="L387" s="80"/>
      <c r="M387" s="80"/>
    </row>
    <row r="388" spans="3:13">
      <c r="C388" s="80"/>
      <c r="D388" s="80"/>
      <c r="E388" s="80"/>
      <c r="F388" s="80"/>
      <c r="G388" s="80"/>
      <c r="H388" s="80"/>
      <c r="I388" s="80"/>
      <c r="J388" s="80"/>
      <c r="K388" s="80"/>
      <c r="L388" s="80"/>
      <c r="M388" s="80"/>
    </row>
    <row r="389" spans="3:13">
      <c r="C389" s="80"/>
      <c r="D389" s="80"/>
      <c r="E389" s="80"/>
      <c r="F389" s="80"/>
      <c r="G389" s="80"/>
      <c r="H389" s="80"/>
      <c r="I389" s="80"/>
      <c r="J389" s="80"/>
      <c r="K389" s="80"/>
      <c r="L389" s="80"/>
      <c r="M389" s="80"/>
    </row>
    <row r="390" spans="3:13">
      <c r="C390" s="80"/>
      <c r="D390" s="80"/>
      <c r="E390" s="80"/>
      <c r="F390" s="80"/>
      <c r="G390" s="80"/>
      <c r="H390" s="80"/>
      <c r="I390" s="80"/>
      <c r="J390" s="80"/>
      <c r="K390" s="80"/>
      <c r="L390" s="80"/>
      <c r="M390" s="80"/>
    </row>
    <row r="391" spans="3:13">
      <c r="C391" s="80"/>
      <c r="D391" s="80"/>
      <c r="E391" s="80"/>
      <c r="F391" s="80"/>
      <c r="G391" s="80"/>
      <c r="H391" s="80"/>
      <c r="I391" s="80"/>
      <c r="J391" s="80"/>
      <c r="K391" s="80"/>
      <c r="L391" s="80"/>
      <c r="M391" s="80"/>
    </row>
    <row r="392" spans="3:13">
      <c r="C392" s="80"/>
      <c r="D392" s="80"/>
      <c r="E392" s="80"/>
      <c r="F392" s="80"/>
      <c r="G392" s="80"/>
      <c r="H392" s="80"/>
      <c r="I392" s="80"/>
      <c r="J392" s="80"/>
      <c r="K392" s="80"/>
      <c r="L392" s="80"/>
      <c r="M392" s="80"/>
    </row>
    <row r="393" spans="3:13">
      <c r="C393" s="80"/>
      <c r="D393" s="80"/>
      <c r="E393" s="80"/>
      <c r="F393" s="80"/>
      <c r="G393" s="80"/>
      <c r="H393" s="80"/>
      <c r="I393" s="80"/>
      <c r="J393" s="80"/>
      <c r="K393" s="80"/>
      <c r="L393" s="80"/>
      <c r="M393" s="80"/>
    </row>
    <row r="394" spans="3:13">
      <c r="C394" s="80"/>
      <c r="D394" s="80"/>
      <c r="E394" s="80"/>
      <c r="F394" s="80"/>
      <c r="G394" s="80"/>
      <c r="H394" s="80"/>
      <c r="I394" s="80"/>
      <c r="J394" s="80"/>
      <c r="K394" s="80"/>
      <c r="L394" s="80"/>
      <c r="M394" s="80"/>
    </row>
    <row r="395" spans="3:13">
      <c r="C395" s="80"/>
      <c r="D395" s="80"/>
      <c r="E395" s="80"/>
      <c r="F395" s="80"/>
      <c r="G395" s="80"/>
      <c r="H395" s="80"/>
      <c r="I395" s="80"/>
      <c r="J395" s="80"/>
      <c r="K395" s="80"/>
      <c r="L395" s="80"/>
      <c r="M395" s="80"/>
    </row>
    <row r="396" spans="3:13">
      <c r="C396" s="80"/>
      <c r="D396" s="80"/>
      <c r="E396" s="80"/>
      <c r="F396" s="80"/>
      <c r="G396" s="80"/>
      <c r="H396" s="80"/>
      <c r="I396" s="80"/>
      <c r="J396" s="80"/>
      <c r="K396" s="80"/>
      <c r="L396" s="80"/>
      <c r="M396" s="80"/>
    </row>
    <row r="397" spans="3:13">
      <c r="C397" s="80"/>
      <c r="D397" s="80"/>
      <c r="E397" s="80"/>
      <c r="F397" s="80"/>
      <c r="G397" s="80"/>
      <c r="H397" s="80"/>
      <c r="I397" s="80"/>
      <c r="J397" s="80"/>
      <c r="K397" s="80"/>
      <c r="L397" s="80"/>
      <c r="M397" s="80"/>
    </row>
    <row r="398" spans="3:13">
      <c r="C398" s="80"/>
      <c r="D398" s="80"/>
      <c r="E398" s="80"/>
      <c r="F398" s="80"/>
      <c r="G398" s="80"/>
      <c r="H398" s="80"/>
      <c r="I398" s="80"/>
      <c r="J398" s="80"/>
      <c r="K398" s="80"/>
      <c r="L398" s="80"/>
      <c r="M398" s="80"/>
    </row>
    <row r="399" spans="3:13">
      <c r="C399" s="80"/>
      <c r="D399" s="80"/>
      <c r="E399" s="80"/>
      <c r="F399" s="80"/>
      <c r="G399" s="80"/>
      <c r="H399" s="80"/>
      <c r="I399" s="80"/>
      <c r="J399" s="80"/>
      <c r="K399" s="80"/>
      <c r="L399" s="80"/>
      <c r="M399" s="80"/>
    </row>
    <row r="400" spans="3:13">
      <c r="C400" s="80"/>
      <c r="D400" s="80"/>
      <c r="E400" s="80"/>
      <c r="F400" s="80"/>
      <c r="G400" s="80"/>
      <c r="H400" s="80"/>
      <c r="I400" s="80"/>
      <c r="J400" s="80"/>
      <c r="K400" s="80"/>
      <c r="L400" s="80"/>
      <c r="M400" s="80"/>
    </row>
    <row r="401" spans="3:13">
      <c r="C401" s="80"/>
      <c r="D401" s="80"/>
      <c r="E401" s="80"/>
      <c r="F401" s="80"/>
      <c r="G401" s="80"/>
      <c r="H401" s="80"/>
      <c r="I401" s="80"/>
      <c r="J401" s="80"/>
      <c r="K401" s="80"/>
      <c r="L401" s="80"/>
      <c r="M401" s="80"/>
    </row>
    <row r="402" spans="3:13">
      <c r="C402" s="80"/>
      <c r="D402" s="80"/>
      <c r="E402" s="80"/>
      <c r="F402" s="80"/>
      <c r="G402" s="80"/>
      <c r="H402" s="80"/>
      <c r="I402" s="80"/>
      <c r="J402" s="80"/>
      <c r="K402" s="80"/>
      <c r="L402" s="80"/>
      <c r="M402" s="80"/>
    </row>
    <row r="403" spans="3:13">
      <c r="C403" s="80"/>
      <c r="D403" s="80"/>
      <c r="E403" s="80"/>
      <c r="F403" s="80"/>
      <c r="G403" s="80"/>
      <c r="H403" s="80"/>
      <c r="I403" s="80"/>
      <c r="J403" s="80"/>
      <c r="K403" s="80"/>
      <c r="L403" s="80"/>
      <c r="M403" s="80"/>
    </row>
    <row r="404" spans="3:13">
      <c r="C404" s="80"/>
      <c r="D404" s="80"/>
      <c r="E404" s="80"/>
      <c r="F404" s="80"/>
      <c r="G404" s="80"/>
      <c r="H404" s="80"/>
      <c r="I404" s="80"/>
      <c r="J404" s="80"/>
      <c r="K404" s="80"/>
      <c r="L404" s="80"/>
      <c r="M404" s="80"/>
    </row>
    <row r="405" spans="3:13">
      <c r="C405" s="80"/>
      <c r="D405" s="80"/>
      <c r="E405" s="80"/>
      <c r="F405" s="80"/>
      <c r="G405" s="80"/>
      <c r="H405" s="80"/>
      <c r="I405" s="80"/>
      <c r="J405" s="80"/>
      <c r="K405" s="80"/>
      <c r="L405" s="80"/>
      <c r="M405" s="80"/>
    </row>
    <row r="406" spans="3:13">
      <c r="C406" s="80"/>
      <c r="D406" s="80"/>
      <c r="E406" s="80"/>
      <c r="F406" s="80"/>
      <c r="G406" s="80"/>
      <c r="H406" s="80"/>
      <c r="I406" s="80"/>
      <c r="J406" s="80"/>
      <c r="K406" s="80"/>
      <c r="L406" s="80"/>
      <c r="M406" s="80"/>
    </row>
    <row r="407" spans="3:13">
      <c r="C407" s="80"/>
      <c r="D407" s="80"/>
      <c r="E407" s="80"/>
      <c r="F407" s="80"/>
      <c r="G407" s="80"/>
      <c r="H407" s="80"/>
      <c r="I407" s="80"/>
      <c r="J407" s="80"/>
      <c r="K407" s="80"/>
      <c r="L407" s="80"/>
      <c r="M407" s="80"/>
    </row>
    <row r="408" spans="3:13">
      <c r="C408" s="80"/>
      <c r="D408" s="80"/>
      <c r="E408" s="80"/>
      <c r="F408" s="80"/>
      <c r="G408" s="80"/>
      <c r="H408" s="80"/>
      <c r="I408" s="80"/>
      <c r="J408" s="80"/>
      <c r="K408" s="80"/>
      <c r="L408" s="80"/>
      <c r="M408" s="80"/>
    </row>
    <row r="409" spans="3:13">
      <c r="C409" s="80"/>
      <c r="D409" s="80"/>
      <c r="E409" s="80"/>
      <c r="F409" s="80"/>
      <c r="G409" s="80"/>
      <c r="H409" s="80"/>
      <c r="I409" s="80"/>
      <c r="J409" s="80"/>
      <c r="K409" s="80"/>
      <c r="L409" s="80"/>
      <c r="M409" s="80"/>
    </row>
    <row r="410" spans="3:13">
      <c r="C410" s="80"/>
      <c r="D410" s="80"/>
      <c r="E410" s="80"/>
      <c r="F410" s="80"/>
      <c r="G410" s="80"/>
      <c r="H410" s="80"/>
      <c r="I410" s="80"/>
      <c r="J410" s="80"/>
      <c r="K410" s="80"/>
      <c r="L410" s="80"/>
      <c r="M410" s="80"/>
    </row>
    <row r="411" spans="3:13">
      <c r="C411" s="80"/>
      <c r="D411" s="80"/>
      <c r="E411" s="80"/>
      <c r="F411" s="80"/>
      <c r="G411" s="80"/>
      <c r="H411" s="80"/>
      <c r="I411" s="80"/>
      <c r="J411" s="80"/>
      <c r="K411" s="80"/>
      <c r="L411" s="80"/>
      <c r="M411" s="80"/>
    </row>
    <row r="412" spans="3:13">
      <c r="C412" s="80"/>
      <c r="D412" s="80"/>
      <c r="E412" s="80"/>
      <c r="F412" s="80"/>
      <c r="G412" s="80"/>
      <c r="H412" s="80"/>
      <c r="I412" s="80"/>
      <c r="J412" s="80"/>
      <c r="K412" s="80"/>
      <c r="L412" s="80"/>
      <c r="M412" s="80"/>
    </row>
    <row r="413" spans="3:13">
      <c r="C413" s="80"/>
      <c r="D413" s="80"/>
      <c r="E413" s="80"/>
      <c r="F413" s="80"/>
      <c r="G413" s="80"/>
      <c r="H413" s="80"/>
      <c r="I413" s="80"/>
      <c r="J413" s="80"/>
      <c r="K413" s="80"/>
      <c r="L413" s="80"/>
      <c r="M413" s="80"/>
    </row>
    <row r="414" spans="3:13">
      <c r="C414" s="80"/>
      <c r="D414" s="80"/>
      <c r="E414" s="80"/>
      <c r="F414" s="80"/>
      <c r="G414" s="80"/>
      <c r="H414" s="80"/>
      <c r="I414" s="80"/>
      <c r="J414" s="80"/>
      <c r="K414" s="80"/>
      <c r="L414" s="80"/>
      <c r="M414" s="80"/>
    </row>
    <row r="415" spans="3:13">
      <c r="C415" s="80"/>
      <c r="D415" s="80"/>
      <c r="E415" s="80"/>
      <c r="F415" s="80"/>
      <c r="G415" s="80"/>
      <c r="H415" s="80"/>
      <c r="I415" s="80"/>
      <c r="J415" s="80"/>
      <c r="K415" s="80"/>
      <c r="L415" s="80"/>
      <c r="M415" s="80"/>
    </row>
    <row r="416" spans="3:13">
      <c r="C416" s="80"/>
      <c r="D416" s="80"/>
      <c r="E416" s="80"/>
      <c r="F416" s="80"/>
      <c r="G416" s="80"/>
      <c r="H416" s="80"/>
      <c r="I416" s="80"/>
      <c r="J416" s="80"/>
      <c r="K416" s="80"/>
      <c r="L416" s="80"/>
      <c r="M416" s="80"/>
    </row>
    <row r="417" spans="3:13">
      <c r="C417" s="80"/>
      <c r="D417" s="80"/>
      <c r="E417" s="80"/>
      <c r="F417" s="80"/>
      <c r="G417" s="80"/>
      <c r="H417" s="80"/>
      <c r="I417" s="80"/>
      <c r="J417" s="80"/>
      <c r="K417" s="80"/>
      <c r="L417" s="80"/>
      <c r="M417" s="80"/>
    </row>
    <row r="418" spans="3:13">
      <c r="C418" s="80"/>
      <c r="D418" s="80"/>
      <c r="E418" s="80"/>
      <c r="F418" s="80"/>
      <c r="G418" s="80"/>
      <c r="H418" s="80"/>
      <c r="I418" s="80"/>
      <c r="J418" s="80"/>
      <c r="K418" s="80"/>
      <c r="L418" s="80"/>
      <c r="M418" s="80"/>
    </row>
    <row r="419" spans="3:13">
      <c r="C419" s="80"/>
      <c r="D419" s="80"/>
      <c r="E419" s="80"/>
      <c r="F419" s="80"/>
      <c r="G419" s="80"/>
      <c r="H419" s="80"/>
      <c r="I419" s="80"/>
      <c r="J419" s="80"/>
      <c r="K419" s="80"/>
      <c r="L419" s="80"/>
      <c r="M419" s="80"/>
    </row>
    <row r="420" spans="3:13">
      <c r="C420" s="80"/>
      <c r="D420" s="80"/>
      <c r="E420" s="80"/>
      <c r="F420" s="80"/>
      <c r="G420" s="80"/>
      <c r="H420" s="80"/>
      <c r="I420" s="80"/>
      <c r="J420" s="80"/>
      <c r="K420" s="80"/>
      <c r="L420" s="80"/>
      <c r="M420" s="80"/>
    </row>
    <row r="421" spans="3:13">
      <c r="C421" s="80"/>
      <c r="D421" s="80"/>
      <c r="E421" s="80"/>
      <c r="F421" s="80"/>
      <c r="G421" s="80"/>
      <c r="H421" s="80"/>
      <c r="I421" s="80"/>
      <c r="J421" s="80"/>
      <c r="K421" s="80"/>
      <c r="L421" s="80"/>
      <c r="M421" s="80"/>
    </row>
    <row r="422" spans="3:13">
      <c r="C422" s="80"/>
      <c r="D422" s="80"/>
      <c r="E422" s="80"/>
      <c r="F422" s="80"/>
      <c r="G422" s="80"/>
      <c r="H422" s="80"/>
      <c r="I422" s="80"/>
      <c r="J422" s="80"/>
      <c r="K422" s="80"/>
      <c r="L422" s="80"/>
      <c r="M422" s="80"/>
    </row>
    <row r="423" spans="3:13">
      <c r="C423" s="80"/>
      <c r="D423" s="80"/>
      <c r="E423" s="80"/>
      <c r="F423" s="80"/>
      <c r="G423" s="80"/>
      <c r="H423" s="80"/>
      <c r="I423" s="80"/>
      <c r="J423" s="80"/>
      <c r="K423" s="80"/>
      <c r="L423" s="80"/>
      <c r="M423" s="80"/>
    </row>
    <row r="424" spans="3:13">
      <c r="C424" s="80"/>
      <c r="D424" s="80"/>
      <c r="E424" s="80"/>
      <c r="F424" s="80"/>
      <c r="G424" s="80"/>
      <c r="H424" s="80"/>
      <c r="I424" s="80"/>
      <c r="J424" s="80"/>
      <c r="K424" s="80"/>
      <c r="L424" s="80"/>
      <c r="M424" s="80"/>
    </row>
    <row r="425" spans="3:13">
      <c r="C425" s="80"/>
      <c r="D425" s="80"/>
      <c r="E425" s="80"/>
      <c r="F425" s="80"/>
      <c r="G425" s="80"/>
      <c r="H425" s="80"/>
      <c r="I425" s="80"/>
      <c r="J425" s="80"/>
      <c r="K425" s="80"/>
      <c r="L425" s="80"/>
      <c r="M425" s="80"/>
    </row>
    <row r="426" spans="3:13">
      <c r="C426" s="80"/>
      <c r="D426" s="80"/>
      <c r="E426" s="80"/>
      <c r="F426" s="80"/>
      <c r="G426" s="80"/>
      <c r="H426" s="80"/>
      <c r="I426" s="80"/>
      <c r="J426" s="80"/>
      <c r="K426" s="80"/>
      <c r="L426" s="80"/>
      <c r="M426" s="80"/>
    </row>
    <row r="427" spans="3:13">
      <c r="C427" s="80"/>
      <c r="D427" s="80"/>
      <c r="E427" s="80"/>
      <c r="F427" s="80"/>
      <c r="G427" s="80"/>
      <c r="H427" s="80"/>
      <c r="I427" s="80"/>
      <c r="J427" s="80"/>
      <c r="K427" s="80"/>
      <c r="L427" s="80"/>
      <c r="M427" s="80"/>
    </row>
    <row r="428" spans="3:13">
      <c r="C428" s="80"/>
      <c r="D428" s="80"/>
      <c r="E428" s="80"/>
      <c r="F428" s="80"/>
      <c r="G428" s="80"/>
      <c r="H428" s="80"/>
      <c r="I428" s="80"/>
      <c r="J428" s="80"/>
      <c r="K428" s="80"/>
      <c r="L428" s="80"/>
      <c r="M428" s="80"/>
    </row>
    <row r="429" spans="3:13">
      <c r="C429" s="80"/>
      <c r="D429" s="80"/>
      <c r="E429" s="80"/>
      <c r="F429" s="80"/>
      <c r="G429" s="80"/>
      <c r="H429" s="80"/>
      <c r="I429" s="80"/>
      <c r="J429" s="80"/>
      <c r="K429" s="80"/>
      <c r="L429" s="80"/>
      <c r="M429" s="80"/>
    </row>
    <row r="430" spans="3:13">
      <c r="C430" s="80"/>
      <c r="D430" s="80"/>
      <c r="E430" s="80"/>
      <c r="F430" s="80"/>
      <c r="G430" s="80"/>
      <c r="H430" s="80"/>
      <c r="I430" s="80"/>
      <c r="J430" s="80"/>
      <c r="K430" s="80"/>
      <c r="L430" s="80"/>
      <c r="M430" s="80"/>
    </row>
    <row r="431" spans="3:13">
      <c r="C431" s="80"/>
      <c r="D431" s="80"/>
      <c r="E431" s="80"/>
      <c r="F431" s="80"/>
      <c r="G431" s="80"/>
      <c r="H431" s="80"/>
      <c r="I431" s="80"/>
      <c r="J431" s="80"/>
      <c r="K431" s="80"/>
      <c r="L431" s="80"/>
      <c r="M431" s="80"/>
    </row>
    <row r="432" spans="3:13">
      <c r="C432" s="80"/>
      <c r="D432" s="80"/>
      <c r="E432" s="80"/>
      <c r="F432" s="80"/>
      <c r="G432" s="80"/>
      <c r="H432" s="80"/>
      <c r="I432" s="80"/>
      <c r="J432" s="80"/>
      <c r="K432" s="80"/>
      <c r="L432" s="80"/>
      <c r="M432" s="80"/>
    </row>
    <row r="433" spans="3:13">
      <c r="C433" s="80"/>
      <c r="D433" s="80"/>
      <c r="E433" s="80"/>
      <c r="F433" s="80"/>
      <c r="G433" s="80"/>
      <c r="H433" s="80"/>
      <c r="I433" s="80"/>
      <c r="J433" s="80"/>
      <c r="K433" s="80"/>
      <c r="L433" s="80"/>
      <c r="M433" s="80"/>
    </row>
    <row r="434" spans="3:13">
      <c r="C434" s="80"/>
      <c r="D434" s="80"/>
      <c r="E434" s="80"/>
      <c r="F434" s="80"/>
      <c r="G434" s="80"/>
      <c r="H434" s="80"/>
      <c r="I434" s="80"/>
      <c r="J434" s="80"/>
      <c r="K434" s="80"/>
      <c r="L434" s="80"/>
      <c r="M434" s="80"/>
    </row>
    <row r="435" spans="3:13">
      <c r="C435" s="80"/>
      <c r="D435" s="80"/>
      <c r="E435" s="80"/>
      <c r="F435" s="80"/>
      <c r="G435" s="80"/>
      <c r="H435" s="80"/>
      <c r="I435" s="80"/>
      <c r="J435" s="80"/>
      <c r="K435" s="80"/>
      <c r="L435" s="80"/>
      <c r="M435" s="80"/>
    </row>
    <row r="436" spans="3:13">
      <c r="C436" s="80"/>
      <c r="D436" s="80"/>
      <c r="E436" s="80"/>
      <c r="F436" s="80"/>
      <c r="G436" s="80"/>
      <c r="H436" s="80"/>
      <c r="I436" s="80"/>
      <c r="J436" s="80"/>
      <c r="K436" s="80"/>
      <c r="L436" s="80"/>
      <c r="M436" s="80"/>
    </row>
    <row r="437" spans="3:13">
      <c r="C437" s="80"/>
      <c r="D437" s="80"/>
      <c r="E437" s="80"/>
      <c r="F437" s="80"/>
      <c r="G437" s="80"/>
      <c r="H437" s="80"/>
      <c r="I437" s="80"/>
      <c r="J437" s="80"/>
      <c r="K437" s="80"/>
      <c r="L437" s="80"/>
      <c r="M437" s="80"/>
    </row>
    <row r="438" spans="3:13">
      <c r="C438" s="80"/>
      <c r="D438" s="80"/>
      <c r="E438" s="80"/>
      <c r="F438" s="80"/>
      <c r="G438" s="80"/>
      <c r="H438" s="80"/>
      <c r="I438" s="80"/>
      <c r="J438" s="80"/>
      <c r="K438" s="80"/>
      <c r="L438" s="80"/>
      <c r="M438" s="80"/>
    </row>
    <row r="439" spans="3:13">
      <c r="C439" s="80"/>
      <c r="D439" s="80"/>
      <c r="E439" s="80"/>
      <c r="F439" s="80"/>
      <c r="G439" s="80"/>
      <c r="H439" s="80"/>
      <c r="I439" s="80"/>
      <c r="J439" s="80"/>
      <c r="K439" s="80"/>
      <c r="L439" s="80"/>
      <c r="M439" s="80"/>
    </row>
    <row r="440" spans="3:13">
      <c r="C440" s="80"/>
      <c r="D440" s="80"/>
      <c r="E440" s="80"/>
      <c r="F440" s="80"/>
      <c r="G440" s="80"/>
      <c r="H440" s="80"/>
      <c r="I440" s="80"/>
      <c r="J440" s="80"/>
      <c r="K440" s="80"/>
      <c r="L440" s="80"/>
      <c r="M440" s="80"/>
    </row>
    <row r="441" spans="3:13">
      <c r="C441" s="80"/>
      <c r="D441" s="80"/>
      <c r="E441" s="80"/>
      <c r="F441" s="80"/>
      <c r="G441" s="80"/>
      <c r="H441" s="80"/>
      <c r="I441" s="80"/>
      <c r="J441" s="80"/>
      <c r="K441" s="80"/>
      <c r="L441" s="80"/>
      <c r="M441" s="80"/>
    </row>
    <row r="442" spans="3:13">
      <c r="C442" s="80"/>
      <c r="D442" s="80"/>
      <c r="E442" s="80"/>
      <c r="F442" s="80"/>
      <c r="G442" s="80"/>
      <c r="H442" s="80"/>
      <c r="I442" s="80"/>
      <c r="J442" s="80"/>
      <c r="K442" s="80"/>
      <c r="L442" s="80"/>
      <c r="M442" s="80"/>
    </row>
    <row r="443" spans="3:13">
      <c r="C443" s="80"/>
      <c r="D443" s="80"/>
      <c r="E443" s="80"/>
      <c r="F443" s="80"/>
      <c r="G443" s="80"/>
      <c r="H443" s="80"/>
      <c r="I443" s="80"/>
      <c r="J443" s="80"/>
      <c r="K443" s="80"/>
      <c r="L443" s="80"/>
      <c r="M443" s="80"/>
    </row>
    <row r="444" spans="3:13">
      <c r="C444" s="80"/>
      <c r="D444" s="80"/>
      <c r="E444" s="80"/>
      <c r="F444" s="80"/>
      <c r="G444" s="80"/>
      <c r="H444" s="80"/>
      <c r="I444" s="80"/>
      <c r="J444" s="80"/>
      <c r="K444" s="80"/>
      <c r="L444" s="80"/>
      <c r="M444" s="80"/>
    </row>
    <row r="445" spans="3:13">
      <c r="C445" s="80"/>
      <c r="D445" s="80"/>
      <c r="E445" s="80"/>
      <c r="F445" s="80"/>
      <c r="G445" s="80"/>
      <c r="H445" s="80"/>
      <c r="I445" s="80"/>
      <c r="J445" s="80"/>
      <c r="K445" s="80"/>
      <c r="L445" s="80"/>
      <c r="M445" s="80"/>
    </row>
    <row r="446" spans="3:13">
      <c r="C446" s="80"/>
      <c r="D446" s="80"/>
      <c r="E446" s="80"/>
      <c r="F446" s="80"/>
      <c r="G446" s="80"/>
      <c r="H446" s="80"/>
      <c r="I446" s="80"/>
      <c r="J446" s="80"/>
      <c r="K446" s="80"/>
      <c r="L446" s="80"/>
      <c r="M446" s="80"/>
    </row>
    <row r="447" spans="3:13">
      <c r="C447" s="80"/>
      <c r="D447" s="80"/>
      <c r="E447" s="80"/>
      <c r="F447" s="80"/>
      <c r="G447" s="80"/>
      <c r="H447" s="80"/>
      <c r="I447" s="80"/>
      <c r="J447" s="80"/>
      <c r="K447" s="80"/>
      <c r="L447" s="80"/>
      <c r="M447" s="80"/>
    </row>
    <row r="448" spans="3:13">
      <c r="C448" s="80"/>
      <c r="D448" s="80"/>
      <c r="E448" s="80"/>
      <c r="F448" s="80"/>
      <c r="G448" s="80"/>
      <c r="H448" s="80"/>
      <c r="I448" s="80"/>
      <c r="J448" s="80"/>
      <c r="K448" s="80"/>
      <c r="L448" s="80"/>
      <c r="M448" s="80"/>
    </row>
    <row r="449" spans="3:13">
      <c r="C449" s="80"/>
      <c r="D449" s="80"/>
      <c r="E449" s="80"/>
      <c r="F449" s="80"/>
      <c r="G449" s="80"/>
      <c r="H449" s="80"/>
      <c r="I449" s="80"/>
      <c r="J449" s="80"/>
      <c r="K449" s="80"/>
      <c r="L449" s="80"/>
      <c r="M449" s="80"/>
    </row>
    <row r="450" spans="3:13">
      <c r="C450" s="80"/>
      <c r="D450" s="80"/>
      <c r="E450" s="80"/>
      <c r="F450" s="80"/>
      <c r="G450" s="80"/>
      <c r="H450" s="80"/>
      <c r="I450" s="80"/>
      <c r="J450" s="80"/>
      <c r="K450" s="80"/>
      <c r="L450" s="80"/>
      <c r="M450" s="80"/>
    </row>
    <row r="451" spans="3:13">
      <c r="C451" s="80"/>
      <c r="D451" s="80"/>
      <c r="E451" s="80"/>
      <c r="F451" s="80"/>
      <c r="G451" s="80"/>
      <c r="H451" s="80"/>
      <c r="I451" s="80"/>
      <c r="J451" s="80"/>
      <c r="K451" s="80"/>
      <c r="L451" s="80"/>
      <c r="M451" s="80"/>
    </row>
    <row r="452" spans="3:13">
      <c r="C452" s="80"/>
      <c r="D452" s="80"/>
      <c r="E452" s="80"/>
      <c r="F452" s="80"/>
      <c r="G452" s="80"/>
      <c r="H452" s="80"/>
      <c r="I452" s="80"/>
      <c r="J452" s="80"/>
      <c r="K452" s="80"/>
      <c r="L452" s="80"/>
      <c r="M452" s="80"/>
    </row>
    <row r="453" spans="3:13">
      <c r="C453" s="80"/>
      <c r="D453" s="80"/>
      <c r="E453" s="80"/>
      <c r="F453" s="80"/>
      <c r="G453" s="80"/>
      <c r="H453" s="80"/>
      <c r="I453" s="80"/>
      <c r="J453" s="80"/>
      <c r="K453" s="80"/>
      <c r="L453" s="80"/>
      <c r="M453" s="80"/>
    </row>
    <row r="454" spans="3:13">
      <c r="C454" s="80"/>
      <c r="D454" s="80"/>
      <c r="E454" s="80"/>
      <c r="F454" s="80"/>
      <c r="G454" s="80"/>
      <c r="H454" s="80"/>
      <c r="I454" s="80"/>
      <c r="J454" s="80"/>
      <c r="K454" s="80"/>
      <c r="L454" s="80"/>
      <c r="M454" s="80"/>
    </row>
    <row r="455" spans="3:13">
      <c r="C455" s="80"/>
      <c r="D455" s="80"/>
      <c r="E455" s="80"/>
      <c r="F455" s="80"/>
      <c r="G455" s="80"/>
      <c r="H455" s="80"/>
      <c r="I455" s="80"/>
      <c r="J455" s="80"/>
      <c r="K455" s="80"/>
      <c r="L455" s="80"/>
      <c r="M455" s="80"/>
    </row>
    <row r="456" spans="3:13">
      <c r="C456" s="80"/>
      <c r="D456" s="80"/>
      <c r="E456" s="80"/>
      <c r="F456" s="80"/>
      <c r="G456" s="80"/>
      <c r="H456" s="80"/>
      <c r="I456" s="80"/>
      <c r="J456" s="80"/>
      <c r="K456" s="80"/>
      <c r="L456" s="80"/>
      <c r="M456" s="80"/>
    </row>
    <row r="457" spans="3:13">
      <c r="C457" s="80"/>
      <c r="D457" s="80"/>
      <c r="E457" s="80"/>
      <c r="F457" s="80"/>
      <c r="G457" s="80"/>
      <c r="H457" s="80"/>
      <c r="I457" s="80"/>
      <c r="J457" s="80"/>
      <c r="K457" s="80"/>
      <c r="L457" s="80"/>
      <c r="M457" s="80"/>
    </row>
    <row r="458" spans="3:13">
      <c r="C458" s="80"/>
      <c r="D458" s="80"/>
      <c r="E458" s="80"/>
      <c r="F458" s="80"/>
      <c r="G458" s="80"/>
      <c r="H458" s="80"/>
      <c r="I458" s="80"/>
      <c r="J458" s="80"/>
      <c r="K458" s="80"/>
      <c r="L458" s="80"/>
      <c r="M458" s="80"/>
    </row>
    <row r="459" spans="3:13">
      <c r="C459" s="80"/>
      <c r="D459" s="80"/>
      <c r="E459" s="80"/>
      <c r="F459" s="80"/>
      <c r="G459" s="80"/>
      <c r="H459" s="80"/>
      <c r="I459" s="80"/>
      <c r="J459" s="80"/>
      <c r="K459" s="80"/>
      <c r="L459" s="80"/>
      <c r="M459" s="80"/>
    </row>
    <row r="460" spans="3:13">
      <c r="C460" s="80"/>
      <c r="D460" s="80"/>
      <c r="E460" s="80"/>
      <c r="F460" s="80"/>
      <c r="G460" s="80"/>
      <c r="H460" s="80"/>
      <c r="I460" s="80"/>
      <c r="J460" s="80"/>
      <c r="K460" s="80"/>
      <c r="L460" s="80"/>
      <c r="M460" s="80"/>
    </row>
    <row r="461" spans="3:13">
      <c r="C461" s="80"/>
      <c r="D461" s="80"/>
      <c r="E461" s="80"/>
      <c r="F461" s="80"/>
      <c r="G461" s="80"/>
      <c r="H461" s="80"/>
      <c r="I461" s="80"/>
      <c r="J461" s="80"/>
      <c r="K461" s="80"/>
      <c r="L461" s="80"/>
      <c r="M461" s="80"/>
    </row>
    <row r="462" spans="3:13">
      <c r="C462" s="80"/>
      <c r="D462" s="80"/>
      <c r="E462" s="80"/>
      <c r="F462" s="80"/>
      <c r="G462" s="80"/>
      <c r="H462" s="80"/>
      <c r="I462" s="80"/>
      <c r="J462" s="80"/>
      <c r="K462" s="80"/>
      <c r="L462" s="80"/>
      <c r="M462" s="80"/>
    </row>
    <row r="463" spans="3:13">
      <c r="C463" s="80"/>
      <c r="D463" s="80"/>
      <c r="E463" s="80"/>
      <c r="F463" s="80"/>
      <c r="G463" s="80"/>
      <c r="H463" s="80"/>
      <c r="I463" s="80"/>
      <c r="J463" s="80"/>
      <c r="K463" s="80"/>
      <c r="L463" s="80"/>
      <c r="M463" s="80"/>
    </row>
    <row r="464" spans="3:13">
      <c r="C464" s="80"/>
      <c r="D464" s="80"/>
      <c r="E464" s="80"/>
      <c r="F464" s="80"/>
      <c r="G464" s="80"/>
      <c r="H464" s="80"/>
      <c r="I464" s="80"/>
      <c r="J464" s="80"/>
      <c r="K464" s="80"/>
      <c r="L464" s="80"/>
      <c r="M464" s="80"/>
    </row>
    <row r="465" spans="3:13">
      <c r="C465" s="80"/>
      <c r="D465" s="80"/>
      <c r="E465" s="80"/>
      <c r="F465" s="80"/>
      <c r="G465" s="80"/>
      <c r="H465" s="80"/>
      <c r="I465" s="80"/>
      <c r="J465" s="80"/>
      <c r="K465" s="80"/>
      <c r="L465" s="80"/>
      <c r="M465" s="80"/>
    </row>
    <row r="466" spans="3:13">
      <c r="C466" s="80"/>
      <c r="D466" s="80"/>
      <c r="E466" s="80"/>
      <c r="F466" s="80"/>
      <c r="G466" s="80"/>
      <c r="H466" s="80"/>
      <c r="I466" s="80"/>
      <c r="J466" s="80"/>
      <c r="K466" s="80"/>
      <c r="L466" s="80"/>
      <c r="M466" s="80"/>
    </row>
    <row r="467" spans="3:13">
      <c r="C467" s="80"/>
      <c r="D467" s="80"/>
      <c r="E467" s="80"/>
      <c r="F467" s="80"/>
      <c r="G467" s="80"/>
      <c r="H467" s="80"/>
      <c r="I467" s="80"/>
      <c r="J467" s="80"/>
      <c r="K467" s="80"/>
      <c r="L467" s="80"/>
      <c r="M467" s="80"/>
    </row>
    <row r="468" spans="3:13">
      <c r="C468" s="80"/>
      <c r="D468" s="80"/>
      <c r="E468" s="80"/>
      <c r="F468" s="80"/>
      <c r="G468" s="80"/>
      <c r="H468" s="80"/>
      <c r="I468" s="80"/>
      <c r="J468" s="80"/>
      <c r="K468" s="80"/>
      <c r="L468" s="80"/>
      <c r="M468" s="80"/>
    </row>
    <row r="469" spans="3:13">
      <c r="C469" s="80"/>
      <c r="D469" s="80"/>
      <c r="E469" s="80"/>
      <c r="F469" s="80"/>
      <c r="G469" s="80"/>
      <c r="H469" s="80"/>
      <c r="I469" s="80"/>
      <c r="J469" s="80"/>
      <c r="K469" s="80"/>
      <c r="L469" s="80"/>
      <c r="M469" s="80"/>
    </row>
    <row r="470" spans="3:13">
      <c r="C470" s="80"/>
      <c r="D470" s="80"/>
      <c r="E470" s="80"/>
      <c r="F470" s="80"/>
      <c r="G470" s="80"/>
      <c r="H470" s="80"/>
      <c r="I470" s="80"/>
      <c r="J470" s="80"/>
      <c r="K470" s="80"/>
      <c r="L470" s="80"/>
      <c r="M470" s="80"/>
    </row>
    <row r="471" spans="3:13">
      <c r="C471" s="80"/>
      <c r="D471" s="80"/>
      <c r="E471" s="80"/>
      <c r="F471" s="80"/>
      <c r="G471" s="80"/>
      <c r="H471" s="80"/>
      <c r="I471" s="80"/>
      <c r="J471" s="80"/>
      <c r="K471" s="80"/>
      <c r="L471" s="80"/>
      <c r="M471" s="80"/>
    </row>
    <row r="472" spans="3:13">
      <c r="C472" s="80"/>
      <c r="D472" s="80"/>
      <c r="E472" s="80"/>
      <c r="F472" s="80"/>
      <c r="G472" s="80"/>
      <c r="H472" s="80"/>
      <c r="I472" s="80"/>
      <c r="J472" s="80"/>
      <c r="K472" s="80"/>
      <c r="L472" s="80"/>
      <c r="M472" s="80"/>
    </row>
    <row r="473" spans="3:13">
      <c r="C473" s="80"/>
      <c r="D473" s="80"/>
      <c r="E473" s="80"/>
      <c r="F473" s="80"/>
      <c r="G473" s="80"/>
      <c r="H473" s="80"/>
      <c r="I473" s="80"/>
      <c r="J473" s="80"/>
      <c r="K473" s="80"/>
      <c r="L473" s="80"/>
      <c r="M473" s="80"/>
    </row>
    <row r="474" spans="3:13">
      <c r="C474" s="80"/>
      <c r="D474" s="80"/>
      <c r="E474" s="80"/>
      <c r="F474" s="80"/>
      <c r="G474" s="80"/>
      <c r="H474" s="80"/>
      <c r="I474" s="80"/>
      <c r="J474" s="80"/>
      <c r="K474" s="80"/>
      <c r="L474" s="80"/>
      <c r="M474" s="80"/>
    </row>
    <row r="475" spans="3:13">
      <c r="C475" s="80"/>
      <c r="D475" s="80"/>
      <c r="E475" s="80"/>
      <c r="F475" s="80"/>
      <c r="G475" s="80"/>
      <c r="H475" s="80"/>
      <c r="I475" s="80"/>
      <c r="J475" s="80"/>
      <c r="K475" s="80"/>
      <c r="L475" s="80"/>
      <c r="M475" s="80"/>
    </row>
    <row r="476" spans="3:13">
      <c r="C476" s="80"/>
      <c r="D476" s="80"/>
      <c r="E476" s="80"/>
      <c r="F476" s="80"/>
      <c r="G476" s="80"/>
      <c r="H476" s="80"/>
      <c r="I476" s="80"/>
      <c r="J476" s="80"/>
      <c r="K476" s="80"/>
      <c r="L476" s="80"/>
      <c r="M476" s="80"/>
    </row>
    <row r="477" spans="3:13">
      <c r="C477" s="80"/>
      <c r="D477" s="80"/>
      <c r="E477" s="80"/>
      <c r="F477" s="80"/>
      <c r="G477" s="80"/>
      <c r="H477" s="80"/>
      <c r="I477" s="80"/>
      <c r="J477" s="80"/>
      <c r="K477" s="80"/>
      <c r="L477" s="80"/>
      <c r="M477" s="80"/>
    </row>
    <row r="478" spans="3:13">
      <c r="C478" s="80"/>
      <c r="D478" s="80"/>
      <c r="E478" s="80"/>
      <c r="F478" s="80"/>
      <c r="G478" s="80"/>
      <c r="H478" s="80"/>
      <c r="I478" s="80"/>
      <c r="J478" s="80"/>
      <c r="K478" s="80"/>
      <c r="L478" s="80"/>
      <c r="M478" s="80"/>
    </row>
    <row r="479" spans="3:13">
      <c r="C479" s="80"/>
      <c r="D479" s="80"/>
      <c r="E479" s="80"/>
      <c r="F479" s="80"/>
      <c r="G479" s="80"/>
      <c r="H479" s="80"/>
      <c r="I479" s="80"/>
      <c r="J479" s="80"/>
      <c r="K479" s="80"/>
      <c r="L479" s="80"/>
      <c r="M479" s="80"/>
    </row>
    <row r="480" spans="3:13">
      <c r="C480" s="80"/>
      <c r="D480" s="80"/>
      <c r="E480" s="80"/>
      <c r="F480" s="80"/>
      <c r="G480" s="80"/>
      <c r="H480" s="80"/>
      <c r="I480" s="80"/>
      <c r="J480" s="80"/>
      <c r="K480" s="80"/>
      <c r="L480" s="80"/>
      <c r="M480" s="80"/>
    </row>
    <row r="481" spans="3:13">
      <c r="C481" s="80"/>
      <c r="D481" s="80"/>
      <c r="E481" s="80"/>
      <c r="F481" s="80"/>
      <c r="G481" s="80"/>
      <c r="H481" s="80"/>
      <c r="I481" s="80"/>
      <c r="J481" s="80"/>
      <c r="K481" s="80"/>
      <c r="L481" s="80"/>
      <c r="M481" s="80"/>
    </row>
    <row r="482" spans="3:13">
      <c r="C482" s="80"/>
      <c r="D482" s="80"/>
      <c r="E482" s="80"/>
      <c r="F482" s="80"/>
      <c r="G482" s="80"/>
      <c r="H482" s="80"/>
      <c r="I482" s="80"/>
      <c r="J482" s="80"/>
      <c r="K482" s="80"/>
      <c r="L482" s="80"/>
      <c r="M482" s="80"/>
    </row>
    <row r="483" spans="3:13">
      <c r="C483" s="80"/>
      <c r="D483" s="80"/>
      <c r="E483" s="80"/>
      <c r="F483" s="80"/>
      <c r="G483" s="80"/>
      <c r="H483" s="80"/>
      <c r="I483" s="80"/>
      <c r="J483" s="80"/>
      <c r="K483" s="80"/>
      <c r="L483" s="80"/>
      <c r="M483" s="80"/>
    </row>
    <row r="484" spans="3:13">
      <c r="C484" s="80"/>
      <c r="D484" s="80"/>
      <c r="E484" s="80"/>
      <c r="F484" s="80"/>
      <c r="G484" s="80"/>
      <c r="H484" s="80"/>
      <c r="I484" s="80"/>
      <c r="J484" s="80"/>
      <c r="K484" s="80"/>
      <c r="L484" s="80"/>
      <c r="M484" s="80"/>
    </row>
    <row r="485" spans="3:13">
      <c r="C485" s="80"/>
      <c r="D485" s="80"/>
      <c r="E485" s="80"/>
      <c r="F485" s="80"/>
      <c r="G485" s="80"/>
      <c r="H485" s="80"/>
      <c r="I485" s="80"/>
      <c r="J485" s="80"/>
      <c r="K485" s="80"/>
      <c r="L485" s="80"/>
      <c r="M485" s="80"/>
    </row>
    <row r="486" spans="3:13">
      <c r="C486" s="80"/>
      <c r="D486" s="80"/>
      <c r="E486" s="80"/>
      <c r="F486" s="80"/>
      <c r="G486" s="80"/>
      <c r="H486" s="80"/>
      <c r="I486" s="80"/>
      <c r="J486" s="80"/>
      <c r="K486" s="80"/>
      <c r="L486" s="80"/>
      <c r="M486" s="80"/>
    </row>
    <row r="487" spans="3:13">
      <c r="C487" s="80"/>
      <c r="D487" s="80"/>
      <c r="E487" s="80"/>
      <c r="F487" s="80"/>
      <c r="G487" s="80"/>
      <c r="H487" s="80"/>
      <c r="I487" s="80"/>
      <c r="J487" s="80"/>
      <c r="K487" s="80"/>
      <c r="L487" s="80"/>
      <c r="M487" s="80"/>
    </row>
    <row r="488" spans="3:13">
      <c r="C488" s="80"/>
      <c r="D488" s="80"/>
      <c r="E488" s="80"/>
      <c r="F488" s="80"/>
      <c r="G488" s="80"/>
      <c r="H488" s="80"/>
      <c r="I488" s="80"/>
      <c r="J488" s="80"/>
      <c r="K488" s="80"/>
      <c r="L488" s="80"/>
      <c r="M488" s="80"/>
    </row>
    <row r="489" spans="3:13">
      <c r="C489" s="80"/>
      <c r="D489" s="80"/>
      <c r="E489" s="80"/>
      <c r="F489" s="80"/>
      <c r="G489" s="80"/>
      <c r="H489" s="80"/>
      <c r="I489" s="80"/>
      <c r="J489" s="80"/>
      <c r="K489" s="80"/>
      <c r="L489" s="80"/>
      <c r="M489" s="80"/>
    </row>
    <row r="490" spans="3:13">
      <c r="C490" s="80"/>
      <c r="D490" s="80"/>
      <c r="E490" s="80"/>
      <c r="F490" s="80"/>
      <c r="G490" s="80"/>
      <c r="H490" s="80"/>
      <c r="I490" s="80"/>
      <c r="J490" s="80"/>
      <c r="K490" s="80"/>
      <c r="L490" s="80"/>
      <c r="M490" s="80"/>
    </row>
    <row r="491" spans="3:13">
      <c r="C491" s="80"/>
      <c r="D491" s="80"/>
      <c r="E491" s="80"/>
      <c r="F491" s="80"/>
      <c r="G491" s="80"/>
      <c r="H491" s="80"/>
      <c r="I491" s="80"/>
      <c r="J491" s="80"/>
      <c r="K491" s="80"/>
      <c r="L491" s="80"/>
      <c r="M491" s="80"/>
    </row>
    <row r="492" spans="3:13">
      <c r="C492" s="80"/>
      <c r="D492" s="80"/>
      <c r="E492" s="80"/>
      <c r="F492" s="80"/>
      <c r="G492" s="80"/>
      <c r="H492" s="80"/>
      <c r="I492" s="80"/>
      <c r="J492" s="80"/>
      <c r="K492" s="80"/>
      <c r="L492" s="80"/>
      <c r="M492" s="80"/>
    </row>
    <row r="493" spans="3:13">
      <c r="C493" s="80"/>
      <c r="D493" s="80"/>
      <c r="E493" s="80"/>
      <c r="F493" s="80"/>
      <c r="G493" s="80"/>
      <c r="H493" s="80"/>
      <c r="I493" s="80"/>
      <c r="J493" s="80"/>
      <c r="K493" s="80"/>
      <c r="L493" s="80"/>
      <c r="M493" s="80"/>
    </row>
    <row r="494" spans="3:13">
      <c r="C494" s="80"/>
      <c r="D494" s="80"/>
      <c r="E494" s="80"/>
      <c r="F494" s="80"/>
      <c r="G494" s="80"/>
      <c r="H494" s="80"/>
      <c r="I494" s="80"/>
      <c r="J494" s="80"/>
      <c r="K494" s="80"/>
      <c r="L494" s="80"/>
      <c r="M494" s="80"/>
    </row>
    <row r="495" spans="3:13">
      <c r="C495" s="80"/>
      <c r="D495" s="80"/>
      <c r="E495" s="80"/>
      <c r="F495" s="80"/>
      <c r="G495" s="80"/>
      <c r="H495" s="80"/>
      <c r="I495" s="80"/>
      <c r="J495" s="80"/>
      <c r="K495" s="80"/>
      <c r="L495" s="80"/>
      <c r="M495" s="80"/>
    </row>
    <row r="496" spans="3:13">
      <c r="C496" s="80"/>
      <c r="D496" s="80"/>
      <c r="E496" s="80"/>
      <c r="F496" s="80"/>
      <c r="G496" s="80"/>
      <c r="H496" s="80"/>
      <c r="I496" s="80"/>
      <c r="J496" s="80"/>
      <c r="K496" s="80"/>
      <c r="L496" s="80"/>
      <c r="M496" s="80"/>
    </row>
    <row r="497" spans="3:13">
      <c r="C497" s="80"/>
      <c r="D497" s="80"/>
      <c r="E497" s="80"/>
      <c r="F497" s="80"/>
      <c r="G497" s="80"/>
      <c r="H497" s="80"/>
      <c r="I497" s="80"/>
      <c r="J497" s="80"/>
      <c r="K497" s="80"/>
      <c r="L497" s="80"/>
      <c r="M497" s="80"/>
    </row>
    <row r="498" spans="3:13">
      <c r="C498" s="80"/>
      <c r="D498" s="80"/>
      <c r="E498" s="80"/>
      <c r="F498" s="80"/>
      <c r="G498" s="80"/>
      <c r="H498" s="80"/>
      <c r="I498" s="80"/>
      <c r="J498" s="80"/>
      <c r="K498" s="80"/>
      <c r="L498" s="80"/>
      <c r="M498" s="80"/>
    </row>
    <row r="499" spans="3:13">
      <c r="C499" s="80"/>
      <c r="D499" s="80"/>
      <c r="E499" s="80"/>
      <c r="F499" s="80"/>
      <c r="G499" s="80"/>
      <c r="H499" s="80"/>
      <c r="I499" s="80"/>
      <c r="J499" s="80"/>
      <c r="K499" s="80"/>
      <c r="L499" s="80"/>
      <c r="M499" s="80"/>
    </row>
    <row r="500" spans="3:13">
      <c r="C500" s="80"/>
      <c r="D500" s="80"/>
      <c r="E500" s="80"/>
      <c r="F500" s="80"/>
      <c r="G500" s="80"/>
      <c r="H500" s="80"/>
      <c r="I500" s="80"/>
      <c r="J500" s="80"/>
      <c r="K500" s="80"/>
      <c r="L500" s="80"/>
      <c r="M500" s="80"/>
    </row>
    <row r="501" spans="3:13">
      <c r="C501" s="80"/>
      <c r="D501" s="80"/>
      <c r="E501" s="80"/>
      <c r="F501" s="80"/>
      <c r="G501" s="80"/>
      <c r="H501" s="80"/>
      <c r="I501" s="80"/>
      <c r="J501" s="80"/>
      <c r="K501" s="80"/>
      <c r="L501" s="80"/>
      <c r="M501" s="80"/>
    </row>
    <row r="502" spans="3:13">
      <c r="C502" s="80"/>
      <c r="D502" s="80"/>
      <c r="E502" s="80"/>
      <c r="F502" s="80"/>
      <c r="G502" s="80"/>
      <c r="H502" s="80"/>
      <c r="I502" s="80"/>
      <c r="J502" s="80"/>
      <c r="K502" s="80"/>
      <c r="L502" s="80"/>
      <c r="M502" s="80"/>
    </row>
    <row r="503" spans="3:13">
      <c r="C503" s="80"/>
      <c r="D503" s="80"/>
      <c r="E503" s="80"/>
      <c r="F503" s="80"/>
      <c r="G503" s="80"/>
      <c r="H503" s="80"/>
      <c r="I503" s="80"/>
      <c r="J503" s="80"/>
      <c r="K503" s="80"/>
      <c r="L503" s="80"/>
      <c r="M503" s="80"/>
    </row>
    <row r="504" spans="3:13">
      <c r="C504" s="80"/>
      <c r="D504" s="80"/>
      <c r="E504" s="80"/>
      <c r="F504" s="80"/>
      <c r="G504" s="80"/>
      <c r="H504" s="80"/>
      <c r="I504" s="80"/>
      <c r="J504" s="80"/>
      <c r="K504" s="80"/>
      <c r="L504" s="80"/>
      <c r="M504" s="80"/>
    </row>
    <row r="505" spans="3:13">
      <c r="C505" s="80"/>
      <c r="D505" s="80"/>
      <c r="E505" s="80"/>
      <c r="F505" s="80"/>
      <c r="G505" s="80"/>
      <c r="H505" s="80"/>
      <c r="I505" s="80"/>
      <c r="J505" s="80"/>
      <c r="K505" s="80"/>
      <c r="L505" s="80"/>
      <c r="M505" s="80"/>
    </row>
    <row r="506" spans="3:13">
      <c r="C506" s="80"/>
      <c r="D506" s="80"/>
      <c r="E506" s="80"/>
      <c r="F506" s="80"/>
      <c r="G506" s="80"/>
      <c r="H506" s="80"/>
      <c r="I506" s="80"/>
      <c r="J506" s="80"/>
      <c r="K506" s="80"/>
      <c r="L506" s="80"/>
      <c r="M506" s="80"/>
    </row>
    <row r="507" spans="3:13">
      <c r="C507" s="80"/>
      <c r="D507" s="80"/>
      <c r="E507" s="80"/>
      <c r="F507" s="80"/>
      <c r="G507" s="80"/>
      <c r="H507" s="80"/>
      <c r="I507" s="80"/>
      <c r="J507" s="80"/>
      <c r="K507" s="80"/>
      <c r="L507" s="80"/>
      <c r="M507" s="80"/>
    </row>
    <row r="508" spans="3:13">
      <c r="C508" s="80"/>
      <c r="D508" s="80"/>
      <c r="E508" s="80"/>
      <c r="F508" s="80"/>
      <c r="G508" s="80"/>
      <c r="H508" s="80"/>
      <c r="I508" s="80"/>
      <c r="J508" s="80"/>
      <c r="K508" s="80"/>
      <c r="L508" s="80"/>
      <c r="M508" s="80"/>
    </row>
    <row r="509" spans="3:13">
      <c r="C509" s="80"/>
      <c r="D509" s="80"/>
      <c r="E509" s="80"/>
      <c r="F509" s="80"/>
      <c r="G509" s="80"/>
      <c r="H509" s="80"/>
      <c r="I509" s="80"/>
      <c r="J509" s="80"/>
      <c r="K509" s="80"/>
      <c r="L509" s="80"/>
      <c r="M509" s="80"/>
    </row>
    <row r="510" spans="3:13">
      <c r="C510" s="80"/>
      <c r="D510" s="80"/>
      <c r="E510" s="80"/>
      <c r="F510" s="80"/>
      <c r="G510" s="80"/>
      <c r="H510" s="80"/>
      <c r="I510" s="80"/>
      <c r="J510" s="80"/>
      <c r="K510" s="80"/>
      <c r="L510" s="80"/>
      <c r="M510" s="80"/>
    </row>
    <row r="511" spans="3:13">
      <c r="C511" s="80"/>
      <c r="D511" s="80"/>
      <c r="E511" s="80"/>
      <c r="F511" s="80"/>
      <c r="G511" s="80"/>
      <c r="H511" s="80"/>
      <c r="I511" s="80"/>
      <c r="J511" s="80"/>
      <c r="K511" s="80"/>
      <c r="L511" s="80"/>
      <c r="M511" s="80"/>
    </row>
    <row r="512" spans="3:13">
      <c r="C512" s="80"/>
      <c r="D512" s="80"/>
      <c r="E512" s="80"/>
      <c r="F512" s="80"/>
      <c r="G512" s="80"/>
      <c r="H512" s="80"/>
      <c r="I512" s="80"/>
      <c r="J512" s="80"/>
      <c r="K512" s="80"/>
      <c r="L512" s="80"/>
      <c r="M512" s="80"/>
    </row>
    <row r="513" spans="3:13">
      <c r="C513" s="80"/>
      <c r="D513" s="80"/>
      <c r="E513" s="80"/>
      <c r="F513" s="80"/>
      <c r="G513" s="80"/>
      <c r="H513" s="80"/>
      <c r="I513" s="80"/>
      <c r="J513" s="80"/>
      <c r="K513" s="80"/>
      <c r="L513" s="80"/>
      <c r="M513" s="80"/>
    </row>
    <row r="514" spans="3:13">
      <c r="C514" s="80"/>
      <c r="D514" s="80"/>
      <c r="E514" s="80"/>
      <c r="F514" s="80"/>
      <c r="G514" s="80"/>
      <c r="H514" s="80"/>
      <c r="I514" s="80"/>
      <c r="J514" s="80"/>
      <c r="K514" s="80"/>
      <c r="L514" s="80"/>
      <c r="M514" s="80"/>
    </row>
    <row r="515" spans="3:13">
      <c r="C515" s="80"/>
      <c r="D515" s="80"/>
      <c r="E515" s="80"/>
      <c r="F515" s="80"/>
      <c r="G515" s="80"/>
      <c r="H515" s="80"/>
      <c r="I515" s="80"/>
      <c r="J515" s="80"/>
      <c r="K515" s="80"/>
      <c r="L515" s="80"/>
      <c r="M515" s="80"/>
    </row>
    <row r="516" spans="3:13">
      <c r="C516" s="80"/>
      <c r="D516" s="80"/>
      <c r="E516" s="80"/>
      <c r="F516" s="80"/>
      <c r="G516" s="80"/>
      <c r="H516" s="80"/>
      <c r="I516" s="80"/>
      <c r="J516" s="80"/>
      <c r="K516" s="80"/>
      <c r="L516" s="80"/>
      <c r="M516" s="80"/>
    </row>
    <row r="517" spans="3:13">
      <c r="C517" s="80"/>
      <c r="D517" s="80"/>
      <c r="E517" s="80"/>
      <c r="F517" s="80"/>
      <c r="G517" s="80"/>
      <c r="H517" s="80"/>
      <c r="I517" s="80"/>
      <c r="J517" s="80"/>
      <c r="K517" s="80"/>
      <c r="L517" s="80"/>
      <c r="M517" s="80"/>
    </row>
    <row r="518" spans="3:13">
      <c r="C518" s="80"/>
      <c r="D518" s="80"/>
      <c r="E518" s="80"/>
      <c r="F518" s="80"/>
      <c r="G518" s="80"/>
      <c r="H518" s="80"/>
      <c r="I518" s="80"/>
      <c r="J518" s="80"/>
      <c r="K518" s="80"/>
      <c r="L518" s="80"/>
      <c r="M518" s="80"/>
    </row>
    <row r="519" spans="3:13">
      <c r="C519" s="80"/>
      <c r="D519" s="80"/>
      <c r="E519" s="80"/>
      <c r="F519" s="80"/>
      <c r="G519" s="80"/>
      <c r="H519" s="80"/>
      <c r="I519" s="80"/>
      <c r="J519" s="80"/>
      <c r="K519" s="80"/>
      <c r="L519" s="80"/>
      <c r="M519" s="80"/>
    </row>
    <row r="520" spans="3:13">
      <c r="C520" s="80"/>
      <c r="D520" s="80"/>
      <c r="E520" s="80"/>
      <c r="F520" s="80"/>
      <c r="G520" s="80"/>
      <c r="H520" s="80"/>
      <c r="I520" s="80"/>
      <c r="J520" s="80"/>
      <c r="K520" s="80"/>
      <c r="L520" s="80"/>
      <c r="M520" s="80"/>
    </row>
    <row r="521" spans="3:13">
      <c r="C521" s="80"/>
      <c r="D521" s="80"/>
      <c r="E521" s="80"/>
      <c r="F521" s="80"/>
      <c r="G521" s="80"/>
      <c r="H521" s="80"/>
      <c r="I521" s="80"/>
      <c r="J521" s="80"/>
      <c r="K521" s="80"/>
      <c r="L521" s="80"/>
      <c r="M521" s="80"/>
    </row>
    <row r="522" spans="3:13">
      <c r="C522" s="80"/>
      <c r="D522" s="80"/>
      <c r="E522" s="80"/>
      <c r="F522" s="80"/>
      <c r="G522" s="80"/>
      <c r="H522" s="80"/>
      <c r="I522" s="80"/>
      <c r="J522" s="80"/>
      <c r="K522" s="80"/>
      <c r="L522" s="80"/>
      <c r="M522" s="80"/>
    </row>
    <row r="523" spans="3:13">
      <c r="C523" s="80"/>
      <c r="D523" s="80"/>
      <c r="E523" s="80"/>
      <c r="F523" s="80"/>
      <c r="G523" s="80"/>
      <c r="H523" s="80"/>
      <c r="I523" s="80"/>
      <c r="J523" s="80"/>
      <c r="K523" s="80"/>
      <c r="L523" s="80"/>
      <c r="M523" s="80"/>
    </row>
    <row r="524" spans="3:13">
      <c r="C524" s="80"/>
      <c r="D524" s="80"/>
      <c r="E524" s="80"/>
      <c r="F524" s="80"/>
      <c r="G524" s="80"/>
      <c r="H524" s="80"/>
      <c r="I524" s="80"/>
      <c r="J524" s="80"/>
      <c r="K524" s="80"/>
      <c r="L524" s="80"/>
      <c r="M524" s="80"/>
    </row>
    <row r="525" spans="3:13">
      <c r="C525" s="80"/>
      <c r="D525" s="80"/>
      <c r="E525" s="80"/>
      <c r="F525" s="80"/>
      <c r="G525" s="80"/>
      <c r="H525" s="80"/>
      <c r="I525" s="80"/>
      <c r="J525" s="80"/>
      <c r="K525" s="80"/>
      <c r="L525" s="80"/>
      <c r="M525" s="80"/>
    </row>
    <row r="526" spans="3:13">
      <c r="C526" s="80"/>
      <c r="D526" s="80"/>
      <c r="E526" s="80"/>
      <c r="F526" s="80"/>
      <c r="G526" s="80"/>
      <c r="H526" s="80"/>
      <c r="I526" s="80"/>
      <c r="J526" s="80"/>
      <c r="K526" s="80"/>
      <c r="L526" s="80"/>
      <c r="M526" s="80"/>
    </row>
    <row r="527" spans="3:13">
      <c r="C527" s="80"/>
      <c r="D527" s="80"/>
      <c r="E527" s="80"/>
      <c r="F527" s="80"/>
      <c r="G527" s="80"/>
      <c r="H527" s="80"/>
      <c r="I527" s="80"/>
      <c r="J527" s="80"/>
      <c r="K527" s="80"/>
      <c r="L527" s="80"/>
      <c r="M527" s="80"/>
    </row>
    <row r="528" spans="3:13">
      <c r="C528" s="80"/>
      <c r="D528" s="80"/>
      <c r="E528" s="80"/>
      <c r="F528" s="80"/>
      <c r="G528" s="80"/>
      <c r="H528" s="80"/>
      <c r="I528" s="80"/>
      <c r="J528" s="80"/>
      <c r="K528" s="80"/>
      <c r="L528" s="80"/>
      <c r="M528" s="80"/>
    </row>
    <row r="529" spans="3:13">
      <c r="C529" s="80"/>
      <c r="D529" s="80"/>
      <c r="E529" s="80"/>
      <c r="F529" s="80"/>
      <c r="G529" s="80"/>
      <c r="H529" s="80"/>
      <c r="I529" s="80"/>
      <c r="J529" s="80"/>
      <c r="K529" s="80"/>
      <c r="L529" s="80"/>
      <c r="M529" s="80"/>
    </row>
    <row r="530" spans="3:13">
      <c r="C530" s="80"/>
      <c r="D530" s="80"/>
      <c r="E530" s="80"/>
      <c r="F530" s="80"/>
      <c r="G530" s="80"/>
      <c r="H530" s="80"/>
      <c r="I530" s="80"/>
      <c r="J530" s="80"/>
      <c r="K530" s="80"/>
      <c r="L530" s="80"/>
      <c r="M530" s="80"/>
    </row>
    <row r="531" spans="3:13">
      <c r="C531" s="80"/>
      <c r="D531" s="80"/>
      <c r="E531" s="80"/>
      <c r="F531" s="80"/>
      <c r="G531" s="80"/>
      <c r="H531" s="80"/>
      <c r="I531" s="80"/>
      <c r="J531" s="80"/>
      <c r="K531" s="80"/>
      <c r="L531" s="80"/>
      <c r="M531" s="80"/>
    </row>
    <row r="532" spans="3:13">
      <c r="C532" s="80"/>
      <c r="D532" s="80"/>
      <c r="E532" s="80"/>
      <c r="F532" s="80"/>
      <c r="G532" s="80"/>
      <c r="H532" s="80"/>
      <c r="I532" s="80"/>
      <c r="J532" s="80"/>
      <c r="K532" s="80"/>
      <c r="L532" s="80"/>
      <c r="M532" s="80"/>
    </row>
    <row r="533" spans="3:13">
      <c r="C533" s="80"/>
      <c r="D533" s="80"/>
      <c r="E533" s="80"/>
      <c r="F533" s="80"/>
      <c r="G533" s="80"/>
      <c r="H533" s="80"/>
      <c r="I533" s="80"/>
      <c r="J533" s="80"/>
      <c r="K533" s="80"/>
      <c r="L533" s="80"/>
      <c r="M533" s="80"/>
    </row>
    <row r="534" spans="3:13">
      <c r="C534" s="80"/>
      <c r="D534" s="80"/>
      <c r="E534" s="80"/>
      <c r="F534" s="80"/>
      <c r="G534" s="80"/>
      <c r="H534" s="80"/>
      <c r="I534" s="80"/>
      <c r="J534" s="80"/>
      <c r="K534" s="80"/>
      <c r="L534" s="80"/>
      <c r="M534" s="80"/>
    </row>
    <row r="535" spans="3:13">
      <c r="C535" s="80"/>
      <c r="D535" s="80"/>
      <c r="E535" s="80"/>
      <c r="F535" s="80"/>
      <c r="G535" s="80"/>
      <c r="H535" s="80"/>
      <c r="I535" s="80"/>
      <c r="J535" s="80"/>
      <c r="K535" s="80"/>
      <c r="L535" s="80"/>
      <c r="M535" s="80"/>
    </row>
    <row r="536" spans="3:13">
      <c r="C536" s="80"/>
      <c r="D536" s="80"/>
      <c r="E536" s="80"/>
      <c r="F536" s="80"/>
      <c r="G536" s="80"/>
      <c r="H536" s="80"/>
      <c r="I536" s="80"/>
      <c r="J536" s="80"/>
      <c r="K536" s="80"/>
      <c r="L536" s="80"/>
      <c r="M536" s="80"/>
    </row>
    <row r="537" spans="3:13">
      <c r="C537" s="80"/>
      <c r="D537" s="80"/>
      <c r="E537" s="80"/>
      <c r="F537" s="80"/>
      <c r="G537" s="80"/>
      <c r="H537" s="80"/>
      <c r="I537" s="80"/>
      <c r="J537" s="80"/>
      <c r="K537" s="80"/>
      <c r="L537" s="80"/>
      <c r="M537" s="80"/>
    </row>
    <row r="538" spans="3:13">
      <c r="C538" s="80"/>
      <c r="D538" s="80"/>
      <c r="E538" s="80"/>
      <c r="F538" s="80"/>
      <c r="G538" s="80"/>
      <c r="H538" s="80"/>
      <c r="I538" s="80"/>
      <c r="J538" s="80"/>
      <c r="K538" s="80"/>
      <c r="L538" s="80"/>
      <c r="M538" s="80"/>
    </row>
    <row r="539" spans="3:13">
      <c r="C539" s="80"/>
      <c r="D539" s="80"/>
      <c r="E539" s="80"/>
      <c r="F539" s="80"/>
      <c r="G539" s="80"/>
      <c r="H539" s="80"/>
      <c r="I539" s="80"/>
      <c r="J539" s="80"/>
      <c r="K539" s="80"/>
      <c r="L539" s="80"/>
      <c r="M539" s="80"/>
    </row>
    <row r="540" spans="3:13">
      <c r="C540" s="80"/>
      <c r="D540" s="80"/>
      <c r="E540" s="80"/>
      <c r="F540" s="80"/>
      <c r="G540" s="80"/>
      <c r="H540" s="80"/>
      <c r="I540" s="80"/>
      <c r="J540" s="80"/>
      <c r="K540" s="80"/>
      <c r="L540" s="80"/>
      <c r="M540" s="80"/>
    </row>
    <row r="541" spans="3:13">
      <c r="C541" s="80"/>
      <c r="D541" s="80"/>
      <c r="E541" s="80"/>
      <c r="F541" s="80"/>
      <c r="G541" s="80"/>
      <c r="H541" s="80"/>
      <c r="I541" s="80"/>
      <c r="J541" s="80"/>
      <c r="K541" s="80"/>
      <c r="L541" s="80"/>
      <c r="M541" s="80"/>
    </row>
    <row r="542" spans="3:13">
      <c r="C542" s="80"/>
      <c r="D542" s="80"/>
      <c r="E542" s="80"/>
      <c r="F542" s="80"/>
      <c r="G542" s="80"/>
      <c r="H542" s="80"/>
      <c r="I542" s="80"/>
      <c r="J542" s="80"/>
      <c r="K542" s="80"/>
      <c r="L542" s="80"/>
      <c r="M542" s="80"/>
    </row>
    <row r="543" spans="3:13">
      <c r="C543" s="80"/>
      <c r="D543" s="80"/>
      <c r="E543" s="80"/>
      <c r="F543" s="80"/>
      <c r="G543" s="80"/>
      <c r="H543" s="80"/>
      <c r="I543" s="80"/>
      <c r="J543" s="80"/>
      <c r="K543" s="80"/>
      <c r="L543" s="80"/>
      <c r="M543" s="80"/>
    </row>
    <row r="544" spans="3:13">
      <c r="C544" s="80"/>
      <c r="D544" s="80"/>
      <c r="E544" s="80"/>
      <c r="F544" s="80"/>
      <c r="G544" s="80"/>
      <c r="H544" s="80"/>
      <c r="I544" s="80"/>
      <c r="J544" s="80"/>
      <c r="K544" s="80"/>
      <c r="L544" s="80"/>
      <c r="M544" s="80"/>
    </row>
    <row r="545" spans="3:13">
      <c r="C545" s="80"/>
      <c r="D545" s="80"/>
      <c r="E545" s="80"/>
      <c r="F545" s="80"/>
      <c r="G545" s="80"/>
      <c r="H545" s="80"/>
      <c r="I545" s="80"/>
      <c r="J545" s="80"/>
      <c r="K545" s="80"/>
      <c r="L545" s="80"/>
      <c r="M545" s="80"/>
    </row>
    <row r="546" spans="3:13">
      <c r="C546" s="80"/>
      <c r="D546" s="80"/>
      <c r="E546" s="80"/>
      <c r="F546" s="80"/>
      <c r="G546" s="80"/>
      <c r="H546" s="80"/>
      <c r="I546" s="80"/>
      <c r="J546" s="80"/>
      <c r="K546" s="80"/>
      <c r="L546" s="80"/>
      <c r="M546" s="80"/>
    </row>
    <row r="547" spans="3:13">
      <c r="C547" s="80"/>
      <c r="D547" s="80"/>
      <c r="E547" s="80"/>
      <c r="F547" s="80"/>
      <c r="G547" s="80"/>
      <c r="H547" s="80"/>
      <c r="I547" s="80"/>
      <c r="J547" s="80"/>
      <c r="K547" s="80"/>
      <c r="L547" s="80"/>
      <c r="M547" s="80"/>
    </row>
    <row r="548" spans="3:13">
      <c r="C548" s="80"/>
      <c r="D548" s="80"/>
      <c r="E548" s="80"/>
      <c r="F548" s="80"/>
      <c r="G548" s="80"/>
      <c r="H548" s="80"/>
      <c r="I548" s="80"/>
      <c r="J548" s="80"/>
      <c r="K548" s="80"/>
      <c r="L548" s="80"/>
      <c r="M548" s="80"/>
    </row>
    <row r="549" spans="3:13">
      <c r="C549" s="80"/>
      <c r="D549" s="80"/>
      <c r="E549" s="80"/>
      <c r="F549" s="80"/>
      <c r="G549" s="80"/>
      <c r="H549" s="80"/>
      <c r="I549" s="80"/>
      <c r="J549" s="80"/>
      <c r="K549" s="80"/>
      <c r="L549" s="80"/>
      <c r="M549" s="80"/>
    </row>
    <row r="550" spans="3:13">
      <c r="C550" s="80"/>
      <c r="D550" s="80"/>
      <c r="E550" s="80"/>
      <c r="F550" s="80"/>
      <c r="G550" s="80"/>
      <c r="H550" s="80"/>
      <c r="I550" s="80"/>
      <c r="J550" s="80"/>
      <c r="K550" s="80"/>
      <c r="L550" s="80"/>
      <c r="M550" s="80"/>
    </row>
    <row r="551" spans="3:13">
      <c r="C551" s="80"/>
      <c r="D551" s="80"/>
      <c r="E551" s="80"/>
      <c r="F551" s="80"/>
      <c r="G551" s="80"/>
      <c r="H551" s="80"/>
      <c r="I551" s="80"/>
      <c r="J551" s="80"/>
      <c r="K551" s="80"/>
      <c r="L551" s="80"/>
      <c r="M551" s="80"/>
    </row>
    <row r="552" spans="3:13">
      <c r="C552" s="80"/>
      <c r="D552" s="80"/>
      <c r="E552" s="80"/>
      <c r="F552" s="80"/>
      <c r="G552" s="80"/>
      <c r="H552" s="80"/>
      <c r="I552" s="80"/>
      <c r="J552" s="80"/>
      <c r="K552" s="80"/>
      <c r="L552" s="80"/>
      <c r="M552" s="80"/>
    </row>
    <row r="553" spans="3:13">
      <c r="C553" s="80"/>
      <c r="D553" s="80"/>
      <c r="E553" s="80"/>
      <c r="F553" s="80"/>
      <c r="G553" s="80"/>
      <c r="H553" s="80"/>
      <c r="I553" s="80"/>
      <c r="J553" s="80"/>
      <c r="K553" s="80"/>
      <c r="L553" s="80"/>
      <c r="M553" s="80"/>
    </row>
    <row r="554" spans="3:13">
      <c r="C554" s="80"/>
      <c r="D554" s="80"/>
      <c r="E554" s="80"/>
      <c r="F554" s="80"/>
      <c r="G554" s="80"/>
      <c r="H554" s="80"/>
      <c r="I554" s="80"/>
      <c r="J554" s="80"/>
      <c r="K554" s="80"/>
      <c r="L554" s="80"/>
      <c r="M554" s="80"/>
    </row>
    <row r="555" spans="3:13">
      <c r="C555" s="80"/>
      <c r="D555" s="80"/>
      <c r="E555" s="80"/>
      <c r="F555" s="80"/>
      <c r="G555" s="80"/>
      <c r="H555" s="80"/>
      <c r="I555" s="80"/>
      <c r="J555" s="80"/>
      <c r="K555" s="80"/>
      <c r="L555" s="80"/>
      <c r="M555" s="80"/>
    </row>
    <row r="556" spans="3:13">
      <c r="C556" s="80"/>
      <c r="D556" s="80"/>
      <c r="E556" s="80"/>
      <c r="F556" s="80"/>
      <c r="G556" s="80"/>
      <c r="H556" s="80"/>
      <c r="I556" s="80"/>
      <c r="J556" s="80"/>
      <c r="K556" s="80"/>
      <c r="L556" s="80"/>
      <c r="M556" s="80"/>
    </row>
    <row r="557" spans="3:13">
      <c r="C557" s="80"/>
      <c r="D557" s="80"/>
      <c r="E557" s="80"/>
      <c r="F557" s="80"/>
      <c r="G557" s="80"/>
      <c r="H557" s="80"/>
      <c r="I557" s="80"/>
      <c r="J557" s="80"/>
      <c r="K557" s="80"/>
      <c r="L557" s="80"/>
      <c r="M557" s="80"/>
    </row>
    <row r="558" spans="3:13">
      <c r="C558" s="80"/>
      <c r="D558" s="80"/>
      <c r="E558" s="80"/>
      <c r="F558" s="80"/>
      <c r="G558" s="80"/>
      <c r="H558" s="80"/>
      <c r="I558" s="80"/>
      <c r="J558" s="80"/>
      <c r="K558" s="80"/>
      <c r="L558" s="80"/>
      <c r="M558" s="80"/>
    </row>
    <row r="559" spans="3:13">
      <c r="C559" s="80"/>
      <c r="D559" s="80"/>
      <c r="E559" s="80"/>
      <c r="F559" s="80"/>
      <c r="G559" s="80"/>
      <c r="H559" s="80"/>
      <c r="I559" s="80"/>
      <c r="J559" s="80"/>
      <c r="K559" s="80"/>
      <c r="L559" s="80"/>
      <c r="M559" s="80"/>
    </row>
    <row r="560" spans="3:13">
      <c r="C560" s="80"/>
      <c r="D560" s="80"/>
      <c r="E560" s="80"/>
      <c r="F560" s="80"/>
      <c r="G560" s="80"/>
      <c r="H560" s="80"/>
      <c r="I560" s="80"/>
      <c r="J560" s="80"/>
      <c r="K560" s="80"/>
      <c r="L560" s="80"/>
      <c r="M560" s="80"/>
    </row>
    <row r="561" spans="3:13">
      <c r="C561" s="80"/>
      <c r="D561" s="80"/>
      <c r="E561" s="80"/>
      <c r="F561" s="80"/>
      <c r="G561" s="80"/>
      <c r="H561" s="80"/>
      <c r="I561" s="80"/>
      <c r="J561" s="80"/>
      <c r="K561" s="80"/>
      <c r="L561" s="80"/>
      <c r="M561" s="80"/>
    </row>
    <row r="562" spans="3:13">
      <c r="C562" s="80"/>
      <c r="D562" s="80"/>
      <c r="E562" s="80"/>
      <c r="F562" s="80"/>
      <c r="G562" s="80"/>
      <c r="H562" s="80"/>
      <c r="I562" s="80"/>
      <c r="J562" s="80"/>
      <c r="K562" s="80"/>
      <c r="L562" s="80"/>
      <c r="M562" s="80"/>
    </row>
    <row r="563" spans="3:13">
      <c r="C563" s="80"/>
      <c r="D563" s="80"/>
      <c r="E563" s="80"/>
      <c r="F563" s="80"/>
      <c r="G563" s="80"/>
      <c r="H563" s="80"/>
      <c r="I563" s="80"/>
      <c r="J563" s="80"/>
      <c r="K563" s="80"/>
      <c r="L563" s="80"/>
      <c r="M563" s="80"/>
    </row>
    <row r="564" spans="3:13">
      <c r="C564" s="80"/>
      <c r="D564" s="80"/>
      <c r="E564" s="80"/>
      <c r="F564" s="80"/>
      <c r="G564" s="80"/>
      <c r="H564" s="80"/>
      <c r="I564" s="80"/>
      <c r="J564" s="80"/>
      <c r="K564" s="80"/>
      <c r="L564" s="80"/>
      <c r="M564" s="80"/>
    </row>
    <row r="565" spans="3:13">
      <c r="C565" s="80"/>
      <c r="D565" s="80"/>
      <c r="E565" s="80"/>
      <c r="F565" s="80"/>
      <c r="G565" s="80"/>
      <c r="H565" s="80"/>
      <c r="I565" s="80"/>
      <c r="J565" s="80"/>
      <c r="K565" s="80"/>
      <c r="L565" s="80"/>
      <c r="M565" s="80"/>
    </row>
    <row r="566" spans="3:13">
      <c r="C566" s="80"/>
      <c r="D566" s="80"/>
      <c r="E566" s="80"/>
      <c r="F566" s="80"/>
      <c r="G566" s="80"/>
      <c r="H566" s="80"/>
      <c r="I566" s="80"/>
      <c r="J566" s="80"/>
      <c r="K566" s="80"/>
      <c r="L566" s="80"/>
      <c r="M566" s="80"/>
    </row>
    <row r="567" spans="3:13">
      <c r="C567" s="80"/>
      <c r="D567" s="80"/>
      <c r="E567" s="80"/>
      <c r="F567" s="80"/>
      <c r="G567" s="80"/>
      <c r="H567" s="80"/>
      <c r="I567" s="80"/>
      <c r="J567" s="80"/>
      <c r="K567" s="80"/>
      <c r="L567" s="80"/>
      <c r="M567" s="80"/>
    </row>
    <row r="568" spans="3:13">
      <c r="C568" s="80"/>
      <c r="D568" s="80"/>
      <c r="E568" s="80"/>
      <c r="F568" s="80"/>
      <c r="G568" s="80"/>
      <c r="H568" s="80"/>
      <c r="I568" s="80"/>
      <c r="J568" s="80"/>
      <c r="K568" s="80"/>
      <c r="L568" s="80"/>
      <c r="M568" s="80"/>
    </row>
    <row r="569" spans="3:13">
      <c r="C569" s="80"/>
      <c r="D569" s="80"/>
      <c r="E569" s="80"/>
      <c r="F569" s="80"/>
      <c r="G569" s="80"/>
      <c r="H569" s="80"/>
      <c r="I569" s="80"/>
      <c r="J569" s="80"/>
      <c r="K569" s="80"/>
      <c r="L569" s="80"/>
      <c r="M569" s="80"/>
    </row>
    <row r="570" spans="3:13">
      <c r="C570" s="80"/>
      <c r="D570" s="80"/>
      <c r="E570" s="80"/>
      <c r="F570" s="80"/>
      <c r="G570" s="80"/>
      <c r="H570" s="80"/>
      <c r="I570" s="80"/>
      <c r="J570" s="80"/>
      <c r="K570" s="80"/>
      <c r="L570" s="80"/>
      <c r="M570" s="80"/>
    </row>
    <row r="571" spans="3:13">
      <c r="C571" s="80"/>
      <c r="D571" s="80"/>
      <c r="E571" s="80"/>
      <c r="F571" s="80"/>
      <c r="G571" s="80"/>
      <c r="H571" s="80"/>
      <c r="I571" s="80"/>
      <c r="J571" s="80"/>
      <c r="K571" s="80"/>
      <c r="L571" s="80"/>
      <c r="M571" s="80"/>
    </row>
    <row r="572" spans="3:13">
      <c r="C572" s="80"/>
      <c r="D572" s="80"/>
      <c r="E572" s="80"/>
      <c r="F572" s="80"/>
      <c r="G572" s="80"/>
      <c r="H572" s="80"/>
      <c r="I572" s="80"/>
      <c r="J572" s="80"/>
      <c r="K572" s="80"/>
      <c r="L572" s="80"/>
      <c r="M572" s="80"/>
    </row>
    <row r="573" spans="3:13">
      <c r="C573" s="80"/>
      <c r="D573" s="80"/>
      <c r="E573" s="80"/>
      <c r="F573" s="80"/>
      <c r="G573" s="80"/>
      <c r="H573" s="80"/>
      <c r="I573" s="80"/>
      <c r="J573" s="80"/>
      <c r="K573" s="80"/>
      <c r="L573" s="80"/>
      <c r="M573" s="80"/>
    </row>
    <row r="574" spans="3:13">
      <c r="C574" s="80"/>
      <c r="D574" s="80"/>
      <c r="E574" s="80"/>
      <c r="F574" s="80"/>
      <c r="G574" s="80"/>
      <c r="H574" s="80"/>
      <c r="I574" s="80"/>
      <c r="J574" s="80"/>
      <c r="K574" s="80"/>
      <c r="L574" s="80"/>
      <c r="M574" s="80"/>
    </row>
    <row r="575" spans="3:13">
      <c r="C575" s="80"/>
      <c r="D575" s="80"/>
      <c r="E575" s="80"/>
      <c r="F575" s="80"/>
      <c r="G575" s="80"/>
      <c r="H575" s="80"/>
      <c r="I575" s="80"/>
      <c r="J575" s="80"/>
      <c r="K575" s="80"/>
      <c r="L575" s="80"/>
      <c r="M575" s="80"/>
    </row>
    <row r="576" spans="3:13">
      <c r="C576" s="80"/>
      <c r="D576" s="80"/>
      <c r="E576" s="80"/>
      <c r="F576" s="80"/>
      <c r="G576" s="80"/>
      <c r="H576" s="80"/>
      <c r="I576" s="80"/>
      <c r="J576" s="80"/>
      <c r="K576" s="80"/>
      <c r="L576" s="80"/>
      <c r="M576" s="80"/>
    </row>
    <row r="577" spans="3:13">
      <c r="C577" s="80"/>
      <c r="D577" s="80"/>
      <c r="E577" s="80"/>
      <c r="F577" s="80"/>
      <c r="G577" s="80"/>
      <c r="H577" s="80"/>
      <c r="I577" s="80"/>
      <c r="J577" s="80"/>
      <c r="K577" s="80"/>
      <c r="L577" s="80"/>
      <c r="M577" s="80"/>
    </row>
    <row r="578" spans="3:13">
      <c r="C578" s="80"/>
      <c r="D578" s="80"/>
      <c r="E578" s="80"/>
      <c r="F578" s="80"/>
      <c r="G578" s="80"/>
      <c r="H578" s="80"/>
      <c r="I578" s="80"/>
      <c r="J578" s="80"/>
      <c r="K578" s="80"/>
      <c r="L578" s="80"/>
      <c r="M578" s="80"/>
    </row>
    <row r="579" spans="3:13">
      <c r="C579" s="80"/>
      <c r="D579" s="80"/>
      <c r="E579" s="80"/>
      <c r="F579" s="80"/>
      <c r="G579" s="80"/>
      <c r="H579" s="80"/>
      <c r="I579" s="80"/>
      <c r="J579" s="80"/>
      <c r="K579" s="80"/>
      <c r="L579" s="80"/>
      <c r="M579" s="80"/>
    </row>
    <row r="580" spans="3:13">
      <c r="C580" s="80"/>
      <c r="D580" s="80"/>
      <c r="E580" s="80"/>
      <c r="F580" s="80"/>
      <c r="G580" s="80"/>
      <c r="H580" s="80"/>
      <c r="I580" s="80"/>
      <c r="J580" s="80"/>
      <c r="K580" s="80"/>
      <c r="L580" s="80"/>
      <c r="M580" s="80"/>
    </row>
    <row r="581" spans="3:13">
      <c r="C581" s="80"/>
      <c r="D581" s="80"/>
      <c r="E581" s="80"/>
      <c r="F581" s="80"/>
      <c r="G581" s="80"/>
      <c r="H581" s="80"/>
      <c r="I581" s="80"/>
      <c r="J581" s="80"/>
      <c r="K581" s="80"/>
      <c r="L581" s="80"/>
      <c r="M581" s="80"/>
    </row>
    <row r="582" spans="3:13">
      <c r="C582" s="80"/>
      <c r="D582" s="80"/>
      <c r="E582" s="80"/>
      <c r="F582" s="80"/>
      <c r="G582" s="80"/>
      <c r="H582" s="80"/>
      <c r="I582" s="80"/>
      <c r="J582" s="80"/>
      <c r="K582" s="80"/>
      <c r="L582" s="80"/>
      <c r="M582" s="80"/>
    </row>
  </sheetData>
  <phoneticPr fontId="0" type="noConversion"/>
  <printOptions horizontalCentered="1"/>
  <pageMargins left="0.75" right="0.75" top="0.75" bottom="0.5" header="0.25" footer="0.25"/>
  <pageSetup scale="44" orientation="portrait" blackAndWhite="1" r:id="rId1"/>
  <headerFooter alignWithMargins="0"/>
  <rowBreaks count="5" manualBreakCount="5">
    <brk id="57" max="12" man="1"/>
    <brk id="117" max="12" man="1"/>
    <brk id="187" max="12" man="1"/>
    <brk id="263" max="12" man="1"/>
    <brk id="325" max="11" man="1"/>
  </row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>
    <tabColor rgb="FFFF0000"/>
    <pageSetUpPr fitToPage="1"/>
  </sheetPr>
  <dimension ref="A1:L580"/>
  <sheetViews>
    <sheetView zoomScale="88" zoomScaleNormal="88" zoomScaleSheetLayoutView="75" workbookViewId="0">
      <selection activeCell="C22" sqref="C22"/>
    </sheetView>
  </sheetViews>
  <sheetFormatPr defaultColWidth="8.77734375" defaultRowHeight="15"/>
  <cols>
    <col min="1" max="1" width="6" style="12" customWidth="1"/>
    <col min="2" max="2" width="1.44140625" style="12" customWidth="1"/>
    <col min="3" max="3" width="62.77734375" style="12" customWidth="1"/>
    <col min="4" max="4" width="23.88671875" style="12" customWidth="1"/>
    <col min="5" max="5" width="15.5546875" style="12" customWidth="1"/>
    <col min="6" max="6" width="5.77734375" style="12" customWidth="1"/>
    <col min="7" max="7" width="5.6640625" style="12" customWidth="1"/>
    <col min="8" max="8" width="11.77734375" style="12" customWidth="1"/>
    <col min="9" max="9" width="5.77734375" style="12" customWidth="1"/>
    <col min="10" max="10" width="14.88671875" style="12" customWidth="1"/>
    <col min="11" max="11" width="3.44140625" style="12" customWidth="1"/>
    <col min="12" max="12" width="13.109375" style="12" customWidth="1"/>
    <col min="13" max="16384" width="8.77734375" style="12"/>
  </cols>
  <sheetData>
    <row r="1" spans="1:12" ht="18">
      <c r="A1" s="244"/>
      <c r="C1" s="29"/>
      <c r="D1" s="29"/>
      <c r="E1" s="30"/>
      <c r="F1" s="29"/>
      <c r="G1" s="29"/>
      <c r="H1" s="29"/>
      <c r="I1" s="31"/>
      <c r="J1" s="77" t="s">
        <v>369</v>
      </c>
      <c r="K1" s="91"/>
    </row>
    <row r="2" spans="1:12">
      <c r="C2" s="29"/>
      <c r="D2" s="29"/>
      <c r="E2" s="30"/>
      <c r="F2" s="29"/>
      <c r="G2" s="29"/>
      <c r="H2" s="29"/>
      <c r="I2" s="31"/>
      <c r="J2" s="77" t="s">
        <v>570</v>
      </c>
    </row>
    <row r="3" spans="1:12">
      <c r="C3" s="29"/>
      <c r="D3" s="29"/>
      <c r="E3" s="30"/>
      <c r="F3" s="29"/>
      <c r="G3" s="29"/>
      <c r="H3" s="29"/>
      <c r="I3" s="31"/>
      <c r="K3" s="1"/>
    </row>
    <row r="4" spans="1:12">
      <c r="C4" s="29"/>
      <c r="D4" s="29"/>
      <c r="E4" s="30"/>
      <c r="F4" s="29"/>
      <c r="G4" s="29"/>
      <c r="H4" s="29"/>
      <c r="I4" s="31"/>
      <c r="K4" s="1"/>
    </row>
    <row r="5" spans="1:12">
      <c r="C5" s="29"/>
      <c r="D5" s="29"/>
      <c r="E5" s="30"/>
      <c r="F5" s="29"/>
      <c r="G5" s="29"/>
      <c r="H5" s="29"/>
      <c r="I5" s="31"/>
      <c r="K5" s="1"/>
    </row>
    <row r="6" spans="1:12">
      <c r="C6" s="29"/>
      <c r="D6" s="29"/>
      <c r="E6" s="30"/>
      <c r="F6" s="29"/>
      <c r="G6" s="29"/>
      <c r="H6" s="29"/>
      <c r="I6" s="31"/>
      <c r="J6" s="1"/>
      <c r="K6" s="1"/>
    </row>
    <row r="7" spans="1:12">
      <c r="C7" s="29" t="s">
        <v>11</v>
      </c>
      <c r="D7" s="29"/>
      <c r="E7" s="30"/>
      <c r="F7" s="29"/>
      <c r="G7" s="29"/>
      <c r="H7" s="29"/>
      <c r="I7" s="31"/>
      <c r="J7" s="296" t="str">
        <f>'DE Ohio &amp; Kentucky'!J7</f>
        <v>For the 12 months ended: 12/31/2015</v>
      </c>
      <c r="K7" s="1"/>
    </row>
    <row r="8" spans="1:12">
      <c r="A8" s="305" t="str">
        <f>'DE Ohio &amp; Kentucky'!A8</f>
        <v>Rate Formula Template</v>
      </c>
      <c r="B8" s="279"/>
      <c r="C8" s="279"/>
      <c r="D8" s="272"/>
      <c r="E8" s="118"/>
      <c r="F8" s="272"/>
      <c r="G8" s="272"/>
      <c r="H8" s="272"/>
      <c r="I8" s="272"/>
      <c r="J8" s="118"/>
      <c r="K8" s="1"/>
      <c r="L8" s="118"/>
    </row>
    <row r="9" spans="1:12">
      <c r="A9" s="280" t="s">
        <v>331</v>
      </c>
      <c r="B9" s="279"/>
      <c r="C9" s="277"/>
      <c r="D9" s="274"/>
      <c r="E9" s="118"/>
      <c r="F9" s="274"/>
      <c r="G9" s="274"/>
      <c r="H9" s="274"/>
      <c r="I9" s="272"/>
      <c r="J9" s="272"/>
      <c r="K9" s="1"/>
      <c r="L9" s="275"/>
    </row>
    <row r="10" spans="1:12">
      <c r="A10" s="273"/>
      <c r="B10" s="279"/>
      <c r="C10" s="273"/>
      <c r="D10" s="275"/>
      <c r="E10" s="118"/>
      <c r="F10" s="275"/>
      <c r="G10" s="275"/>
      <c r="H10" s="275"/>
      <c r="I10" s="275"/>
      <c r="J10" s="275"/>
      <c r="K10" s="1"/>
      <c r="L10" s="275"/>
    </row>
    <row r="11" spans="1:12" ht="15.75">
      <c r="A11" s="489" t="s">
        <v>215</v>
      </c>
      <c r="B11" s="490"/>
      <c r="C11" s="491"/>
      <c r="D11" s="491"/>
      <c r="E11" s="490"/>
      <c r="F11" s="491"/>
      <c r="G11" s="491"/>
      <c r="H11" s="491"/>
      <c r="I11" s="491"/>
      <c r="J11" s="491"/>
      <c r="K11" s="1"/>
      <c r="L11" s="275"/>
    </row>
    <row r="12" spans="1:12">
      <c r="A12" s="32"/>
      <c r="C12" s="1"/>
      <c r="D12" s="1"/>
      <c r="E12" s="21"/>
      <c r="F12" s="1"/>
      <c r="G12" s="1"/>
      <c r="H12" s="1"/>
      <c r="I12" s="1"/>
      <c r="J12" s="1"/>
      <c r="K12" s="1"/>
      <c r="L12" s="1"/>
    </row>
    <row r="13" spans="1:12">
      <c r="A13" s="32" t="s">
        <v>13</v>
      </c>
      <c r="C13" s="1"/>
      <c r="D13" s="1"/>
      <c r="E13" s="21"/>
      <c r="F13" s="1"/>
      <c r="G13" s="1"/>
      <c r="H13" s="1"/>
      <c r="I13" s="1"/>
      <c r="J13" s="32" t="s">
        <v>14</v>
      </c>
      <c r="K13" s="1"/>
      <c r="L13" s="1"/>
    </row>
    <row r="14" spans="1:12">
      <c r="A14" s="290" t="s">
        <v>15</v>
      </c>
      <c r="B14" s="297"/>
      <c r="C14" s="298"/>
      <c r="D14" s="298"/>
      <c r="E14" s="298"/>
      <c r="F14" s="298"/>
      <c r="G14" s="298"/>
      <c r="H14" s="298"/>
      <c r="I14" s="298"/>
      <c r="J14" s="290" t="s">
        <v>16</v>
      </c>
      <c r="K14" s="1"/>
      <c r="L14" s="1"/>
    </row>
    <row r="15" spans="1:12">
      <c r="A15" s="32">
        <v>1</v>
      </c>
      <c r="C15" s="1" t="s">
        <v>406</v>
      </c>
      <c r="D15" s="1"/>
      <c r="E15" s="2"/>
      <c r="F15" s="1"/>
      <c r="G15" s="1"/>
      <c r="H15" s="1"/>
      <c r="I15" s="1"/>
      <c r="J15" s="36">
        <f>J183</f>
        <v>106439543.80940878</v>
      </c>
      <c r="K15" s="1"/>
      <c r="L15" s="1"/>
    </row>
    <row r="16" spans="1:12">
      <c r="A16" s="32"/>
      <c r="C16" s="1"/>
      <c r="D16" s="1"/>
      <c r="E16" s="1"/>
      <c r="F16" s="1"/>
      <c r="G16" s="1"/>
      <c r="H16" s="1"/>
      <c r="I16" s="1"/>
      <c r="J16" s="2"/>
      <c r="K16" s="1"/>
      <c r="L16" s="1"/>
    </row>
    <row r="17" spans="1:12">
      <c r="A17" s="32"/>
      <c r="C17" s="1"/>
      <c r="D17" s="1"/>
      <c r="E17" s="1"/>
      <c r="F17" s="1"/>
      <c r="G17" s="1"/>
      <c r="H17" s="1"/>
      <c r="I17" s="1"/>
      <c r="J17" s="2"/>
      <c r="K17" s="1"/>
      <c r="L17" s="1"/>
    </row>
    <row r="18" spans="1:12" ht="15.75" thickBot="1">
      <c r="A18" s="32" t="s">
        <v>12</v>
      </c>
      <c r="C18" s="431" t="s">
        <v>444</v>
      </c>
      <c r="E18" s="40" t="s">
        <v>17</v>
      </c>
      <c r="F18" s="5"/>
      <c r="G18" s="49" t="s">
        <v>18</v>
      </c>
      <c r="H18" s="49"/>
      <c r="I18" s="1"/>
      <c r="J18" s="2"/>
      <c r="K18" s="1"/>
      <c r="L18" s="1"/>
    </row>
    <row r="19" spans="1:12">
      <c r="A19" s="32">
        <v>2</v>
      </c>
      <c r="C19" s="3" t="s">
        <v>429</v>
      </c>
      <c r="D19" s="5" t="str">
        <f>'DE Ohio &amp; Kentucky'!D19</f>
        <v>(page 4, line 34)</v>
      </c>
      <c r="E19" s="366">
        <f>J259</f>
        <v>160435</v>
      </c>
      <c r="F19" s="366"/>
      <c r="G19" s="366" t="s">
        <v>19</v>
      </c>
      <c r="H19" s="19">
        <f t="shared" ref="H19:H22" si="0">J$207</f>
        <v>1</v>
      </c>
      <c r="I19" s="366"/>
      <c r="J19" s="366">
        <f>H19*E19</f>
        <v>160435</v>
      </c>
      <c r="K19" s="1"/>
      <c r="L19" s="1"/>
    </row>
    <row r="20" spans="1:12">
      <c r="A20" s="32">
        <v>3</v>
      </c>
      <c r="C20" s="3" t="s">
        <v>465</v>
      </c>
      <c r="D20" s="729" t="str">
        <f>'DE Ohio &amp; Kentucky'!D20</f>
        <v>(page 4, line 35)</v>
      </c>
      <c r="E20" s="225">
        <f>J261</f>
        <v>785680</v>
      </c>
      <c r="F20" s="366"/>
      <c r="G20" s="366" t="str">
        <f>G$19</f>
        <v>TP</v>
      </c>
      <c r="H20" s="19">
        <f t="shared" si="0"/>
        <v>1</v>
      </c>
      <c r="I20" s="366"/>
      <c r="J20" s="225">
        <f>H20*E20</f>
        <v>785680</v>
      </c>
      <c r="K20" s="1"/>
      <c r="L20" s="1"/>
    </row>
    <row r="21" spans="1:12">
      <c r="A21" s="32" t="s">
        <v>360</v>
      </c>
      <c r="C21" s="38" t="s">
        <v>430</v>
      </c>
      <c r="D21" s="5"/>
      <c r="E21" s="287">
        <v>0</v>
      </c>
      <c r="F21" s="366"/>
      <c r="G21" s="366" t="str">
        <f t="shared" ref="G21:G22" si="1">G$19</f>
        <v>TP</v>
      </c>
      <c r="H21" s="19">
        <f t="shared" si="0"/>
        <v>1</v>
      </c>
      <c r="I21" s="366"/>
      <c r="J21" s="225">
        <f>H21*E21</f>
        <v>0</v>
      </c>
      <c r="K21" s="1"/>
      <c r="L21" s="1"/>
    </row>
    <row r="22" spans="1:12">
      <c r="A22" s="32" t="s">
        <v>361</v>
      </c>
      <c r="C22" s="38" t="s">
        <v>561</v>
      </c>
      <c r="D22" s="5"/>
      <c r="E22" s="287">
        <v>0</v>
      </c>
      <c r="F22" s="366"/>
      <c r="G22" s="366" t="str">
        <f t="shared" si="1"/>
        <v>TP</v>
      </c>
      <c r="H22" s="19">
        <f t="shared" si="0"/>
        <v>1</v>
      </c>
      <c r="I22" s="366"/>
      <c r="J22" s="225">
        <f t="shared" ref="J22:J23" si="2">H22*E22</f>
        <v>0</v>
      </c>
      <c r="K22" s="1"/>
      <c r="L22" s="1"/>
    </row>
    <row r="23" spans="1:12">
      <c r="A23" s="32" t="s">
        <v>175</v>
      </c>
      <c r="C23" s="38" t="s">
        <v>556</v>
      </c>
      <c r="D23" s="5"/>
      <c r="E23" s="225">
        <f>'Appx C - DEO(MTEP)'!X88</f>
        <v>2922765.3229865585</v>
      </c>
      <c r="F23" s="366"/>
      <c r="G23" s="366"/>
      <c r="H23" s="510">
        <v>1</v>
      </c>
      <c r="I23" s="366"/>
      <c r="J23" s="225">
        <f t="shared" si="2"/>
        <v>2922765.3229865585</v>
      </c>
      <c r="K23" s="1"/>
      <c r="L23" s="1"/>
    </row>
    <row r="24" spans="1:12">
      <c r="A24" s="32" t="s">
        <v>362</v>
      </c>
      <c r="C24" s="453" t="s">
        <v>557</v>
      </c>
      <c r="D24" s="5"/>
      <c r="E24" s="618">
        <f>'Appx E'!G36</f>
        <v>4.8385864477564411E-3</v>
      </c>
      <c r="F24" s="366"/>
      <c r="G24" s="366"/>
      <c r="H24" s="510">
        <v>1</v>
      </c>
      <c r="I24" s="366"/>
      <c r="J24" s="426">
        <f t="shared" ref="J24" si="3">H24*E24</f>
        <v>4.8385864477564411E-3</v>
      </c>
      <c r="K24" s="1"/>
      <c r="L24" s="1"/>
    </row>
    <row r="25" spans="1:12">
      <c r="A25" s="32">
        <v>6</v>
      </c>
      <c r="C25" s="3" t="s">
        <v>636</v>
      </c>
      <c r="D25" s="1"/>
      <c r="E25" s="17" t="s">
        <v>12</v>
      </c>
      <c r="F25" s="5"/>
      <c r="G25" s="5"/>
      <c r="H25" s="19"/>
      <c r="I25" s="5"/>
      <c r="J25" s="366">
        <f>SUM(J19:J24)</f>
        <v>3868880.3278251449</v>
      </c>
      <c r="K25" s="1"/>
      <c r="L25" s="1"/>
    </row>
    <row r="26" spans="1:12">
      <c r="A26" s="32"/>
      <c r="D26" s="1"/>
      <c r="E26" s="5" t="s">
        <v>12</v>
      </c>
      <c r="F26" s="1"/>
      <c r="G26" s="1"/>
      <c r="H26" s="19"/>
      <c r="I26" s="1"/>
      <c r="K26" s="1"/>
      <c r="L26" s="1"/>
    </row>
    <row r="27" spans="1:12">
      <c r="A27" s="32"/>
      <c r="C27" s="3"/>
      <c r="D27" s="1"/>
      <c r="J27" s="5"/>
      <c r="K27" s="1"/>
      <c r="L27" s="1"/>
    </row>
    <row r="28" spans="1:12" ht="15.75" thickBot="1">
      <c r="A28" s="32">
        <v>7</v>
      </c>
      <c r="C28" s="3" t="s">
        <v>20</v>
      </c>
      <c r="D28" s="729" t="str">
        <f>'DE Ohio &amp; Kentucky'!D29</f>
        <v>(line 1 minus line 6)</v>
      </c>
      <c r="E28" s="17" t="s">
        <v>12</v>
      </c>
      <c r="F28" s="5"/>
      <c r="G28" s="5"/>
      <c r="H28" s="5"/>
      <c r="I28" s="5"/>
      <c r="J28" s="50">
        <f>J15-J25</f>
        <v>102570663.48158364</v>
      </c>
      <c r="K28" s="1"/>
    </row>
    <row r="29" spans="1:12" ht="15.75" thickTop="1">
      <c r="A29" s="32"/>
      <c r="D29" s="1"/>
      <c r="E29" s="17"/>
      <c r="F29" s="5"/>
      <c r="G29" s="5"/>
      <c r="H29" s="5"/>
      <c r="I29" s="5"/>
      <c r="K29" s="1"/>
      <c r="L29" s="442"/>
    </row>
    <row r="30" spans="1:12">
      <c r="A30" s="32"/>
      <c r="D30" s="5"/>
      <c r="J30" s="5"/>
      <c r="K30" s="1"/>
      <c r="L30" s="443"/>
    </row>
    <row r="31" spans="1:12">
      <c r="A31" s="32"/>
      <c r="C31" s="3" t="s">
        <v>378</v>
      </c>
      <c r="D31" s="1"/>
      <c r="E31" s="2"/>
      <c r="F31" s="1"/>
      <c r="G31" s="1"/>
      <c r="H31" s="1"/>
      <c r="I31" s="1"/>
      <c r="J31" s="2"/>
      <c r="K31" s="1"/>
      <c r="L31" s="1"/>
    </row>
    <row r="32" spans="1:12">
      <c r="A32" s="32">
        <v>8</v>
      </c>
      <c r="C32" s="428" t="s">
        <v>434</v>
      </c>
      <c r="E32" s="2"/>
      <c r="F32" s="1"/>
      <c r="G32" s="1"/>
      <c r="H32" s="60"/>
      <c r="I32" s="1"/>
      <c r="J32" s="231">
        <f>MAX(PeakKW_DEO)</f>
        <v>4305000</v>
      </c>
      <c r="K32" s="1"/>
      <c r="L32" s="1"/>
    </row>
    <row r="33" spans="1:12">
      <c r="A33" s="32">
        <v>9</v>
      </c>
      <c r="C33" s="429" t="s">
        <v>435</v>
      </c>
      <c r="E33" s="37"/>
      <c r="F33" s="37"/>
      <c r="G33" s="37"/>
      <c r="H33" s="37"/>
      <c r="I33" s="5"/>
      <c r="J33" s="231">
        <f>'P10 Partner KW'!O18</f>
        <v>3450333</v>
      </c>
      <c r="K33" s="1"/>
      <c r="L33" s="1"/>
    </row>
    <row r="34" spans="1:12">
      <c r="A34" s="32"/>
      <c r="C34" s="3"/>
      <c r="D34" s="1"/>
      <c r="E34" s="1"/>
      <c r="F34" s="1"/>
      <c r="G34" s="1"/>
      <c r="H34" s="1"/>
      <c r="I34" s="1"/>
      <c r="J34" s="232"/>
      <c r="K34" s="1"/>
      <c r="L34" s="1"/>
    </row>
    <row r="35" spans="1:12">
      <c r="A35" s="32">
        <v>10</v>
      </c>
      <c r="C35" s="3" t="s">
        <v>364</v>
      </c>
      <c r="D35" s="1"/>
      <c r="E35" s="36"/>
      <c r="F35" s="36"/>
      <c r="G35" s="36"/>
      <c r="H35" s="36"/>
      <c r="I35" s="36"/>
      <c r="J35" s="36"/>
      <c r="K35" s="1"/>
      <c r="L35" s="1"/>
    </row>
    <row r="36" spans="1:12">
      <c r="A36" s="32">
        <v>11</v>
      </c>
      <c r="C36" s="3" t="s">
        <v>364</v>
      </c>
      <c r="D36" s="1"/>
      <c r="E36" s="36"/>
      <c r="F36" s="36"/>
      <c r="G36" s="36"/>
      <c r="H36" s="36"/>
      <c r="I36" s="36"/>
      <c r="J36" s="36"/>
      <c r="K36" s="1"/>
      <c r="L36" s="1"/>
    </row>
    <row r="37" spans="1:12">
      <c r="A37" s="32">
        <v>12</v>
      </c>
      <c r="C37" s="3" t="s">
        <v>364</v>
      </c>
      <c r="D37" s="1"/>
      <c r="E37" s="36"/>
      <c r="F37" s="36"/>
      <c r="G37" s="36"/>
      <c r="H37" s="36"/>
      <c r="I37" s="36"/>
      <c r="J37" s="36"/>
      <c r="K37" s="1"/>
      <c r="L37" s="1"/>
    </row>
    <row r="38" spans="1:12">
      <c r="A38" s="32">
        <v>13</v>
      </c>
      <c r="C38" s="3" t="s">
        <v>364</v>
      </c>
      <c r="D38" s="1"/>
      <c r="E38" s="36"/>
      <c r="F38" s="36"/>
      <c r="G38" s="36"/>
      <c r="H38" s="36"/>
      <c r="I38" s="36"/>
      <c r="J38" s="36"/>
      <c r="K38" s="1"/>
      <c r="L38" s="1"/>
    </row>
    <row r="39" spans="1:12">
      <c r="A39" s="32">
        <v>14</v>
      </c>
      <c r="C39" s="3" t="s">
        <v>364</v>
      </c>
      <c r="D39" s="1"/>
      <c r="E39" s="36"/>
      <c r="F39" s="36"/>
      <c r="G39" s="36"/>
      <c r="H39" s="36"/>
      <c r="I39" s="36"/>
      <c r="J39" s="36"/>
      <c r="K39" s="1"/>
      <c r="L39" s="1"/>
    </row>
    <row r="40" spans="1:12">
      <c r="A40" s="32"/>
      <c r="C40" s="3"/>
      <c r="D40" s="1"/>
      <c r="E40" s="36"/>
      <c r="F40" s="36"/>
      <c r="G40" s="36"/>
      <c r="H40" s="36"/>
      <c r="I40" s="36"/>
      <c r="J40" s="36"/>
      <c r="K40" s="1"/>
      <c r="L40" s="1"/>
    </row>
    <row r="41" spans="1:12">
      <c r="A41" s="235">
        <v>15</v>
      </c>
      <c r="C41" s="3" t="s">
        <v>334</v>
      </c>
      <c r="D41" s="729" t="str">
        <f>'DE Ohio &amp; Kentucky'!D42</f>
        <v>(line 7 / line 8)</v>
      </c>
      <c r="E41" s="25">
        <f>IF(J32&gt;0,J28/J32,9)</f>
        <v>23.825938090960197</v>
      </c>
      <c r="F41" s="36"/>
      <c r="G41" s="36"/>
      <c r="H41" s="36"/>
      <c r="I41" s="36"/>
      <c r="J41" s="366"/>
      <c r="K41" s="1"/>
      <c r="L41" s="1"/>
    </row>
    <row r="42" spans="1:12">
      <c r="A42" s="235"/>
      <c r="C42" s="3"/>
      <c r="D42" s="1"/>
      <c r="E42" s="25"/>
      <c r="F42" s="36"/>
      <c r="G42" s="36"/>
      <c r="H42" s="36"/>
      <c r="I42" s="36"/>
      <c r="J42" s="366"/>
      <c r="K42" s="1"/>
      <c r="L42" s="1"/>
    </row>
    <row r="43" spans="1:12">
      <c r="A43" s="235">
        <v>16</v>
      </c>
      <c r="C43" s="3" t="s">
        <v>477</v>
      </c>
      <c r="D43" s="729" t="str">
        <f>'DE Ohio &amp; Kentucky'!D44</f>
        <v>(line 7 / line 9)</v>
      </c>
      <c r="E43" s="25">
        <f>IF(J33&gt;0,J28/J33,9)</f>
        <v>29.727757721235498</v>
      </c>
      <c r="F43" s="36"/>
      <c r="G43" s="36"/>
      <c r="H43" s="36"/>
      <c r="I43" s="36"/>
      <c r="J43" s="366"/>
      <c r="K43" s="1"/>
      <c r="L43" s="1"/>
    </row>
    <row r="44" spans="1:12">
      <c r="A44" s="235"/>
      <c r="C44" s="3"/>
      <c r="D44" s="1"/>
      <c r="E44" s="25"/>
      <c r="F44" s="36"/>
      <c r="G44" s="36"/>
      <c r="H44" s="36"/>
      <c r="I44" s="36"/>
      <c r="J44" s="366"/>
      <c r="K44" s="1"/>
      <c r="L44" s="1"/>
    </row>
    <row r="45" spans="1:12">
      <c r="A45" s="235">
        <v>17</v>
      </c>
      <c r="C45" s="3" t="s">
        <v>479</v>
      </c>
      <c r="D45" s="729" t="str">
        <f>'DE Ohio &amp; Kentucky'!D46</f>
        <v>(line 15 / 12)</v>
      </c>
      <c r="E45" s="25">
        <f>ROUND(E41/12,9)</f>
        <v>1.985494841</v>
      </c>
      <c r="F45" s="36"/>
      <c r="G45" s="36"/>
      <c r="H45" s="36"/>
      <c r="I45" s="36"/>
      <c r="J45" s="366"/>
      <c r="K45" s="1"/>
      <c r="L45" s="1"/>
    </row>
    <row r="46" spans="1:12">
      <c r="A46" s="235"/>
      <c r="C46" s="3"/>
      <c r="D46" s="1"/>
      <c r="E46" s="25"/>
      <c r="F46" s="36"/>
      <c r="G46" s="36"/>
      <c r="H46" s="36"/>
      <c r="I46" s="36"/>
      <c r="J46" s="366"/>
      <c r="K46" s="1"/>
      <c r="L46" s="1"/>
    </row>
    <row r="47" spans="1:12">
      <c r="A47" s="235" t="s">
        <v>476</v>
      </c>
      <c r="C47" s="3" t="s">
        <v>481</v>
      </c>
      <c r="D47" s="729" t="str">
        <f>'DE Ohio &amp; Kentucky'!D48</f>
        <v>(line 16 / 12)</v>
      </c>
      <c r="E47" s="25">
        <f>ROUND($E$43/12,9)</f>
        <v>2.4773131429999999</v>
      </c>
      <c r="F47" s="36"/>
      <c r="G47" s="36"/>
      <c r="H47" s="36"/>
      <c r="I47" s="36"/>
      <c r="J47" s="366"/>
      <c r="K47" s="1"/>
      <c r="L47" s="1"/>
    </row>
    <row r="48" spans="1:12">
      <c r="A48" s="235"/>
      <c r="C48" s="3"/>
      <c r="D48" s="1"/>
      <c r="E48" s="25"/>
      <c r="F48" s="36"/>
      <c r="G48" s="36"/>
      <c r="H48" s="36"/>
      <c r="I48" s="36"/>
      <c r="J48" s="366"/>
      <c r="K48" s="1"/>
      <c r="L48" s="1"/>
    </row>
    <row r="49" spans="1:12">
      <c r="A49" s="235"/>
      <c r="C49" s="3"/>
      <c r="D49" s="1"/>
      <c r="E49" s="451" t="s">
        <v>489</v>
      </c>
      <c r="F49" s="212"/>
      <c r="G49" s="212"/>
      <c r="I49" s="36"/>
      <c r="J49" s="451" t="s">
        <v>490</v>
      </c>
      <c r="K49" s="1"/>
      <c r="L49" s="1"/>
    </row>
    <row r="50" spans="1:12">
      <c r="A50" s="235"/>
      <c r="C50" s="3"/>
      <c r="D50" s="1"/>
      <c r="E50" s="451"/>
      <c r="F50" s="212"/>
      <c r="G50" s="212"/>
      <c r="I50" s="36"/>
      <c r="J50" s="451"/>
      <c r="K50" s="1"/>
      <c r="L50" s="1"/>
    </row>
    <row r="51" spans="1:12">
      <c r="A51" s="235">
        <v>18</v>
      </c>
      <c r="C51" s="3" t="s">
        <v>483</v>
      </c>
      <c r="D51" s="729" t="str">
        <f>'DE Ohio &amp; Kentucky'!D52</f>
        <v>(line 16 / 52; line 16 / 52)</v>
      </c>
      <c r="E51" s="25">
        <f>ROUND($E$43/52,9)</f>
        <v>0.57168764800000005</v>
      </c>
      <c r="F51" s="36"/>
      <c r="G51" s="36"/>
      <c r="H51" s="36"/>
      <c r="I51" s="36"/>
      <c r="J51" s="366"/>
      <c r="K51" s="1"/>
      <c r="L51" s="1"/>
    </row>
    <row r="52" spans="1:12">
      <c r="A52" s="235"/>
      <c r="C52" s="3"/>
      <c r="D52" s="1"/>
      <c r="E52" s="25"/>
      <c r="F52" s="36"/>
      <c r="G52" s="36"/>
      <c r="H52" s="36"/>
      <c r="I52" s="36"/>
      <c r="J52" s="366"/>
      <c r="K52" s="1"/>
      <c r="L52" s="1"/>
    </row>
    <row r="53" spans="1:12">
      <c r="A53" s="235">
        <v>19</v>
      </c>
      <c r="C53" s="3" t="s">
        <v>484</v>
      </c>
      <c r="D53" s="729" t="str">
        <f>'DE Ohio &amp; Kentucky'!D54</f>
        <v>(line 16 / 260; line 16 / 365)</v>
      </c>
      <c r="E53" s="25">
        <f>ROUND($E$43/260,9)</f>
        <v>0.11433753000000001</v>
      </c>
      <c r="F53" s="36" t="s">
        <v>491</v>
      </c>
      <c r="G53" s="36"/>
      <c r="H53" s="36"/>
      <c r="I53" s="36"/>
      <c r="J53" s="25">
        <f>ROUND($E$43/365,9)</f>
        <v>8.1445911999999995E-2</v>
      </c>
      <c r="K53" s="1"/>
      <c r="L53" s="1"/>
    </row>
    <row r="54" spans="1:12">
      <c r="A54" s="235"/>
      <c r="C54" s="3"/>
      <c r="D54" s="1"/>
      <c r="E54" s="25"/>
      <c r="F54" s="36"/>
      <c r="G54" s="36"/>
      <c r="H54" s="36"/>
      <c r="I54" s="36"/>
      <c r="J54" s="25"/>
      <c r="K54" s="1"/>
      <c r="L54" s="1"/>
    </row>
    <row r="55" spans="1:12" ht="30">
      <c r="A55" s="235">
        <v>20</v>
      </c>
      <c r="C55" s="3" t="s">
        <v>485</v>
      </c>
      <c r="D55" s="450" t="str">
        <f>'DE Ohio &amp; Kentucky'!D56</f>
        <v>(line 16 / 4,160; line 16 / 8,760 * 1000)</v>
      </c>
      <c r="E55" s="25">
        <f>ROUND(($J$28/$J$33)/4160,4)</f>
        <v>7.1000000000000004E-3</v>
      </c>
      <c r="F55" s="36" t="s">
        <v>492</v>
      </c>
      <c r="G55" s="36"/>
      <c r="H55" s="36"/>
      <c r="I55" s="36"/>
      <c r="J55" s="25">
        <f>ROUND(($J$28/$J$33)/8760*1000,4)</f>
        <v>3.3936000000000002</v>
      </c>
      <c r="K55" s="1"/>
      <c r="L55" s="1"/>
    </row>
    <row r="56" spans="1:12">
      <c r="C56" s="3"/>
      <c r="D56" s="29"/>
      <c r="E56" s="30"/>
      <c r="F56" s="29"/>
      <c r="G56" s="29"/>
      <c r="H56" s="29"/>
      <c r="I56" s="31"/>
      <c r="K56" s="32"/>
      <c r="L56" s="92"/>
    </row>
    <row r="57" spans="1:12" ht="18">
      <c r="A57" s="244"/>
      <c r="C57" s="29"/>
      <c r="D57" s="29"/>
      <c r="E57" s="30"/>
      <c r="F57" s="29"/>
      <c r="G57" s="29"/>
      <c r="H57" s="29"/>
      <c r="I57" s="31"/>
      <c r="J57" s="77" t="s">
        <v>369</v>
      </c>
      <c r="K57" s="91"/>
    </row>
    <row r="58" spans="1:12">
      <c r="C58" s="29"/>
      <c r="D58" s="29"/>
      <c r="E58" s="30"/>
      <c r="F58" s="29"/>
      <c r="G58" s="29"/>
      <c r="H58" s="29"/>
      <c r="I58" s="31"/>
      <c r="J58" s="77" t="s">
        <v>571</v>
      </c>
    </row>
    <row r="59" spans="1:12">
      <c r="C59" s="29"/>
      <c r="D59" s="29"/>
      <c r="E59" s="30"/>
      <c r="F59" s="29"/>
      <c r="G59" s="29"/>
      <c r="H59" s="29"/>
      <c r="I59" s="31"/>
      <c r="K59" s="1"/>
    </row>
    <row r="60" spans="1:12">
      <c r="C60" s="29"/>
      <c r="D60" s="29"/>
      <c r="E60" s="30"/>
      <c r="F60" s="29"/>
      <c r="G60" s="29"/>
      <c r="H60" s="29"/>
      <c r="I60" s="31"/>
      <c r="K60" s="1"/>
    </row>
    <row r="61" spans="1:12">
      <c r="C61" s="29"/>
      <c r="D61" s="29"/>
      <c r="E61" s="30"/>
      <c r="F61" s="29"/>
      <c r="G61" s="29"/>
      <c r="H61" s="29"/>
      <c r="I61" s="31"/>
      <c r="K61" s="5"/>
    </row>
    <row r="62" spans="1:12">
      <c r="C62" s="29"/>
      <c r="D62" s="29"/>
      <c r="E62" s="30"/>
      <c r="F62" s="29"/>
      <c r="G62" s="29"/>
      <c r="H62" s="29"/>
      <c r="I62" s="31"/>
      <c r="J62" s="77"/>
      <c r="K62" s="5"/>
    </row>
    <row r="63" spans="1:12">
      <c r="C63" s="29" t="s">
        <v>11</v>
      </c>
      <c r="D63" s="29"/>
      <c r="E63" s="30"/>
      <c r="F63" s="29"/>
      <c r="G63" s="29"/>
      <c r="H63" s="29"/>
      <c r="I63" s="31"/>
      <c r="J63" s="92" t="str">
        <f>J7</f>
        <v>For the 12 months ended: 12/31/2015</v>
      </c>
      <c r="K63" s="5"/>
    </row>
    <row r="64" spans="1:12">
      <c r="A64" s="277" t="str">
        <f>A8</f>
        <v>Rate Formula Template</v>
      </c>
      <c r="B64" s="279"/>
      <c r="C64" s="279"/>
      <c r="D64" s="272"/>
      <c r="E64" s="118"/>
      <c r="F64" s="272"/>
      <c r="G64" s="272"/>
      <c r="H64" s="272"/>
      <c r="I64" s="272"/>
      <c r="J64" s="118"/>
      <c r="K64" s="5"/>
      <c r="L64" s="118"/>
    </row>
    <row r="65" spans="1:12">
      <c r="A65" s="280" t="s">
        <v>331</v>
      </c>
      <c r="B65" s="279"/>
      <c r="C65" s="277"/>
      <c r="D65" s="274"/>
      <c r="E65" s="118"/>
      <c r="F65" s="274"/>
      <c r="G65" s="274"/>
      <c r="H65" s="274"/>
      <c r="I65" s="272"/>
      <c r="J65" s="272"/>
      <c r="K65" s="5"/>
      <c r="L65" s="275"/>
    </row>
    <row r="66" spans="1:12">
      <c r="A66" s="273"/>
      <c r="B66" s="279"/>
      <c r="C66" s="273"/>
      <c r="D66" s="275"/>
      <c r="E66" s="118"/>
      <c r="F66" s="275"/>
      <c r="G66" s="275"/>
      <c r="H66" s="275"/>
      <c r="I66" s="275"/>
      <c r="J66" s="275"/>
      <c r="K66" s="5"/>
      <c r="L66" s="275"/>
    </row>
    <row r="67" spans="1:12" ht="15.75">
      <c r="A67" s="276" t="s">
        <v>215</v>
      </c>
      <c r="B67" s="279"/>
      <c r="C67" s="273"/>
      <c r="D67" s="275"/>
      <c r="E67" s="118"/>
      <c r="F67" s="275"/>
      <c r="G67" s="275"/>
      <c r="H67" s="275"/>
      <c r="I67" s="275"/>
      <c r="J67" s="275"/>
      <c r="K67" s="5"/>
      <c r="L67" s="275"/>
    </row>
    <row r="68" spans="1:12">
      <c r="C68" s="3"/>
      <c r="D68" s="1"/>
      <c r="E68" s="6"/>
      <c r="F68" s="5"/>
      <c r="G68" s="5"/>
      <c r="H68" s="5"/>
      <c r="I68" s="5"/>
      <c r="J68" s="5"/>
      <c r="K68" s="5"/>
      <c r="L68" s="5"/>
    </row>
    <row r="69" spans="1:12">
      <c r="C69" s="4" t="s">
        <v>24</v>
      </c>
      <c r="D69" s="4" t="s">
        <v>25</v>
      </c>
      <c r="E69" s="4" t="s">
        <v>26</v>
      </c>
      <c r="F69" s="5" t="s">
        <v>12</v>
      </c>
      <c r="G69" s="5"/>
      <c r="H69" s="7" t="s">
        <v>27</v>
      </c>
      <c r="I69" s="5"/>
      <c r="J69" s="8" t="s">
        <v>28</v>
      </c>
      <c r="K69" s="5"/>
      <c r="L69" s="4"/>
    </row>
    <row r="70" spans="1:12" ht="15.75">
      <c r="A70" s="33" t="s">
        <v>13</v>
      </c>
      <c r="C70" s="3"/>
      <c r="D70" s="26" t="s">
        <v>29</v>
      </c>
      <c r="E70" s="436"/>
      <c r="F70" s="436"/>
      <c r="G70" s="436"/>
      <c r="H70" s="33"/>
      <c r="I70" s="436"/>
      <c r="J70" s="33" t="s">
        <v>30</v>
      </c>
      <c r="K70" s="5"/>
      <c r="L70" s="4"/>
    </row>
    <row r="71" spans="1:12" ht="16.5" thickBot="1">
      <c r="A71" s="300" t="s">
        <v>15</v>
      </c>
      <c r="B71" s="292"/>
      <c r="C71" s="291" t="s">
        <v>33</v>
      </c>
      <c r="D71" s="438" t="s">
        <v>31</v>
      </c>
      <c r="E71" s="439" t="s">
        <v>32</v>
      </c>
      <c r="F71" s="10"/>
      <c r="G71" s="440" t="s">
        <v>18</v>
      </c>
      <c r="H71" s="440"/>
      <c r="I71" s="10"/>
      <c r="J71" s="437" t="s">
        <v>424</v>
      </c>
      <c r="K71" s="5"/>
      <c r="L71" s="4"/>
    </row>
    <row r="72" spans="1:12">
      <c r="D72" s="5"/>
      <c r="E72" s="5"/>
      <c r="F72" s="5"/>
      <c r="G72" s="5"/>
      <c r="H72" s="5"/>
      <c r="I72" s="5"/>
      <c r="J72" s="5"/>
      <c r="K72" s="5"/>
      <c r="L72" s="5"/>
    </row>
    <row r="73" spans="1:12">
      <c r="A73" s="32"/>
      <c r="C73" s="3"/>
      <c r="D73" s="5"/>
      <c r="E73" s="5"/>
      <c r="F73" s="5"/>
      <c r="G73" s="5"/>
      <c r="H73" s="5"/>
      <c r="I73" s="5"/>
      <c r="J73" s="5"/>
      <c r="K73" s="5"/>
      <c r="L73" s="5"/>
    </row>
    <row r="74" spans="1:12">
      <c r="A74" s="32"/>
      <c r="C74" s="787" t="s">
        <v>34</v>
      </c>
      <c r="D74" s="5"/>
      <c r="E74" s="5"/>
      <c r="F74" s="5"/>
      <c r="G74" s="5"/>
      <c r="H74" s="5"/>
      <c r="I74" s="5"/>
      <c r="J74" s="5"/>
      <c r="K74" s="5"/>
      <c r="L74" s="5"/>
    </row>
    <row r="75" spans="1:12">
      <c r="A75" s="32">
        <v>1</v>
      </c>
      <c r="C75" s="787" t="s">
        <v>35</v>
      </c>
      <c r="D75" s="956" t="str">
        <f>'DE Ohio &amp; Kentucky'!D76</f>
        <v>205.46.g</v>
      </c>
      <c r="E75" s="494">
        <f>INPUT!C9</f>
        <v>0</v>
      </c>
      <c r="F75" s="5"/>
      <c r="G75" s="5" t="s">
        <v>36</v>
      </c>
      <c r="H75" s="14" t="s">
        <v>12</v>
      </c>
      <c r="I75" s="5"/>
      <c r="J75" s="227" t="s">
        <v>12</v>
      </c>
      <c r="K75" s="5"/>
      <c r="L75" s="5"/>
    </row>
    <row r="76" spans="1:12">
      <c r="A76" s="32">
        <v>2</v>
      </c>
      <c r="C76" s="787" t="s">
        <v>37</v>
      </c>
      <c r="D76" s="956" t="str">
        <f>'DE Ohio &amp; Kentucky'!D77</f>
        <v>207.58.g</v>
      </c>
      <c r="E76" s="368">
        <f>INPUT!C10</f>
        <v>722095646</v>
      </c>
      <c r="F76" s="5"/>
      <c r="G76" s="5" t="s">
        <v>19</v>
      </c>
      <c r="H76" s="14">
        <f>J207</f>
        <v>1</v>
      </c>
      <c r="I76" s="5"/>
      <c r="J76" s="84">
        <f>ROUND(H76*E76,0)</f>
        <v>722095646</v>
      </c>
      <c r="K76" s="5"/>
      <c r="L76" s="5"/>
    </row>
    <row r="77" spans="1:12">
      <c r="A77" s="32">
        <v>3</v>
      </c>
      <c r="C77" s="787" t="s">
        <v>38</v>
      </c>
      <c r="D77" s="956" t="str">
        <f>'DE Ohio &amp; Kentucky'!D78</f>
        <v>207.75.g</v>
      </c>
      <c r="E77" s="368">
        <f>INPUT!C11</f>
        <v>2260439245</v>
      </c>
      <c r="F77" s="5"/>
      <c r="G77" s="5" t="s">
        <v>36</v>
      </c>
      <c r="H77" s="14" t="s">
        <v>12</v>
      </c>
      <c r="I77" s="5"/>
      <c r="J77" s="227" t="s">
        <v>12</v>
      </c>
      <c r="K77" s="5"/>
      <c r="L77" s="5"/>
    </row>
    <row r="78" spans="1:12">
      <c r="A78" s="32">
        <v>4</v>
      </c>
      <c r="C78" s="787" t="s">
        <v>39</v>
      </c>
      <c r="D78" s="956" t="str">
        <f>'DE Ohio &amp; Kentucky'!D79</f>
        <v>205.5.g &amp; 207.99.g</v>
      </c>
      <c r="E78" s="368">
        <f>INPUT!C12</f>
        <v>233587466</v>
      </c>
      <c r="F78" s="5"/>
      <c r="G78" s="5" t="s">
        <v>40</v>
      </c>
      <c r="H78" s="14">
        <f>J225</f>
        <v>0.13739751232751019</v>
      </c>
      <c r="I78" s="5"/>
      <c r="J78" s="227">
        <f t="shared" ref="J78:J79" si="4">ROUND(H78*E78,0)</f>
        <v>32094337</v>
      </c>
      <c r="K78" s="5"/>
      <c r="L78" s="5"/>
    </row>
    <row r="79" spans="1:12" ht="15.75" thickBot="1">
      <c r="A79" s="32">
        <v>5</v>
      </c>
      <c r="C79" s="787" t="s">
        <v>41</v>
      </c>
      <c r="D79" s="956" t="str">
        <f>'DE Ohio &amp; Kentucky'!D80</f>
        <v>356.1</v>
      </c>
      <c r="E79" s="492">
        <f>INPUT!C13</f>
        <v>215496039</v>
      </c>
      <c r="F79" s="5"/>
      <c r="G79" s="5" t="s">
        <v>93</v>
      </c>
      <c r="H79" s="14">
        <f>L229</f>
        <v>9.0880657832041384E-2</v>
      </c>
      <c r="I79" s="5"/>
      <c r="J79" s="228">
        <f t="shared" si="4"/>
        <v>19584422</v>
      </c>
      <c r="K79" s="5"/>
      <c r="L79" s="5"/>
    </row>
    <row r="80" spans="1:12">
      <c r="A80" s="32">
        <v>6</v>
      </c>
      <c r="C80" s="789" t="s">
        <v>43</v>
      </c>
      <c r="D80" s="5"/>
      <c r="E80" s="84">
        <f>SUM(E75:E79)</f>
        <v>3431618396</v>
      </c>
      <c r="F80" s="5"/>
      <c r="G80" s="5" t="s">
        <v>44</v>
      </c>
      <c r="H80" s="441">
        <f>IF(J80&gt;0,J80/E80,0)</f>
        <v>0.22548381425566877</v>
      </c>
      <c r="I80" s="5"/>
      <c r="J80" s="84">
        <f>SUM(J75:J79)</f>
        <v>773774405</v>
      </c>
      <c r="K80" s="5"/>
      <c r="L80" s="18"/>
    </row>
    <row r="81" spans="1:12">
      <c r="C81" s="787"/>
      <c r="D81" s="5"/>
      <c r="E81" s="225"/>
      <c r="F81" s="5"/>
      <c r="G81" s="5"/>
      <c r="H81" s="18"/>
      <c r="I81" s="5"/>
      <c r="J81" s="227"/>
      <c r="K81" s="5"/>
      <c r="L81" s="18"/>
    </row>
    <row r="82" spans="1:12">
      <c r="C82" s="787" t="s">
        <v>45</v>
      </c>
      <c r="D82" s="5"/>
      <c r="E82" s="225"/>
      <c r="F82" s="5"/>
      <c r="G82" s="5"/>
      <c r="H82" s="5"/>
      <c r="I82" s="5"/>
      <c r="J82" s="227"/>
      <c r="K82" s="5"/>
      <c r="L82" s="5"/>
    </row>
    <row r="83" spans="1:12">
      <c r="A83" s="32">
        <v>7</v>
      </c>
      <c r="C83" s="787" t="s">
        <v>35</v>
      </c>
      <c r="D83" s="729" t="str">
        <f>'DE Ohio &amp; Kentucky'!D84</f>
        <v>219.20-24.c</v>
      </c>
      <c r="E83" s="494">
        <f>INPUT!C17</f>
        <v>-14090</v>
      </c>
      <c r="F83" s="5"/>
      <c r="G83" s="5" t="str">
        <f t="shared" ref="G83:H87" si="5">G75</f>
        <v>NA</v>
      </c>
      <c r="H83" s="14" t="str">
        <f t="shared" si="5"/>
        <v xml:space="preserve"> </v>
      </c>
      <c r="I83" s="5"/>
      <c r="J83" s="227" t="s">
        <v>12</v>
      </c>
      <c r="K83" s="5"/>
      <c r="L83" s="5"/>
    </row>
    <row r="84" spans="1:12">
      <c r="A84" s="32">
        <v>8</v>
      </c>
      <c r="C84" s="787" t="s">
        <v>37</v>
      </c>
      <c r="D84" s="729" t="str">
        <f>'DE Ohio &amp; Kentucky'!D85</f>
        <v>219.25.c</v>
      </c>
      <c r="E84" s="368">
        <f>INPUT!C18</f>
        <v>240901826</v>
      </c>
      <c r="F84" s="5"/>
      <c r="G84" s="5" t="str">
        <f t="shared" si="5"/>
        <v>TP</v>
      </c>
      <c r="H84" s="14">
        <f t="shared" si="5"/>
        <v>1</v>
      </c>
      <c r="I84" s="5"/>
      <c r="J84" s="84">
        <f>ROUND(H84*E84,0)</f>
        <v>240901826</v>
      </c>
      <c r="K84" s="5"/>
      <c r="L84" s="5"/>
    </row>
    <row r="85" spans="1:12">
      <c r="A85" s="32">
        <v>9</v>
      </c>
      <c r="C85" s="787" t="s">
        <v>38</v>
      </c>
      <c r="D85" s="729" t="str">
        <f>'DE Ohio &amp; Kentucky'!D86</f>
        <v>219.26.c</v>
      </c>
      <c r="E85" s="368">
        <f>INPUT!C19</f>
        <v>753095517</v>
      </c>
      <c r="F85" s="5"/>
      <c r="G85" s="5" t="str">
        <f t="shared" si="5"/>
        <v>NA</v>
      </c>
      <c r="H85" s="14" t="str">
        <f t="shared" si="5"/>
        <v xml:space="preserve"> </v>
      </c>
      <c r="I85" s="5"/>
      <c r="J85" s="227" t="s">
        <v>12</v>
      </c>
      <c r="K85" s="5"/>
      <c r="L85" s="5"/>
    </row>
    <row r="86" spans="1:12">
      <c r="A86" s="32">
        <v>10</v>
      </c>
      <c r="C86" s="787" t="s">
        <v>39</v>
      </c>
      <c r="D86" s="729" t="str">
        <f>'DE Ohio &amp; Kentucky'!D87</f>
        <v xml:space="preserve">219.28.c </v>
      </c>
      <c r="E86" s="368">
        <f>INPUT!C20</f>
        <v>88975327</v>
      </c>
      <c r="F86" s="5"/>
      <c r="G86" s="5" t="str">
        <f t="shared" si="5"/>
        <v>W/S</v>
      </c>
      <c r="H86" s="14">
        <f t="shared" si="5"/>
        <v>0.13739751232751019</v>
      </c>
      <c r="I86" s="5"/>
      <c r="J86" s="227">
        <f t="shared" ref="J86:J87" si="6">ROUND(H86*E86,0)</f>
        <v>12224989</v>
      </c>
      <c r="K86" s="5"/>
      <c r="L86" s="5"/>
    </row>
    <row r="87" spans="1:12" ht="15.75" thickBot="1">
      <c r="A87" s="32">
        <v>11</v>
      </c>
      <c r="C87" s="787" t="s">
        <v>41</v>
      </c>
      <c r="D87" s="729" t="str">
        <f>'DE Ohio &amp; Kentucky'!D88</f>
        <v>356.1</v>
      </c>
      <c r="E87" s="492">
        <f>INPUT!C21</f>
        <v>77838939</v>
      </c>
      <c r="F87" s="5"/>
      <c r="G87" s="5" t="str">
        <f t="shared" si="5"/>
        <v>CE</v>
      </c>
      <c r="H87" s="14">
        <f t="shared" si="5"/>
        <v>9.0880657832041384E-2</v>
      </c>
      <c r="I87" s="5"/>
      <c r="J87" s="228">
        <f t="shared" si="6"/>
        <v>7074054</v>
      </c>
      <c r="K87" s="5"/>
      <c r="L87" s="5"/>
    </row>
    <row r="88" spans="1:12">
      <c r="A88" s="32">
        <v>12</v>
      </c>
      <c r="C88" s="787" t="s">
        <v>46</v>
      </c>
      <c r="D88" s="5"/>
      <c r="E88" s="84">
        <f>SUM(E83:E87)</f>
        <v>1160797519</v>
      </c>
      <c r="F88" s="5"/>
      <c r="G88" s="5"/>
      <c r="H88" s="5"/>
      <c r="I88" s="5"/>
      <c r="J88" s="84">
        <f>SUM(J83:J87)</f>
        <v>260200869</v>
      </c>
      <c r="K88" s="5"/>
      <c r="L88" s="5"/>
    </row>
    <row r="89" spans="1:12">
      <c r="A89" s="32"/>
      <c r="C89" s="786"/>
      <c r="D89" s="5" t="s">
        <v>12</v>
      </c>
      <c r="E89" s="225"/>
      <c r="F89" s="5"/>
      <c r="G89" s="5"/>
      <c r="H89" s="18"/>
      <c r="I89" s="5"/>
      <c r="J89" s="227"/>
      <c r="K89" s="5"/>
      <c r="L89" s="18"/>
    </row>
    <row r="90" spans="1:12">
      <c r="A90" s="32"/>
      <c r="C90" s="787" t="s">
        <v>47</v>
      </c>
      <c r="D90" s="5"/>
      <c r="E90" s="225"/>
      <c r="F90" s="5"/>
      <c r="G90" s="5"/>
      <c r="H90" s="5"/>
      <c r="I90" s="5"/>
      <c r="J90" s="227"/>
      <c r="K90" s="5"/>
      <c r="L90" s="5"/>
    </row>
    <row r="91" spans="1:12">
      <c r="A91" s="32">
        <v>13</v>
      </c>
      <c r="C91" s="787" t="s">
        <v>35</v>
      </c>
      <c r="D91" s="729" t="str">
        <f>'DE Ohio &amp; Kentucky'!D92</f>
        <v xml:space="preserve"> (line 1 - line 7)</v>
      </c>
      <c r="E91" s="84">
        <f>E75-E83</f>
        <v>14090</v>
      </c>
      <c r="F91" s="5"/>
      <c r="G91" s="5"/>
      <c r="H91" s="18"/>
      <c r="I91" s="5"/>
      <c r="J91" s="227" t="s">
        <v>12</v>
      </c>
      <c r="K91" s="5"/>
      <c r="L91" s="18"/>
    </row>
    <row r="92" spans="1:12">
      <c r="A92" s="32">
        <v>14</v>
      </c>
      <c r="C92" s="787" t="s">
        <v>37</v>
      </c>
      <c r="D92" s="729" t="str">
        <f>'DE Ohio &amp; Kentucky'!D93</f>
        <v xml:space="preserve"> (line 2 - line 8)</v>
      </c>
      <c r="E92" s="225">
        <f>E76-E84</f>
        <v>481193820</v>
      </c>
      <c r="F92" s="5"/>
      <c r="G92" s="5"/>
      <c r="H92" s="14"/>
      <c r="I92" s="5"/>
      <c r="J92" s="84">
        <f>J76-J84</f>
        <v>481193820</v>
      </c>
      <c r="K92" s="5"/>
      <c r="L92" s="18"/>
    </row>
    <row r="93" spans="1:12">
      <c r="A93" s="32">
        <v>15</v>
      </c>
      <c r="C93" s="787" t="s">
        <v>38</v>
      </c>
      <c r="D93" s="729" t="str">
        <f>'DE Ohio &amp; Kentucky'!D94</f>
        <v xml:space="preserve"> (line 3 - line 9)</v>
      </c>
      <c r="E93" s="225">
        <f>E77-E85</f>
        <v>1507343728</v>
      </c>
      <c r="F93" s="5"/>
      <c r="G93" s="5"/>
      <c r="H93" s="18"/>
      <c r="I93" s="5"/>
      <c r="J93" s="227" t="s">
        <v>12</v>
      </c>
      <c r="K93" s="5"/>
      <c r="L93" s="18"/>
    </row>
    <row r="94" spans="1:12">
      <c r="A94" s="32">
        <v>16</v>
      </c>
      <c r="C94" s="787" t="s">
        <v>39</v>
      </c>
      <c r="D94" s="729" t="str">
        <f>'DE Ohio &amp; Kentucky'!D95</f>
        <v xml:space="preserve"> (line 4 - line 10)</v>
      </c>
      <c r="E94" s="225">
        <f>E78-E86</f>
        <v>144612139</v>
      </c>
      <c r="F94" s="5"/>
      <c r="G94" s="5"/>
      <c r="H94" s="18"/>
      <c r="I94" s="5"/>
      <c r="J94" s="227">
        <f>J78-J86</f>
        <v>19869348</v>
      </c>
      <c r="K94" s="5"/>
      <c r="L94" s="18"/>
    </row>
    <row r="95" spans="1:12" ht="15.75" thickBot="1">
      <c r="A95" s="32">
        <v>17</v>
      </c>
      <c r="C95" s="787" t="s">
        <v>41</v>
      </c>
      <c r="D95" s="729" t="str">
        <f>'DE Ohio &amp; Kentucky'!D96</f>
        <v xml:space="preserve"> (line 5 - line 11)</v>
      </c>
      <c r="E95" s="226">
        <f>E79-E87</f>
        <v>137657100</v>
      </c>
      <c r="F95" s="5"/>
      <c r="G95" s="5"/>
      <c r="H95" s="18"/>
      <c r="I95" s="5"/>
      <c r="J95" s="228">
        <f>J79-J87</f>
        <v>12510368</v>
      </c>
      <c r="K95" s="5"/>
      <c r="L95" s="18"/>
    </row>
    <row r="96" spans="1:12">
      <c r="A96" s="32">
        <v>18</v>
      </c>
      <c r="C96" s="787" t="s">
        <v>51</v>
      </c>
      <c r="D96" s="5"/>
      <c r="E96" s="84">
        <f>SUM(E91:E95)</f>
        <v>2270820877</v>
      </c>
      <c r="F96" s="5"/>
      <c r="G96" s="5" t="s">
        <v>52</v>
      </c>
      <c r="H96" s="18">
        <f>IF(J96&gt;0,J96/E96,0)</f>
        <v>0.22616206377250073</v>
      </c>
      <c r="I96" s="5"/>
      <c r="J96" s="84">
        <f>SUM(J91:J95)</f>
        <v>513573536</v>
      </c>
      <c r="K96" s="5"/>
      <c r="L96" s="5"/>
    </row>
    <row r="97" spans="1:12">
      <c r="A97" s="32"/>
      <c r="C97" s="786"/>
      <c r="D97" s="5"/>
      <c r="E97" s="225"/>
      <c r="F97" s="5"/>
      <c r="I97" s="5"/>
      <c r="J97" s="227"/>
      <c r="K97" s="5"/>
      <c r="L97" s="18"/>
    </row>
    <row r="98" spans="1:12">
      <c r="A98" s="32"/>
      <c r="C98" s="790" t="s">
        <v>455</v>
      </c>
      <c r="D98" s="5"/>
      <c r="E98" s="225"/>
      <c r="F98" s="5"/>
      <c r="G98" s="5"/>
      <c r="H98" s="5"/>
      <c r="I98" s="5"/>
      <c r="J98" s="227"/>
      <c r="K98" s="5"/>
      <c r="L98" s="5"/>
    </row>
    <row r="99" spans="1:12">
      <c r="A99" s="32">
        <v>19</v>
      </c>
      <c r="C99" s="787" t="s">
        <v>142</v>
      </c>
      <c r="D99" s="729" t="str">
        <f>'DE Ohio &amp; Kentucky'!D100</f>
        <v>273.8.k</v>
      </c>
      <c r="E99" s="494">
        <f>INPUT!C33</f>
        <v>0</v>
      </c>
      <c r="F99" s="37"/>
      <c r="G99" s="37" t="str">
        <f>G83</f>
        <v>NA</v>
      </c>
      <c r="H99" s="81" t="s">
        <v>176</v>
      </c>
      <c r="I99" s="5"/>
      <c r="J99" s="84">
        <v>0</v>
      </c>
      <c r="K99" s="5"/>
      <c r="L99" s="18"/>
    </row>
    <row r="100" spans="1:12">
      <c r="A100" s="32">
        <v>20</v>
      </c>
      <c r="B100" s="12" t="s">
        <v>184</v>
      </c>
      <c r="C100" s="787" t="s">
        <v>143</v>
      </c>
      <c r="D100" s="729" t="str">
        <f>'DE Ohio &amp; Kentucky'!D101</f>
        <v>275.2.k</v>
      </c>
      <c r="E100" s="618">
        <f>INPUT!C34</f>
        <v>-633499802</v>
      </c>
      <c r="F100" s="5"/>
      <c r="G100" s="5" t="s">
        <v>54</v>
      </c>
      <c r="H100" s="14">
        <f>H96</f>
        <v>0.22616206377250073</v>
      </c>
      <c r="I100" s="5"/>
      <c r="J100" s="227">
        <f>ROUND(H100*E100,0)</f>
        <v>-143273623</v>
      </c>
      <c r="K100" s="5"/>
      <c r="L100" s="18"/>
    </row>
    <row r="101" spans="1:12">
      <c r="A101" s="32">
        <v>21</v>
      </c>
      <c r="C101" s="787" t="s">
        <v>144</v>
      </c>
      <c r="D101" s="729" t="str">
        <f>'DE Ohio &amp; Kentucky'!D102</f>
        <v>277.9.k</v>
      </c>
      <c r="E101" s="618">
        <f>INPUT!C35</f>
        <v>-57701508</v>
      </c>
      <c r="F101" s="5"/>
      <c r="G101" s="5" t="s">
        <v>54</v>
      </c>
      <c r="H101" s="14">
        <f>H100</f>
        <v>0.22616206377250073</v>
      </c>
      <c r="I101" s="5"/>
      <c r="J101" s="227">
        <f t="shared" ref="J101:J103" si="7">ROUND(H101*E101,0)</f>
        <v>-13049892</v>
      </c>
      <c r="K101" s="5"/>
      <c r="L101" s="18"/>
    </row>
    <row r="102" spans="1:12">
      <c r="A102" s="32">
        <v>22</v>
      </c>
      <c r="C102" s="787" t="s">
        <v>146</v>
      </c>
      <c r="D102" s="729" t="str">
        <f>'DE Ohio &amp; Kentucky'!D103</f>
        <v>234.8.c</v>
      </c>
      <c r="E102" s="618">
        <f>INPUT!C36</f>
        <v>48742611</v>
      </c>
      <c r="F102" s="5"/>
      <c r="G102" s="5" t="str">
        <f>G101</f>
        <v>NP</v>
      </c>
      <c r="H102" s="14">
        <f>H101</f>
        <v>0.22616206377250073</v>
      </c>
      <c r="I102" s="5"/>
      <c r="J102" s="227">
        <f t="shared" si="7"/>
        <v>11023729</v>
      </c>
      <c r="K102" s="5"/>
      <c r="L102" s="18"/>
    </row>
    <row r="103" spans="1:12" ht="15.75" thickBot="1">
      <c r="A103" s="32">
        <v>23</v>
      </c>
      <c r="C103" s="788" t="s">
        <v>145</v>
      </c>
      <c r="D103" s="729" t="str">
        <f>'DE Ohio &amp; Kentucky'!D104</f>
        <v>267.8.h</v>
      </c>
      <c r="E103" s="619">
        <f>INPUT!C37</f>
        <v>0</v>
      </c>
      <c r="F103" s="5"/>
      <c r="G103" s="5" t="s">
        <v>54</v>
      </c>
      <c r="H103" s="14">
        <f>H101</f>
        <v>0.22616206377250073</v>
      </c>
      <c r="I103" s="5"/>
      <c r="J103" s="228">
        <f t="shared" si="7"/>
        <v>0</v>
      </c>
      <c r="K103" s="5"/>
      <c r="L103" s="18"/>
    </row>
    <row r="104" spans="1:12">
      <c r="A104" s="32">
        <v>24</v>
      </c>
      <c r="C104" s="787" t="s">
        <v>714</v>
      </c>
      <c r="D104" s="5"/>
      <c r="E104" s="84">
        <f>SUM(E99:E103)</f>
        <v>-642458699</v>
      </c>
      <c r="F104" s="5"/>
      <c r="G104" s="5"/>
      <c r="H104" s="5"/>
      <c r="I104" s="5"/>
      <c r="J104" s="84">
        <f>SUM(J99:J103)</f>
        <v>-145299786</v>
      </c>
      <c r="K104" s="5"/>
      <c r="L104" s="5"/>
    </row>
    <row r="105" spans="1:12">
      <c r="A105" s="32"/>
      <c r="C105" s="786"/>
      <c r="D105" s="5"/>
      <c r="E105" s="225"/>
      <c r="F105" s="5"/>
      <c r="G105" s="5"/>
      <c r="H105" s="18"/>
      <c r="I105" s="5"/>
      <c r="J105" s="227"/>
      <c r="K105" s="5"/>
      <c r="L105" s="18"/>
    </row>
    <row r="106" spans="1:12">
      <c r="A106" s="32">
        <v>25</v>
      </c>
      <c r="C106" s="790" t="s">
        <v>436</v>
      </c>
      <c r="D106" s="729" t="str">
        <f>'DE Ohio &amp; Kentucky'!D107</f>
        <v xml:space="preserve">214.x.d  </v>
      </c>
      <c r="E106" s="494">
        <f>INPUT!C40</f>
        <v>121217</v>
      </c>
      <c r="F106" s="37"/>
      <c r="G106" s="37"/>
      <c r="H106" s="493">
        <v>1</v>
      </c>
      <c r="I106" s="5"/>
      <c r="J106" s="84">
        <f>ROUND(H106*E106,0)</f>
        <v>121217</v>
      </c>
      <c r="K106" s="5"/>
      <c r="L106" s="5"/>
    </row>
    <row r="107" spans="1:12">
      <c r="A107" s="32"/>
      <c r="C107" s="787"/>
      <c r="D107" s="5"/>
      <c r="E107" s="225"/>
      <c r="F107" s="5"/>
      <c r="G107" s="5"/>
      <c r="H107" s="5"/>
      <c r="I107" s="5"/>
      <c r="J107" s="227"/>
      <c r="K107" s="5"/>
      <c r="L107" s="5"/>
    </row>
    <row r="108" spans="1:12">
      <c r="A108" s="32"/>
      <c r="C108" s="791" t="s">
        <v>456</v>
      </c>
      <c r="D108" s="5" t="s">
        <v>12</v>
      </c>
      <c r="E108" s="225"/>
      <c r="F108" s="5"/>
      <c r="G108" s="5"/>
      <c r="H108" s="5"/>
      <c r="I108" s="5"/>
      <c r="J108" s="227"/>
      <c r="K108" s="5"/>
      <c r="L108" s="5"/>
    </row>
    <row r="109" spans="1:12">
      <c r="A109" s="32">
        <v>26</v>
      </c>
      <c r="C109" s="787" t="s">
        <v>170</v>
      </c>
      <c r="D109" s="729" t="str">
        <f>'DE Ohio &amp; Kentucky'!D110</f>
        <v>calculated</v>
      </c>
      <c r="E109" s="84">
        <f>ROUND(E148/8,0)</f>
        <v>12536209</v>
      </c>
      <c r="F109" s="5"/>
      <c r="G109" s="5"/>
      <c r="H109" s="18"/>
      <c r="I109" s="5"/>
      <c r="J109" s="227">
        <f>ROUND(J148/8,0)</f>
        <v>2997981</v>
      </c>
      <c r="K109" s="1"/>
      <c r="L109" s="18"/>
    </row>
    <row r="110" spans="1:12">
      <c r="A110" s="32">
        <v>27</v>
      </c>
      <c r="C110" s="791" t="s">
        <v>457</v>
      </c>
      <c r="D110" s="729" t="str">
        <f>'DE Ohio &amp; Kentucky'!D111</f>
        <v>227.8.c &amp; 227.16.c</v>
      </c>
      <c r="E110" s="368">
        <f>INPUT!C44</f>
        <v>17937679</v>
      </c>
      <c r="F110" s="5"/>
      <c r="G110" s="5" t="s">
        <v>55</v>
      </c>
      <c r="H110" s="14">
        <f>J217</f>
        <v>0.87604953369017025</v>
      </c>
      <c r="I110" s="5"/>
      <c r="J110" s="227">
        <f>ROUND(H110*E110,0)</f>
        <v>15714295</v>
      </c>
      <c r="K110" s="5" t="s">
        <v>12</v>
      </c>
      <c r="L110" s="18"/>
    </row>
    <row r="111" spans="1:12" ht="15.75" thickBot="1">
      <c r="A111" s="32">
        <v>28</v>
      </c>
      <c r="C111" s="787" t="s">
        <v>148</v>
      </c>
      <c r="D111" s="729" t="str">
        <f>'DE Ohio &amp; Kentucky'!D112</f>
        <v>111.57.c</v>
      </c>
      <c r="E111" s="492">
        <f>INPUT!C45</f>
        <v>5076895</v>
      </c>
      <c r="F111" s="5"/>
      <c r="G111" s="5" t="s">
        <v>56</v>
      </c>
      <c r="H111" s="14">
        <f>H80</f>
        <v>0.22548381425566877</v>
      </c>
      <c r="I111" s="5"/>
      <c r="J111" s="228">
        <f>ROUND(H111*E111,0)</f>
        <v>1144758</v>
      </c>
      <c r="K111" s="5"/>
      <c r="L111" s="18"/>
    </row>
    <row r="112" spans="1:12">
      <c r="A112" s="32">
        <v>29</v>
      </c>
      <c r="C112" s="787" t="s">
        <v>57</v>
      </c>
      <c r="D112" s="1"/>
      <c r="E112" s="366">
        <f>E109+E110+E111</f>
        <v>35550783</v>
      </c>
      <c r="F112" s="1"/>
      <c r="G112" s="1"/>
      <c r="H112" s="1"/>
      <c r="I112" s="1"/>
      <c r="J112" s="366">
        <f>J109+J110+J111</f>
        <v>19857034</v>
      </c>
      <c r="K112" s="1"/>
      <c r="L112" s="1"/>
    </row>
    <row r="113" spans="1:12" ht="15.75" thickBot="1">
      <c r="C113" s="786"/>
      <c r="D113" s="5"/>
      <c r="E113" s="228"/>
      <c r="F113" s="5"/>
      <c r="G113" s="5"/>
      <c r="H113" s="5"/>
      <c r="I113" s="5"/>
      <c r="J113" s="228"/>
      <c r="K113" s="5"/>
      <c r="L113" s="5"/>
    </row>
    <row r="114" spans="1:12" ht="15.75" thickBot="1">
      <c r="A114" s="32">
        <v>30</v>
      </c>
      <c r="C114" s="787" t="s">
        <v>147</v>
      </c>
      <c r="D114" s="5"/>
      <c r="E114" s="367">
        <f>E112+E106+E104+E96</f>
        <v>1664034178</v>
      </c>
      <c r="F114" s="5"/>
      <c r="G114" s="5"/>
      <c r="H114" s="18"/>
      <c r="I114" s="5"/>
      <c r="J114" s="367">
        <f>J112+J106+J104+J96</f>
        <v>388252001</v>
      </c>
      <c r="K114" s="5"/>
      <c r="L114" s="18"/>
    </row>
    <row r="115" spans="1:12" ht="15.75" thickTop="1">
      <c r="A115" s="32"/>
      <c r="C115" s="3"/>
      <c r="D115" s="5"/>
      <c r="E115" s="5"/>
      <c r="F115" s="5"/>
      <c r="G115" s="5"/>
      <c r="H115" s="5"/>
      <c r="I115" s="5"/>
      <c r="J115" s="5"/>
      <c r="K115" s="5"/>
      <c r="L115" s="5"/>
    </row>
    <row r="116" spans="1:12">
      <c r="A116" s="32"/>
      <c r="C116" s="3"/>
      <c r="D116" s="29"/>
      <c r="E116" s="30"/>
      <c r="F116" s="29"/>
      <c r="G116" s="29"/>
      <c r="H116" s="29"/>
      <c r="I116" s="31"/>
      <c r="K116" s="32"/>
      <c r="L116" s="92"/>
    </row>
    <row r="117" spans="1:12" ht="18">
      <c r="A117" s="244"/>
      <c r="C117" s="29"/>
      <c r="D117" s="29"/>
      <c r="E117" s="30"/>
      <c r="F117" s="29"/>
      <c r="G117" s="29"/>
      <c r="H117" s="29"/>
      <c r="I117" s="31"/>
      <c r="J117" s="77" t="s">
        <v>369</v>
      </c>
      <c r="K117" s="91"/>
    </row>
    <row r="118" spans="1:12">
      <c r="C118" s="29"/>
      <c r="D118" s="29"/>
      <c r="E118" s="30"/>
      <c r="F118" s="29"/>
      <c r="G118" s="29"/>
      <c r="H118" s="29"/>
      <c r="I118" s="31"/>
      <c r="J118" s="77" t="s">
        <v>572</v>
      </c>
    </row>
    <row r="119" spans="1:12">
      <c r="C119" s="29"/>
      <c r="D119" s="29"/>
      <c r="E119" s="30"/>
      <c r="F119" s="29"/>
      <c r="G119" s="29"/>
      <c r="H119" s="29"/>
      <c r="I119" s="31"/>
      <c r="J119" s="77"/>
    </row>
    <row r="120" spans="1:12">
      <c r="C120" s="29"/>
      <c r="D120" s="29"/>
      <c r="E120" s="30"/>
      <c r="F120" s="29"/>
      <c r="G120" s="29"/>
      <c r="H120" s="29"/>
      <c r="I120" s="31"/>
    </row>
    <row r="121" spans="1:12">
      <c r="C121" s="29"/>
      <c r="D121" s="29"/>
      <c r="E121" s="30"/>
      <c r="F121" s="29"/>
      <c r="G121" s="29"/>
      <c r="H121" s="29"/>
      <c r="I121" s="31"/>
      <c r="K121" s="1"/>
    </row>
    <row r="122" spans="1:12">
      <c r="C122" s="29"/>
      <c r="D122" s="29"/>
      <c r="E122" s="30"/>
      <c r="F122" s="29"/>
      <c r="G122" s="29"/>
      <c r="H122" s="29"/>
      <c r="I122" s="31"/>
      <c r="J122" s="77"/>
      <c r="K122" s="1"/>
    </row>
    <row r="123" spans="1:12">
      <c r="C123" s="29" t="s">
        <v>11</v>
      </c>
      <c r="D123" s="29"/>
      <c r="E123" s="30"/>
      <c r="F123" s="29"/>
      <c r="G123" s="29"/>
      <c r="H123" s="29"/>
      <c r="I123" s="31"/>
      <c r="J123" s="92" t="str">
        <f>J7</f>
        <v>For the 12 months ended: 12/31/2015</v>
      </c>
      <c r="K123" s="1"/>
    </row>
    <row r="124" spans="1:12">
      <c r="A124" s="277" t="str">
        <f>A8</f>
        <v>Rate Formula Template</v>
      </c>
      <c r="B124" s="279"/>
      <c r="C124" s="279"/>
      <c r="D124" s="272"/>
      <c r="E124" s="118"/>
      <c r="F124" s="272"/>
      <c r="G124" s="272"/>
      <c r="H124" s="272"/>
      <c r="I124" s="272"/>
      <c r="J124" s="118"/>
      <c r="K124" s="5"/>
      <c r="L124" s="118"/>
    </row>
    <row r="125" spans="1:12">
      <c r="A125" s="280" t="s">
        <v>331</v>
      </c>
      <c r="B125" s="279"/>
      <c r="C125" s="277"/>
      <c r="D125" s="274"/>
      <c r="E125" s="118"/>
      <c r="F125" s="274"/>
      <c r="G125" s="274"/>
      <c r="H125" s="274"/>
      <c r="I125" s="272"/>
      <c r="J125" s="272"/>
      <c r="K125" s="5"/>
      <c r="L125" s="275"/>
    </row>
    <row r="126" spans="1:12">
      <c r="A126" s="273"/>
      <c r="B126" s="279"/>
      <c r="C126" s="273"/>
      <c r="D126" s="275"/>
      <c r="E126" s="118"/>
      <c r="F126" s="275"/>
      <c r="G126" s="275"/>
      <c r="H126" s="275"/>
      <c r="I126" s="275"/>
      <c r="J126" s="275"/>
      <c r="K126" s="5"/>
      <c r="L126" s="275"/>
    </row>
    <row r="127" spans="1:12" ht="15.75">
      <c r="A127" s="276" t="s">
        <v>215</v>
      </c>
      <c r="B127" s="279"/>
      <c r="C127" s="273"/>
      <c r="D127" s="275"/>
      <c r="E127" s="118"/>
      <c r="F127" s="275"/>
      <c r="G127" s="275"/>
      <c r="H127" s="275"/>
      <c r="I127" s="275"/>
      <c r="J127" s="275"/>
      <c r="K127" s="5"/>
      <c r="L127" s="275"/>
    </row>
    <row r="128" spans="1:12">
      <c r="A128" s="32"/>
      <c r="K128" s="5"/>
      <c r="L128" s="5"/>
    </row>
    <row r="129" spans="1:12" ht="15.75">
      <c r="A129" s="32"/>
      <c r="C129" s="4" t="s">
        <v>24</v>
      </c>
      <c r="D129" s="4" t="s">
        <v>25</v>
      </c>
      <c r="E129" s="4" t="s">
        <v>26</v>
      </c>
      <c r="F129" s="5" t="s">
        <v>12</v>
      </c>
      <c r="G129" s="5"/>
      <c r="H129" s="7" t="s">
        <v>27</v>
      </c>
      <c r="I129" s="5"/>
      <c r="J129" s="8" t="s">
        <v>28</v>
      </c>
      <c r="K129" s="5"/>
      <c r="L129" s="33"/>
    </row>
    <row r="130" spans="1:12" ht="15.75">
      <c r="A130" s="58" t="s">
        <v>13</v>
      </c>
      <c r="B130" s="297"/>
      <c r="C130" s="299"/>
      <c r="D130" s="26" t="s">
        <v>29</v>
      </c>
      <c r="E130" s="5"/>
      <c r="F130" s="5"/>
      <c r="G130" s="5"/>
      <c r="H130" s="32"/>
      <c r="I130" s="5"/>
      <c r="J130" s="33" t="s">
        <v>30</v>
      </c>
      <c r="K130" s="5"/>
      <c r="L130" s="33"/>
    </row>
    <row r="131" spans="1:12" ht="15.75">
      <c r="A131" s="290" t="s">
        <v>15</v>
      </c>
      <c r="B131" s="297"/>
      <c r="C131" s="299"/>
      <c r="D131" s="301" t="s">
        <v>31</v>
      </c>
      <c r="E131" s="300" t="s">
        <v>32</v>
      </c>
      <c r="F131" s="302"/>
      <c r="G131" s="303" t="s">
        <v>18</v>
      </c>
      <c r="H131" s="304"/>
      <c r="I131" s="302"/>
      <c r="J131" s="293" t="s">
        <v>424</v>
      </c>
      <c r="K131" s="5"/>
      <c r="L131" s="33"/>
    </row>
    <row r="132" spans="1:12" ht="15.75">
      <c r="C132" s="3"/>
      <c r="D132" s="5"/>
      <c r="E132" s="9"/>
      <c r="F132" s="10"/>
      <c r="G132" s="11"/>
      <c r="I132" s="10"/>
      <c r="J132" s="9"/>
      <c r="K132" s="5"/>
      <c r="L132" s="5"/>
    </row>
    <row r="133" spans="1:12">
      <c r="A133" s="32"/>
      <c r="C133" s="805" t="s">
        <v>58</v>
      </c>
      <c r="D133" s="5"/>
      <c r="E133" s="5"/>
      <c r="F133" s="5"/>
      <c r="G133" s="5"/>
      <c r="H133" s="5"/>
      <c r="I133" s="5"/>
      <c r="J133" s="5"/>
      <c r="K133" s="5"/>
      <c r="L133" s="5"/>
    </row>
    <row r="134" spans="1:12">
      <c r="A134" s="32">
        <v>1</v>
      </c>
      <c r="C134" s="805" t="s">
        <v>59</v>
      </c>
      <c r="D134" s="729" t="str">
        <f>'DE Ohio &amp; Kentucky'!D135</f>
        <v>321.112.b</v>
      </c>
      <c r="E134" s="84">
        <f>INPUT!C51</f>
        <v>31976701</v>
      </c>
      <c r="F134" s="5"/>
      <c r="G134" s="5" t="s">
        <v>55</v>
      </c>
      <c r="H134" s="14">
        <f>J217</f>
        <v>0.87604953369017025</v>
      </c>
      <c r="I134" s="5"/>
      <c r="J134" s="366">
        <f>ROUND(H134*E134,0)</f>
        <v>28013174</v>
      </c>
      <c r="K134" s="1"/>
      <c r="L134" s="5"/>
    </row>
    <row r="135" spans="1:12">
      <c r="A135" s="235" t="s">
        <v>3</v>
      </c>
      <c r="B135" s="67"/>
      <c r="C135" s="812" t="s">
        <v>446</v>
      </c>
      <c r="D135" s="729" t="str">
        <f>'DE Ohio &amp; Kentucky'!D136</f>
        <v>321.88.b, 92.b; 322.121.b</v>
      </c>
      <c r="E135" s="368">
        <f>INPUT!C52</f>
        <v>15550907</v>
      </c>
      <c r="F135" s="5"/>
      <c r="G135" s="37"/>
      <c r="H135" s="64">
        <v>1</v>
      </c>
      <c r="I135" s="37"/>
      <c r="J135" s="227">
        <f>ROUND(H135*E135,0)</f>
        <v>15550907</v>
      </c>
      <c r="K135" s="1"/>
      <c r="L135" s="5"/>
    </row>
    <row r="136" spans="1:12">
      <c r="A136" s="235" t="s">
        <v>296</v>
      </c>
      <c r="B136" s="67"/>
      <c r="C136" s="810" t="s">
        <v>772</v>
      </c>
      <c r="D136" s="729" t="str">
        <f>'DE Ohio &amp; Kentucky'!D137</f>
        <v>(Note X)</v>
      </c>
      <c r="E136" s="368">
        <f>INPUT!C53</f>
        <v>0</v>
      </c>
      <c r="F136" s="37"/>
      <c r="G136" s="5" t="s">
        <v>55</v>
      </c>
      <c r="H136" s="14">
        <f>J$217</f>
        <v>0.87604953369017025</v>
      </c>
      <c r="I136" s="37"/>
      <c r="J136" s="227">
        <f t="shared" ref="J136" si="8">ROUND(H136*E136,0)</f>
        <v>0</v>
      </c>
      <c r="K136" s="1"/>
      <c r="L136" s="5"/>
    </row>
    <row r="137" spans="1:12">
      <c r="A137" s="32">
        <v>2</v>
      </c>
      <c r="C137" s="810" t="s">
        <v>4</v>
      </c>
      <c r="D137" s="729" t="str">
        <f>'DE Ohio &amp; Kentucky'!D138</f>
        <v>321.96.b</v>
      </c>
      <c r="E137" s="368">
        <f>INPUT!C54</f>
        <v>1500</v>
      </c>
      <c r="F137" s="5"/>
      <c r="G137" s="5" t="s">
        <v>55</v>
      </c>
      <c r="H137" s="14">
        <f>J$217</f>
        <v>0.87604953369017025</v>
      </c>
      <c r="I137" s="5"/>
      <c r="J137" s="227">
        <f t="shared" ref="J137:J147" si="9">ROUND(H137*E137,0)</f>
        <v>1314</v>
      </c>
      <c r="K137" s="1"/>
      <c r="L137" s="5"/>
    </row>
    <row r="138" spans="1:12">
      <c r="A138" s="235">
        <v>3</v>
      </c>
      <c r="B138" s="67"/>
      <c r="C138" s="815" t="s">
        <v>60</v>
      </c>
      <c r="D138" s="729" t="str">
        <f>'DE Ohio &amp; Kentucky'!D139</f>
        <v>323.197.b</v>
      </c>
      <c r="E138" s="225">
        <f>'P5 Schedule 1 Charges acct 561'!C23</f>
        <v>84325173</v>
      </c>
      <c r="F138" s="37"/>
      <c r="G138" s="37" t="s">
        <v>40</v>
      </c>
      <c r="H138" s="64">
        <f t="shared" ref="H138:H144" si="10">$J$225</f>
        <v>0.13739751232751019</v>
      </c>
      <c r="I138" s="37"/>
      <c r="J138" s="227">
        <f t="shared" si="9"/>
        <v>11586069</v>
      </c>
      <c r="K138" s="5"/>
      <c r="L138" s="5" t="s">
        <v>12</v>
      </c>
    </row>
    <row r="139" spans="1:12">
      <c r="A139" s="235" t="s">
        <v>469</v>
      </c>
      <c r="B139" s="67"/>
      <c r="C139" s="814" t="s">
        <v>471</v>
      </c>
      <c r="D139" s="729" t="str">
        <f>'DE Ohio &amp; Kentucky'!D140</f>
        <v>(Note E)</v>
      </c>
      <c r="E139" s="368">
        <f>INPUT!C56</f>
        <v>245420</v>
      </c>
      <c r="F139" s="37"/>
      <c r="G139" s="37" t="s">
        <v>40</v>
      </c>
      <c r="H139" s="64">
        <f t="shared" si="10"/>
        <v>0.13739751232751019</v>
      </c>
      <c r="I139" s="37"/>
      <c r="J139" s="227">
        <f t="shared" si="9"/>
        <v>33720</v>
      </c>
      <c r="K139" s="5"/>
      <c r="L139" s="5"/>
    </row>
    <row r="140" spans="1:12">
      <c r="A140" s="235" t="s">
        <v>470</v>
      </c>
      <c r="B140" s="67"/>
      <c r="C140" s="814" t="s">
        <v>472</v>
      </c>
      <c r="D140" s="729" t="str">
        <f>'DE Ohio &amp; Kentucky'!D141</f>
        <v>(Note E)</v>
      </c>
      <c r="E140" s="368">
        <f>INPUT!C57</f>
        <v>2342494</v>
      </c>
      <c r="F140" s="37"/>
      <c r="G140" s="37" t="s">
        <v>40</v>
      </c>
      <c r="H140" s="64">
        <f t="shared" si="10"/>
        <v>0.13739751232751019</v>
      </c>
      <c r="I140" s="37"/>
      <c r="J140" s="227">
        <f t="shared" si="9"/>
        <v>321853</v>
      </c>
      <c r="K140" s="5"/>
      <c r="L140" s="5"/>
    </row>
    <row r="141" spans="1:12">
      <c r="A141" s="235" t="s">
        <v>642</v>
      </c>
      <c r="B141" s="67"/>
      <c r="C141" s="822" t="s">
        <v>778</v>
      </c>
      <c r="D141" s="729" t="str">
        <f>'DE Ohio &amp; Kentucky'!D142</f>
        <v>(Note Y)</v>
      </c>
      <c r="E141" s="368">
        <f>INPUT!C58</f>
        <v>0</v>
      </c>
      <c r="F141" s="37"/>
      <c r="G141" s="37" t="s">
        <v>40</v>
      </c>
      <c r="H141" s="64">
        <f t="shared" si="10"/>
        <v>0.13739751232751019</v>
      </c>
      <c r="I141" s="37"/>
      <c r="J141" s="227">
        <f t="shared" si="9"/>
        <v>0</v>
      </c>
      <c r="K141" s="5"/>
      <c r="L141" s="5"/>
    </row>
    <row r="142" spans="1:12" s="863" customFormat="1">
      <c r="A142" s="833"/>
      <c r="C142" s="826" t="s">
        <v>779</v>
      </c>
      <c r="D142" s="831"/>
      <c r="E142" s="225"/>
      <c r="F142" s="831"/>
      <c r="G142" s="831"/>
      <c r="H142" s="64"/>
      <c r="I142" s="831"/>
      <c r="J142" s="225"/>
      <c r="K142" s="831"/>
      <c r="L142" s="831"/>
    </row>
    <row r="143" spans="1:12">
      <c r="A143" s="235">
        <v>4</v>
      </c>
      <c r="B143" s="67"/>
      <c r="C143" s="814" t="s">
        <v>431</v>
      </c>
      <c r="D143" s="780" t="s">
        <v>690</v>
      </c>
      <c r="E143" s="368">
        <f>INPUT!C60</f>
        <v>0</v>
      </c>
      <c r="F143" s="37"/>
      <c r="G143" s="37" t="str">
        <f>G138</f>
        <v>W/S</v>
      </c>
      <c r="H143" s="64">
        <f t="shared" si="10"/>
        <v>0.13739751232751019</v>
      </c>
      <c r="I143" s="37"/>
      <c r="J143" s="227">
        <f t="shared" si="9"/>
        <v>0</v>
      </c>
      <c r="K143" s="5"/>
      <c r="L143" s="5"/>
    </row>
    <row r="144" spans="1:12">
      <c r="A144" s="235">
        <v>5</v>
      </c>
      <c r="B144" s="67"/>
      <c r="C144" s="812" t="s">
        <v>447</v>
      </c>
      <c r="D144" s="37"/>
      <c r="E144" s="368">
        <f>INPUT!C61</f>
        <v>2556872</v>
      </c>
      <c r="F144" s="37"/>
      <c r="G144" s="37" t="str">
        <f>G143</f>
        <v>W/S</v>
      </c>
      <c r="H144" s="64">
        <f t="shared" si="10"/>
        <v>0.13739751232751019</v>
      </c>
      <c r="I144" s="37"/>
      <c r="J144" s="227">
        <f t="shared" si="9"/>
        <v>351308</v>
      </c>
      <c r="K144" s="5"/>
      <c r="L144" s="5"/>
    </row>
    <row r="145" spans="1:12">
      <c r="A145" s="449" t="s">
        <v>175</v>
      </c>
      <c r="B145" s="67"/>
      <c r="C145" s="812" t="s">
        <v>448</v>
      </c>
      <c r="D145" s="37"/>
      <c r="E145" s="368">
        <f>INPUT!C62</f>
        <v>0</v>
      </c>
      <c r="F145" s="37"/>
      <c r="G145" s="63" t="str">
        <f>G134</f>
        <v>TE</v>
      </c>
      <c r="H145" s="64">
        <f>H134</f>
        <v>0.87604953369017025</v>
      </c>
      <c r="I145" s="37"/>
      <c r="J145" s="227">
        <f t="shared" si="9"/>
        <v>0</v>
      </c>
      <c r="K145" s="5"/>
      <c r="L145" s="5"/>
    </row>
    <row r="146" spans="1:12">
      <c r="A146" s="235">
        <v>6</v>
      </c>
      <c r="B146" s="67"/>
      <c r="C146" s="815" t="s">
        <v>41</v>
      </c>
      <c r="D146" s="729" t="str">
        <f>'DE Ohio &amp; Kentucky'!D147</f>
        <v>356.1</v>
      </c>
      <c r="E146" s="368">
        <f>INPUT!C63</f>
        <v>0</v>
      </c>
      <c r="F146" s="37"/>
      <c r="G146" s="37" t="s">
        <v>93</v>
      </c>
      <c r="H146" s="64">
        <f>H87</f>
        <v>9.0880657832041384E-2</v>
      </c>
      <c r="I146" s="37"/>
      <c r="J146" s="227">
        <f t="shared" si="9"/>
        <v>0</v>
      </c>
      <c r="K146" s="5"/>
      <c r="L146" s="5"/>
    </row>
    <row r="147" spans="1:12" ht="15.75" thickBot="1">
      <c r="A147" s="235">
        <v>7</v>
      </c>
      <c r="B147" s="67"/>
      <c r="C147" s="815" t="s">
        <v>61</v>
      </c>
      <c r="D147" s="37"/>
      <c r="E147" s="492">
        <f>INPUT!C64</f>
        <v>0</v>
      </c>
      <c r="F147" s="37"/>
      <c r="G147" s="37" t="s">
        <v>12</v>
      </c>
      <c r="H147" s="493">
        <v>1</v>
      </c>
      <c r="I147" s="37"/>
      <c r="J147" s="228">
        <f t="shared" si="9"/>
        <v>0</v>
      </c>
      <c r="K147" s="5"/>
      <c r="L147" s="5"/>
    </row>
    <row r="148" spans="1:12" s="863" customFormat="1">
      <c r="A148" s="833">
        <v>8</v>
      </c>
      <c r="C148" s="827" t="s">
        <v>792</v>
      </c>
      <c r="D148" s="831"/>
      <c r="E148" s="610">
        <f>E134-E135-E136-E137+E138-E139+E140-E141-E143-E144+E145+E146+E147</f>
        <v>100289669</v>
      </c>
      <c r="F148" s="831"/>
      <c r="G148" s="831"/>
      <c r="H148" s="831"/>
      <c r="I148" s="831"/>
      <c r="J148" s="610">
        <f>J134-J135-J136-J137+J138-J139+J140-J141-J143-J144+J145+J146+J147</f>
        <v>23983847</v>
      </c>
      <c r="K148" s="831"/>
      <c r="L148" s="831"/>
    </row>
    <row r="149" spans="1:12">
      <c r="A149" s="235"/>
      <c r="B149" s="67"/>
      <c r="C149" s="809"/>
      <c r="D149" s="37"/>
      <c r="E149" s="225"/>
      <c r="F149" s="37"/>
      <c r="G149" s="37"/>
      <c r="H149" s="37"/>
      <c r="I149" s="37"/>
      <c r="J149" s="225"/>
      <c r="K149" s="5"/>
      <c r="L149" s="5"/>
    </row>
    <row r="150" spans="1:12">
      <c r="A150" s="32"/>
      <c r="C150" s="805" t="s">
        <v>62</v>
      </c>
      <c r="D150" s="5"/>
      <c r="E150" s="227"/>
      <c r="F150" s="5"/>
      <c r="G150" s="5"/>
      <c r="H150" s="5"/>
      <c r="I150" s="5"/>
      <c r="J150" s="227"/>
      <c r="K150" s="5"/>
      <c r="L150" s="5"/>
    </row>
    <row r="151" spans="1:12">
      <c r="A151" s="32">
        <v>9</v>
      </c>
      <c r="C151" s="805" t="s">
        <v>59</v>
      </c>
      <c r="D151" s="729" t="str">
        <f>'DE Ohio &amp; Kentucky'!D152</f>
        <v>336.7.b</v>
      </c>
      <c r="E151" s="494">
        <f>INPUT!C68</f>
        <v>12501947</v>
      </c>
      <c r="F151" s="5"/>
      <c r="G151" s="5" t="s">
        <v>19</v>
      </c>
      <c r="H151" s="14">
        <f>J207</f>
        <v>1</v>
      </c>
      <c r="I151" s="5"/>
      <c r="J151" s="366">
        <f>ROUND(H151*E151,0)</f>
        <v>12501947</v>
      </c>
      <c r="K151" s="5"/>
      <c r="L151" s="18"/>
    </row>
    <row r="152" spans="1:12">
      <c r="A152" s="32">
        <v>10</v>
      </c>
      <c r="C152" s="805" t="s">
        <v>689</v>
      </c>
      <c r="D152" s="729" t="str">
        <f>'DE Ohio &amp; Kentucky'!D153</f>
        <v xml:space="preserve">336.10.b </v>
      </c>
      <c r="E152" s="368">
        <f>INPUT!C69</f>
        <v>13702281</v>
      </c>
      <c r="F152" s="5"/>
      <c r="G152" s="5" t="s">
        <v>40</v>
      </c>
      <c r="H152" s="14">
        <f>$J$225</f>
        <v>0.13739751232751019</v>
      </c>
      <c r="I152" s="5"/>
      <c r="J152" s="227">
        <f t="shared" ref="J152:J153" si="11">ROUND(H152*E152,0)</f>
        <v>1882659</v>
      </c>
      <c r="K152" s="5"/>
      <c r="L152" s="18"/>
    </row>
    <row r="153" spans="1:12" ht="15.75" thickBot="1">
      <c r="A153" s="32">
        <v>11</v>
      </c>
      <c r="C153" s="805" t="s">
        <v>41</v>
      </c>
      <c r="D153" s="729" t="str">
        <f>'DE Ohio &amp; Kentucky'!D154</f>
        <v>336.11.b</v>
      </c>
      <c r="E153" s="492">
        <f>INPUT!C70</f>
        <v>9933066</v>
      </c>
      <c r="F153" s="5"/>
      <c r="G153" s="5" t="s">
        <v>93</v>
      </c>
      <c r="H153" s="14">
        <f>H146</f>
        <v>9.0880657832041384E-2</v>
      </c>
      <c r="I153" s="5"/>
      <c r="J153" s="228">
        <f t="shared" si="11"/>
        <v>902724</v>
      </c>
      <c r="K153" s="5"/>
      <c r="L153" s="18"/>
    </row>
    <row r="154" spans="1:12">
      <c r="A154" s="32">
        <v>12</v>
      </c>
      <c r="C154" s="805" t="s">
        <v>64</v>
      </c>
      <c r="D154" s="5"/>
      <c r="E154" s="366">
        <f>SUM(E151:E153)</f>
        <v>36137294</v>
      </c>
      <c r="F154" s="5"/>
      <c r="G154" s="5"/>
      <c r="H154" s="5"/>
      <c r="I154" s="5"/>
      <c r="J154" s="366">
        <f>SUM(J151:J153)</f>
        <v>15287330</v>
      </c>
      <c r="K154" s="5"/>
      <c r="L154" s="5"/>
    </row>
    <row r="155" spans="1:12">
      <c r="A155" s="32"/>
      <c r="C155" s="805"/>
      <c r="D155" s="5"/>
      <c r="E155" s="227"/>
      <c r="F155" s="5"/>
      <c r="G155" s="5"/>
      <c r="H155" s="5"/>
      <c r="I155" s="5"/>
      <c r="J155" s="227"/>
      <c r="K155" s="5"/>
      <c r="L155" s="5"/>
    </row>
    <row r="156" spans="1:12">
      <c r="A156" s="32" t="s">
        <v>12</v>
      </c>
      <c r="C156" s="813" t="s">
        <v>449</v>
      </c>
      <c r="E156" s="227"/>
      <c r="F156" s="5"/>
      <c r="G156" s="5"/>
      <c r="H156" s="5"/>
      <c r="I156" s="5"/>
      <c r="J156" s="227"/>
      <c r="K156" s="5"/>
      <c r="L156" s="5"/>
    </row>
    <row r="157" spans="1:12">
      <c r="A157" s="32"/>
      <c r="C157" s="805" t="s">
        <v>65</v>
      </c>
      <c r="E157" s="227"/>
      <c r="F157" s="5"/>
      <c r="G157" s="5"/>
      <c r="I157" s="5"/>
      <c r="J157" s="227"/>
      <c r="K157" s="5"/>
      <c r="L157" s="18"/>
    </row>
    <row r="158" spans="1:12">
      <c r="A158" s="32">
        <v>13</v>
      </c>
      <c r="C158" s="811" t="s">
        <v>432</v>
      </c>
      <c r="D158" s="780" t="s">
        <v>2</v>
      </c>
      <c r="E158" s="494">
        <f>INPUT!C75</f>
        <v>5043193</v>
      </c>
      <c r="F158" s="5"/>
      <c r="G158" s="5" t="s">
        <v>40</v>
      </c>
      <c r="H158" s="14">
        <f>$J$225</f>
        <v>0.13739751232751019</v>
      </c>
      <c r="I158" s="5"/>
      <c r="J158" s="366">
        <f>ROUND(H158*E158,0)</f>
        <v>692922</v>
      </c>
      <c r="K158" s="5"/>
      <c r="L158" s="18"/>
    </row>
    <row r="159" spans="1:12">
      <c r="A159" s="32">
        <v>14</v>
      </c>
      <c r="C159" s="811" t="s">
        <v>433</v>
      </c>
      <c r="D159" s="780" t="s">
        <v>336</v>
      </c>
      <c r="E159" s="368">
        <f>INPUT!C76</f>
        <v>4990</v>
      </c>
      <c r="F159" s="5"/>
      <c r="G159" s="5" t="str">
        <f>G158</f>
        <v>W/S</v>
      </c>
      <c r="H159" s="14">
        <f>$J$225</f>
        <v>0.13739751232751019</v>
      </c>
      <c r="I159" s="5"/>
      <c r="J159" s="227">
        <f t="shared" ref="J159" si="12">ROUND(H159*E159,0)</f>
        <v>686</v>
      </c>
      <c r="K159" s="5"/>
      <c r="L159" s="18"/>
    </row>
    <row r="160" spans="1:12">
      <c r="A160" s="32">
        <v>15</v>
      </c>
      <c r="C160" s="805" t="s">
        <v>66</v>
      </c>
      <c r="D160" s="780" t="s">
        <v>12</v>
      </c>
      <c r="E160" s="368"/>
      <c r="F160" s="5"/>
      <c r="G160" s="5"/>
      <c r="I160" s="5"/>
      <c r="J160" s="227"/>
      <c r="K160" s="5"/>
      <c r="L160" s="18"/>
    </row>
    <row r="161" spans="1:12">
      <c r="A161" s="32">
        <v>16</v>
      </c>
      <c r="C161" s="805" t="s">
        <v>67</v>
      </c>
      <c r="D161" s="780" t="s">
        <v>337</v>
      </c>
      <c r="E161" s="368">
        <f>INPUT!C78</f>
        <v>102946816</v>
      </c>
      <c r="F161" s="5"/>
      <c r="G161" s="5" t="s">
        <v>56</v>
      </c>
      <c r="H161" s="19">
        <f>H80</f>
        <v>0.22548381425566877</v>
      </c>
      <c r="I161" s="5"/>
      <c r="J161" s="227">
        <f t="shared" ref="J161" si="13">ROUND(H161*E161,0)</f>
        <v>23212841</v>
      </c>
      <c r="K161" s="5"/>
      <c r="L161" s="18"/>
    </row>
    <row r="162" spans="1:12">
      <c r="A162" s="32">
        <v>17</v>
      </c>
      <c r="C162" s="805" t="s">
        <v>68</v>
      </c>
      <c r="D162" s="780" t="s">
        <v>338</v>
      </c>
      <c r="E162" s="368">
        <f>INPUT!C79</f>
        <v>2259371</v>
      </c>
      <c r="F162" s="5"/>
      <c r="G162" s="37" t="str">
        <f>G99</f>
        <v>NA</v>
      </c>
      <c r="H162" s="82" t="s">
        <v>176</v>
      </c>
      <c r="I162" s="5"/>
      <c r="J162" s="229">
        <v>0</v>
      </c>
      <c r="K162" s="5"/>
      <c r="L162" s="27" t="s">
        <v>12</v>
      </c>
    </row>
    <row r="163" spans="1:12">
      <c r="A163" s="32">
        <v>18</v>
      </c>
      <c r="C163" s="805" t="s">
        <v>69</v>
      </c>
      <c r="D163" s="780" t="s">
        <v>199</v>
      </c>
      <c r="E163" s="368">
        <f>INPUT!C80</f>
        <v>0</v>
      </c>
      <c r="F163" s="5"/>
      <c r="G163" s="5" t="str">
        <f>G161</f>
        <v>GP</v>
      </c>
      <c r="H163" s="19">
        <f>H161</f>
        <v>0.22548381425566877</v>
      </c>
      <c r="I163" s="5"/>
      <c r="J163" s="227">
        <f t="shared" ref="J163:J164" si="14">ROUND(H163*E163,0)</f>
        <v>0</v>
      </c>
      <c r="K163" s="5"/>
      <c r="L163" s="27" t="s">
        <v>12</v>
      </c>
    </row>
    <row r="164" spans="1:12" ht="15.75" thickBot="1">
      <c r="A164" s="32">
        <v>19</v>
      </c>
      <c r="C164" s="805" t="s">
        <v>70</v>
      </c>
      <c r="D164" s="5"/>
      <c r="E164" s="492">
        <f>INPUT!C81</f>
        <v>0</v>
      </c>
      <c r="F164" s="5"/>
      <c r="G164" s="5" t="s">
        <v>56</v>
      </c>
      <c r="H164" s="19">
        <f>H161</f>
        <v>0.22548381425566877</v>
      </c>
      <c r="I164" s="5"/>
      <c r="J164" s="228">
        <f t="shared" si="14"/>
        <v>0</v>
      </c>
      <c r="K164" s="5"/>
      <c r="L164" s="18"/>
    </row>
    <row r="165" spans="1:12">
      <c r="A165" s="32">
        <v>20</v>
      </c>
      <c r="C165" s="805" t="s">
        <v>71</v>
      </c>
      <c r="D165" s="5"/>
      <c r="E165" s="366">
        <f>E158+E159+E161+E162+E163+E164</f>
        <v>110254370</v>
      </c>
      <c r="F165" s="5"/>
      <c r="G165" s="5"/>
      <c r="H165" s="19"/>
      <c r="I165" s="5"/>
      <c r="J165" s="366">
        <f>J158+J159+J161+J162+J163+J164</f>
        <v>23906449</v>
      </c>
      <c r="K165" s="5"/>
      <c r="L165" s="5"/>
    </row>
    <row r="166" spans="1:12">
      <c r="A166" s="32"/>
      <c r="C166" s="805"/>
      <c r="D166" s="5"/>
      <c r="E166" s="227"/>
      <c r="F166" s="5"/>
      <c r="G166" s="5"/>
      <c r="H166" s="19"/>
      <c r="I166" s="5"/>
      <c r="J166" s="5"/>
      <c r="K166" s="5"/>
      <c r="L166" s="5"/>
    </row>
    <row r="167" spans="1:12">
      <c r="A167" s="32" t="s">
        <v>72</v>
      </c>
      <c r="C167" s="805"/>
      <c r="D167" s="5"/>
      <c r="E167" s="5"/>
      <c r="F167" s="5"/>
      <c r="G167" s="5"/>
      <c r="H167" s="19"/>
      <c r="I167" s="5"/>
      <c r="J167" s="5"/>
      <c r="K167" s="5"/>
      <c r="L167" s="5"/>
    </row>
    <row r="168" spans="1:12">
      <c r="A168" s="32" t="s">
        <v>12</v>
      </c>
      <c r="C168" s="813" t="s">
        <v>458</v>
      </c>
      <c r="D168" s="5"/>
      <c r="E168" s="5"/>
      <c r="F168" s="5"/>
      <c r="H168" s="16"/>
      <c r="I168" s="5"/>
      <c r="K168" s="5"/>
    </row>
    <row r="169" spans="1:12">
      <c r="A169" s="32">
        <v>21</v>
      </c>
      <c r="C169" s="807" t="s">
        <v>160</v>
      </c>
      <c r="D169" s="5"/>
      <c r="E169" s="608">
        <f>IF(E304&gt;0,1-(((1-E305)*(1-E304))/(1-E305*E304*E306)),0)</f>
        <v>0.35</v>
      </c>
      <c r="F169" s="5"/>
      <c r="H169" s="16"/>
      <c r="I169" s="5"/>
      <c r="K169" s="5"/>
    </row>
    <row r="170" spans="1:12">
      <c r="A170" s="32">
        <v>22</v>
      </c>
      <c r="C170" s="806" t="s">
        <v>161</v>
      </c>
      <c r="D170" s="5"/>
      <c r="E170" s="410">
        <f>IF(J249&gt;0,(E169/(1-E169))*(1-J246/J249),0)</f>
        <v>0.34856930509104422</v>
      </c>
      <c r="F170" s="5"/>
      <c r="H170" s="16"/>
      <c r="I170" s="5"/>
      <c r="K170" s="5"/>
    </row>
    <row r="171" spans="1:12">
      <c r="A171" s="32"/>
      <c r="C171" s="805" t="s">
        <v>407</v>
      </c>
      <c r="D171" s="5"/>
      <c r="E171" s="5"/>
      <c r="F171" s="5"/>
      <c r="H171" s="16"/>
      <c r="I171" s="5"/>
      <c r="K171" s="5"/>
    </row>
    <row r="172" spans="1:12">
      <c r="A172" s="32"/>
      <c r="C172" s="805" t="s">
        <v>163</v>
      </c>
      <c r="D172" s="5"/>
      <c r="E172" s="5"/>
      <c r="F172" s="5"/>
      <c r="H172" s="16"/>
      <c r="I172" s="5"/>
      <c r="K172" s="5"/>
    </row>
    <row r="173" spans="1:12">
      <c r="A173" s="32">
        <v>23</v>
      </c>
      <c r="C173" s="807" t="s">
        <v>162</v>
      </c>
      <c r="D173" s="5"/>
      <c r="E173" s="778">
        <f>IF(E169&gt;0,1/(1-E169),0)</f>
        <v>1.5384615384615383</v>
      </c>
      <c r="F173" s="5"/>
      <c r="H173" s="16"/>
      <c r="I173" s="5"/>
      <c r="J173" s="227"/>
      <c r="K173" s="5"/>
    </row>
    <row r="174" spans="1:12">
      <c r="A174" s="32">
        <v>24</v>
      </c>
      <c r="C174" s="805" t="s">
        <v>412</v>
      </c>
      <c r="D174" s="729" t="str">
        <f>'DE Ohio &amp; Kentucky'!D175</f>
        <v>266.8.f (enter negative)</v>
      </c>
      <c r="E174" s="368">
        <f>INPUT!C91</f>
        <v>-261246</v>
      </c>
      <c r="F174" s="5"/>
      <c r="H174" s="16"/>
      <c r="I174" s="5"/>
      <c r="J174" s="227"/>
      <c r="K174" s="5"/>
    </row>
    <row r="175" spans="1:12">
      <c r="A175" s="32"/>
      <c r="C175" s="805"/>
      <c r="D175" s="5"/>
      <c r="E175" s="227"/>
      <c r="F175" s="5"/>
      <c r="H175" s="16"/>
      <c r="I175" s="5"/>
      <c r="J175" s="227"/>
      <c r="K175" s="5"/>
    </row>
    <row r="176" spans="1:12">
      <c r="A176" s="32">
        <v>25</v>
      </c>
      <c r="C176" s="807" t="s">
        <v>413</v>
      </c>
      <c r="D176" s="48"/>
      <c r="E176" s="366">
        <f>E170*E180</f>
        <v>48026586.451133408</v>
      </c>
      <c r="F176" s="5"/>
      <c r="G176" s="5" t="s">
        <v>36</v>
      </c>
      <c r="H176" s="19"/>
      <c r="I176" s="5"/>
      <c r="J176" s="366">
        <f>E170*J180</f>
        <v>11205550.170196952</v>
      </c>
      <c r="K176" s="5"/>
      <c r="L176" s="15" t="s">
        <v>12</v>
      </c>
    </row>
    <row r="177" spans="1:12" ht="15.75" thickBot="1">
      <c r="A177" s="32">
        <v>26</v>
      </c>
      <c r="C177" s="806" t="s">
        <v>166</v>
      </c>
      <c r="D177" s="48"/>
      <c r="E177" s="228">
        <f>E173*E174</f>
        <v>-401916.92307692306</v>
      </c>
      <c r="F177" s="5"/>
      <c r="G177" s="12" t="s">
        <v>54</v>
      </c>
      <c r="H177" s="19">
        <f>H96</f>
        <v>0.22616206377250073</v>
      </c>
      <c r="I177" s="5"/>
      <c r="J177" s="228">
        <f>H177*E177</f>
        <v>-90898.360788170336</v>
      </c>
      <c r="K177" s="5"/>
      <c r="L177" s="15"/>
    </row>
    <row r="178" spans="1:12">
      <c r="A178" s="32">
        <v>27</v>
      </c>
      <c r="C178" s="808" t="s">
        <v>150</v>
      </c>
      <c r="D178" s="729" t="str">
        <f>'DE Ohio &amp; Kentucky'!D179</f>
        <v>(line 25 plus line 26)</v>
      </c>
      <c r="E178" s="369">
        <f>E176+E177</f>
        <v>47624669.528056487</v>
      </c>
      <c r="F178" s="5"/>
      <c r="G178" s="5" t="s">
        <v>12</v>
      </c>
      <c r="H178" s="19" t="s">
        <v>12</v>
      </c>
      <c r="I178" s="5"/>
      <c r="J178" s="369">
        <f>J176+J177</f>
        <v>11114651.809408782</v>
      </c>
      <c r="K178" s="5"/>
      <c r="L178" s="5"/>
    </row>
    <row r="179" spans="1:12">
      <c r="A179" s="32" t="s">
        <v>12</v>
      </c>
      <c r="C179" s="804"/>
      <c r="D179" s="20"/>
      <c r="E179" s="227"/>
      <c r="F179" s="5"/>
      <c r="G179" s="5"/>
      <c r="H179" s="19"/>
      <c r="I179" s="5"/>
      <c r="J179" s="227"/>
      <c r="K179" s="5"/>
      <c r="L179" s="5"/>
    </row>
    <row r="180" spans="1:12">
      <c r="A180" s="32">
        <v>28</v>
      </c>
      <c r="C180" s="805" t="s">
        <v>73</v>
      </c>
      <c r="D180" s="18"/>
      <c r="E180" s="366">
        <f>ROUND($J249*E114,0)</f>
        <v>137782030</v>
      </c>
      <c r="F180" s="5"/>
      <c r="G180" s="5" t="s">
        <v>36</v>
      </c>
      <c r="H180" s="16"/>
      <c r="I180" s="5"/>
      <c r="J180" s="366">
        <f>ROUND($J249*J114,0)</f>
        <v>32147266</v>
      </c>
      <c r="K180" s="5"/>
    </row>
    <row r="181" spans="1:12">
      <c r="A181" s="32"/>
      <c r="C181" s="808" t="s">
        <v>74</v>
      </c>
      <c r="E181" s="227"/>
      <c r="F181" s="5"/>
      <c r="G181" s="5"/>
      <c r="H181" s="16"/>
      <c r="I181" s="5"/>
      <c r="J181" s="227"/>
      <c r="K181" s="5"/>
      <c r="L181" s="18"/>
    </row>
    <row r="182" spans="1:12">
      <c r="A182" s="32"/>
      <c r="C182" s="805"/>
      <c r="E182" s="230"/>
      <c r="F182" s="5"/>
      <c r="G182" s="5"/>
      <c r="H182" s="16"/>
      <c r="I182" s="5"/>
      <c r="J182" s="230"/>
      <c r="K182" s="5"/>
      <c r="L182" s="18"/>
    </row>
    <row r="183" spans="1:12" ht="15.75" thickBot="1">
      <c r="A183" s="32">
        <v>29</v>
      </c>
      <c r="C183" s="805" t="s">
        <v>164</v>
      </c>
      <c r="D183" s="5"/>
      <c r="E183" s="370">
        <f>E180+E178+E165+E154+E148</f>
        <v>432088032.5280565</v>
      </c>
      <c r="F183" s="94"/>
      <c r="G183" s="94"/>
      <c r="H183" s="94"/>
      <c r="I183" s="94"/>
      <c r="J183" s="370">
        <f>J180+J178+J165+J154+J148</f>
        <v>106439543.80940878</v>
      </c>
      <c r="K183" s="1"/>
      <c r="L183" s="1"/>
    </row>
    <row r="184" spans="1:12" ht="15.75" thickTop="1">
      <c r="A184" s="32"/>
      <c r="C184" s="3"/>
      <c r="D184" s="5"/>
      <c r="E184" s="94"/>
      <c r="F184" s="5"/>
      <c r="G184" s="5"/>
      <c r="H184" s="5"/>
      <c r="I184" s="5"/>
      <c r="J184" s="94"/>
      <c r="K184" s="1"/>
      <c r="L184" s="1"/>
    </row>
    <row r="185" spans="1:12">
      <c r="A185" s="32"/>
      <c r="C185" s="3"/>
      <c r="D185" s="5"/>
      <c r="E185" s="94"/>
      <c r="F185" s="5"/>
      <c r="G185" s="5"/>
      <c r="H185" s="5"/>
      <c r="I185" s="5"/>
      <c r="J185" s="94"/>
      <c r="K185" s="1"/>
      <c r="L185" s="1"/>
    </row>
    <row r="186" spans="1:12">
      <c r="A186" s="32"/>
      <c r="C186" s="3"/>
      <c r="D186" s="29"/>
      <c r="E186" s="30"/>
      <c r="F186" s="29"/>
      <c r="G186" s="29"/>
      <c r="H186" s="29"/>
      <c r="I186" s="31"/>
      <c r="K186" s="32"/>
      <c r="L186" s="92"/>
    </row>
    <row r="187" spans="1:12" ht="18">
      <c r="A187" s="244"/>
      <c r="C187" s="29"/>
      <c r="D187" s="29"/>
      <c r="E187" s="30"/>
      <c r="F187" s="29"/>
      <c r="I187" s="91"/>
      <c r="J187" s="77" t="s">
        <v>369</v>
      </c>
    </row>
    <row r="188" spans="1:12">
      <c r="C188" s="29"/>
      <c r="D188" s="29"/>
      <c r="E188" s="30"/>
      <c r="F188" s="29"/>
      <c r="H188" s="31"/>
      <c r="J188" s="77" t="s">
        <v>574</v>
      </c>
    </row>
    <row r="189" spans="1:12">
      <c r="C189" s="29"/>
      <c r="D189" s="29"/>
      <c r="E189" s="30"/>
      <c r="F189" s="29"/>
      <c r="H189" s="31"/>
      <c r="I189" s="1"/>
    </row>
    <row r="190" spans="1:12">
      <c r="C190" s="29"/>
      <c r="D190" s="29"/>
      <c r="E190" s="30"/>
      <c r="F190" s="29"/>
      <c r="H190" s="31"/>
      <c r="I190" s="1"/>
    </row>
    <row r="191" spans="1:12">
      <c r="C191" s="29"/>
      <c r="D191" s="29"/>
      <c r="E191" s="30"/>
      <c r="F191" s="29"/>
      <c r="H191" s="31"/>
      <c r="I191" s="1"/>
    </row>
    <row r="192" spans="1:12">
      <c r="C192" s="29"/>
      <c r="D192" s="29"/>
      <c r="E192" s="30"/>
      <c r="F192" s="29"/>
      <c r="H192" s="31"/>
      <c r="I192" s="1"/>
      <c r="J192" s="77"/>
    </row>
    <row r="193" spans="1:12">
      <c r="C193" s="29" t="s">
        <v>11</v>
      </c>
      <c r="D193" s="29"/>
      <c r="E193" s="30"/>
      <c r="F193" s="29"/>
      <c r="H193" s="31"/>
      <c r="I193" s="1"/>
      <c r="J193" s="92" t="str">
        <f>J7</f>
        <v>For the 12 months ended: 12/31/2015</v>
      </c>
    </row>
    <row r="194" spans="1:12">
      <c r="A194" s="277" t="str">
        <f>A8</f>
        <v>Rate Formula Template</v>
      </c>
      <c r="B194" s="279"/>
      <c r="C194" s="279"/>
      <c r="D194" s="272"/>
      <c r="E194" s="118"/>
      <c r="F194" s="272"/>
      <c r="G194" s="272"/>
      <c r="H194" s="272"/>
      <c r="I194" s="272"/>
      <c r="J194" s="118"/>
      <c r="K194" s="273"/>
      <c r="L194" s="118"/>
    </row>
    <row r="195" spans="1:12">
      <c r="A195" s="280" t="s">
        <v>331</v>
      </c>
      <c r="B195" s="279"/>
      <c r="C195" s="277"/>
      <c r="D195" s="274"/>
      <c r="E195" s="118"/>
      <c r="F195" s="274"/>
      <c r="G195" s="274"/>
      <c r="H195" s="274"/>
      <c r="I195" s="272"/>
      <c r="J195" s="272"/>
      <c r="K195" s="275"/>
      <c r="L195" s="275"/>
    </row>
    <row r="196" spans="1:12">
      <c r="A196" s="273"/>
      <c r="B196" s="279"/>
      <c r="C196" s="273"/>
      <c r="D196" s="275"/>
      <c r="E196" s="118"/>
      <c r="F196" s="275"/>
      <c r="G196" s="275"/>
      <c r="H196" s="275"/>
      <c r="I196" s="275"/>
      <c r="J196" s="275"/>
      <c r="K196" s="275"/>
      <c r="L196" s="275"/>
    </row>
    <row r="197" spans="1:12" ht="15.75">
      <c r="A197" s="276" t="s">
        <v>215</v>
      </c>
      <c r="B197" s="279"/>
      <c r="C197" s="273"/>
      <c r="D197" s="275"/>
      <c r="E197" s="118"/>
      <c r="F197" s="275"/>
      <c r="G197" s="275"/>
      <c r="H197" s="275"/>
      <c r="I197" s="275"/>
      <c r="J197" s="275"/>
      <c r="K197" s="275"/>
      <c r="L197" s="275"/>
    </row>
    <row r="198" spans="1:12" ht="15.75">
      <c r="A198" s="281" t="s">
        <v>332</v>
      </c>
      <c r="B198" s="118"/>
      <c r="C198" s="118"/>
      <c r="D198" s="118"/>
      <c r="E198" s="118"/>
      <c r="F198" s="275"/>
      <c r="G198" s="275"/>
      <c r="H198" s="275"/>
      <c r="I198" s="275"/>
      <c r="J198" s="275"/>
      <c r="K198" s="274"/>
      <c r="L198" s="274"/>
    </row>
    <row r="199" spans="1:12" ht="15.75">
      <c r="A199" s="32" t="s">
        <v>13</v>
      </c>
      <c r="C199" s="13"/>
      <c r="D199" s="1"/>
      <c r="E199" s="1"/>
      <c r="F199" s="1"/>
      <c r="G199" s="1"/>
      <c r="H199" s="1"/>
      <c r="I199" s="1"/>
      <c r="J199" s="1"/>
      <c r="K199" s="5"/>
      <c r="L199" s="5"/>
    </row>
    <row r="200" spans="1:12" ht="15.75">
      <c r="A200" s="290" t="s">
        <v>15</v>
      </c>
      <c r="B200" s="297"/>
      <c r="C200" s="394" t="s">
        <v>381</v>
      </c>
      <c r="D200" s="66"/>
      <c r="E200" s="66"/>
      <c r="F200" s="66"/>
      <c r="G200" s="66"/>
      <c r="H200" s="66"/>
      <c r="I200" s="67"/>
      <c r="J200" s="67"/>
      <c r="K200" s="37"/>
      <c r="L200" s="5"/>
    </row>
    <row r="201" spans="1:12">
      <c r="A201" s="32"/>
      <c r="C201" s="65"/>
      <c r="D201" s="66"/>
      <c r="E201" s="66"/>
      <c r="F201" s="66"/>
      <c r="G201" s="66"/>
      <c r="H201" s="66"/>
      <c r="I201" s="66"/>
      <c r="J201" s="66"/>
      <c r="K201" s="37"/>
      <c r="L201" s="5"/>
    </row>
    <row r="202" spans="1:12">
      <c r="A202" s="32">
        <v>1</v>
      </c>
      <c r="C202" s="60" t="s">
        <v>382</v>
      </c>
      <c r="D202" s="66"/>
      <c r="E202" s="37"/>
      <c r="F202" s="37"/>
      <c r="G202" s="37"/>
      <c r="H202" s="37"/>
      <c r="I202" s="37"/>
      <c r="J202" s="610">
        <f>E76</f>
        <v>722095646</v>
      </c>
      <c r="K202" s="37"/>
      <c r="L202" s="5"/>
    </row>
    <row r="203" spans="1:12">
      <c r="A203" s="32">
        <v>2</v>
      </c>
      <c r="C203" s="432" t="s">
        <v>438</v>
      </c>
      <c r="D203" s="67"/>
      <c r="E203" s="67"/>
      <c r="F203" s="67"/>
      <c r="G203" s="67"/>
      <c r="H203" s="67"/>
      <c r="I203" s="67"/>
      <c r="J203" s="287">
        <f>INPUT!C95</f>
        <v>0</v>
      </c>
      <c r="K203" s="37"/>
      <c r="L203" s="5"/>
    </row>
    <row r="204" spans="1:12" ht="15.75" thickBot="1">
      <c r="A204" s="32">
        <v>3</v>
      </c>
      <c r="C204" s="433" t="s">
        <v>439</v>
      </c>
      <c r="D204" s="68"/>
      <c r="E204" s="69"/>
      <c r="F204" s="37"/>
      <c r="G204" s="37"/>
      <c r="H204" s="70"/>
      <c r="I204" s="37"/>
      <c r="J204" s="234">
        <f>INPUT!C96</f>
        <v>0</v>
      </c>
      <c r="K204" s="37"/>
    </row>
    <row r="205" spans="1:12">
      <c r="A205" s="32">
        <v>4</v>
      </c>
      <c r="C205" s="60" t="s">
        <v>383</v>
      </c>
      <c r="D205" s="66"/>
      <c r="E205" s="37"/>
      <c r="F205" s="37"/>
      <c r="G205" s="37"/>
      <c r="H205" s="70"/>
      <c r="I205" s="37"/>
      <c r="J205" s="610">
        <f>J202-J203-J204</f>
        <v>722095646</v>
      </c>
      <c r="K205" s="37"/>
      <c r="L205" s="5"/>
    </row>
    <row r="206" spans="1:12">
      <c r="A206" s="32"/>
      <c r="C206" s="67"/>
      <c r="D206" s="66"/>
      <c r="E206" s="37"/>
      <c r="F206" s="37"/>
      <c r="G206" s="37"/>
      <c r="H206" s="70"/>
      <c r="I206" s="37"/>
      <c r="J206" s="67"/>
      <c r="K206" s="37"/>
      <c r="L206" s="5"/>
    </row>
    <row r="207" spans="1:12">
      <c r="A207" s="32">
        <v>5</v>
      </c>
      <c r="C207" s="60" t="s">
        <v>384</v>
      </c>
      <c r="D207" s="71"/>
      <c r="E207" s="72"/>
      <c r="F207" s="72"/>
      <c r="G207" s="72"/>
      <c r="H207" s="73"/>
      <c r="I207" s="37" t="s">
        <v>78</v>
      </c>
      <c r="J207" s="62">
        <f>IF(J202&gt;0,J205/J202,0)</f>
        <v>1</v>
      </c>
      <c r="K207" s="37"/>
      <c r="L207" s="5"/>
    </row>
    <row r="208" spans="1:12">
      <c r="A208" s="32"/>
      <c r="C208" s="67"/>
      <c r="D208" s="67"/>
      <c r="E208" s="67"/>
      <c r="F208" s="67"/>
      <c r="G208" s="67"/>
      <c r="H208" s="67"/>
      <c r="I208" s="67"/>
      <c r="J208" s="67"/>
      <c r="K208" s="37"/>
      <c r="L208" s="5"/>
    </row>
    <row r="209" spans="1:12" ht="15.75">
      <c r="A209" s="32"/>
      <c r="C209" s="393" t="s">
        <v>75</v>
      </c>
      <c r="D209" s="67"/>
      <c r="E209" s="67"/>
      <c r="F209" s="67"/>
      <c r="G209" s="67"/>
      <c r="H209" s="67"/>
      <c r="I209" s="67"/>
      <c r="J209" s="67"/>
      <c r="K209" s="37"/>
      <c r="L209" s="5"/>
    </row>
    <row r="210" spans="1:12">
      <c r="A210" s="32"/>
      <c r="C210" s="67"/>
      <c r="D210" s="67"/>
      <c r="E210" s="67"/>
      <c r="F210" s="67"/>
      <c r="G210" s="67"/>
      <c r="H210" s="67"/>
      <c r="I210" s="67"/>
      <c r="J210" s="67"/>
      <c r="K210" s="37"/>
      <c r="L210" s="5"/>
    </row>
    <row r="211" spans="1:12">
      <c r="A211" s="32">
        <v>6</v>
      </c>
      <c r="C211" s="67" t="s">
        <v>76</v>
      </c>
      <c r="D211" s="67"/>
      <c r="E211" s="66"/>
      <c r="F211" s="66"/>
      <c r="G211" s="66"/>
      <c r="H211" s="74"/>
      <c r="I211" s="66"/>
      <c r="J211" s="610">
        <f>E134</f>
        <v>31976701</v>
      </c>
      <c r="K211" s="37"/>
      <c r="L211" s="5"/>
    </row>
    <row r="212" spans="1:12" ht="15.75" thickBot="1">
      <c r="A212" s="32">
        <v>7</v>
      </c>
      <c r="C212" s="433" t="s">
        <v>440</v>
      </c>
      <c r="D212" s="68"/>
      <c r="E212" s="69"/>
      <c r="F212" s="69"/>
      <c r="G212" s="37"/>
      <c r="H212" s="37"/>
      <c r="I212" s="37"/>
      <c r="J212" s="226">
        <f>'P5 Schedule 1 Charges acct 561'!C41</f>
        <v>3963527</v>
      </c>
      <c r="K212" s="37"/>
      <c r="L212" s="5"/>
    </row>
    <row r="213" spans="1:12">
      <c r="A213" s="32">
        <v>8</v>
      </c>
      <c r="C213" s="60" t="s">
        <v>180</v>
      </c>
      <c r="D213" s="71"/>
      <c r="E213" s="72"/>
      <c r="F213" s="72"/>
      <c r="G213" s="72"/>
      <c r="H213" s="73"/>
      <c r="I213" s="72"/>
      <c r="J213" s="610">
        <f>J211-J212</f>
        <v>28013174</v>
      </c>
      <c r="K213" s="67"/>
    </row>
    <row r="214" spans="1:12">
      <c r="A214" s="32"/>
      <c r="C214" s="60"/>
      <c r="D214" s="66"/>
      <c r="E214" s="37"/>
      <c r="F214" s="37"/>
      <c r="G214" s="37"/>
      <c r="H214" s="37"/>
      <c r="I214" s="67"/>
      <c r="J214" s="67"/>
      <c r="K214" s="67"/>
    </row>
    <row r="215" spans="1:12">
      <c r="A215" s="32">
        <v>9</v>
      </c>
      <c r="C215" s="60" t="s">
        <v>179</v>
      </c>
      <c r="D215" s="66"/>
      <c r="E215" s="37"/>
      <c r="F215" s="37"/>
      <c r="G215" s="37"/>
      <c r="H215" s="37"/>
      <c r="I215" s="37"/>
      <c r="J215" s="64">
        <f>IF(J211&gt;0,J213/J211,0)</f>
        <v>0.87604953369017025</v>
      </c>
      <c r="K215" s="67"/>
    </row>
    <row r="216" spans="1:12">
      <c r="A216" s="32">
        <v>10</v>
      </c>
      <c r="C216" s="60" t="s">
        <v>385</v>
      </c>
      <c r="D216" s="66"/>
      <c r="E216" s="37"/>
      <c r="F216" s="37"/>
      <c r="G216" s="37"/>
      <c r="H216" s="37"/>
      <c r="I216" s="66" t="s">
        <v>19</v>
      </c>
      <c r="J216" s="75">
        <f>J207</f>
        <v>1</v>
      </c>
      <c r="K216" s="67"/>
    </row>
    <row r="217" spans="1:12">
      <c r="A217" s="32">
        <v>11</v>
      </c>
      <c r="C217" s="60" t="s">
        <v>386</v>
      </c>
      <c r="D217" s="66"/>
      <c r="E217" s="66"/>
      <c r="F217" s="66"/>
      <c r="G217" s="66"/>
      <c r="H217" s="66"/>
      <c r="I217" s="66" t="s">
        <v>77</v>
      </c>
      <c r="J217" s="76">
        <f>J216*J215</f>
        <v>0.87604953369017025</v>
      </c>
      <c r="K217" s="67"/>
    </row>
    <row r="218" spans="1:12">
      <c r="A218" s="32"/>
      <c r="D218" s="1"/>
      <c r="E218" s="5"/>
      <c r="F218" s="5"/>
      <c r="G218" s="5"/>
      <c r="H218" s="6"/>
      <c r="I218" s="5"/>
    </row>
    <row r="219" spans="1:12" ht="15.75">
      <c r="A219" s="32" t="s">
        <v>12</v>
      </c>
      <c r="C219" s="13" t="s">
        <v>79</v>
      </c>
      <c r="D219" s="5"/>
      <c r="E219" s="5"/>
      <c r="F219" s="5"/>
      <c r="G219" s="5"/>
      <c r="H219" s="5"/>
      <c r="I219" s="5"/>
      <c r="J219" s="5"/>
      <c r="K219" s="5"/>
      <c r="L219" s="5"/>
    </row>
    <row r="220" spans="1:12" ht="15.75" thickBot="1">
      <c r="A220" s="32" t="s">
        <v>12</v>
      </c>
      <c r="C220" s="3"/>
      <c r="D220" s="44" t="s">
        <v>80</v>
      </c>
      <c r="E220" s="45" t="s">
        <v>81</v>
      </c>
      <c r="F220" s="45" t="s">
        <v>19</v>
      </c>
      <c r="G220" s="5"/>
      <c r="H220" s="45" t="s">
        <v>82</v>
      </c>
      <c r="I220" s="5"/>
      <c r="J220" s="5"/>
      <c r="K220" s="5"/>
      <c r="L220" s="5"/>
    </row>
    <row r="221" spans="1:12">
      <c r="A221" s="32">
        <v>12</v>
      </c>
      <c r="C221" s="3" t="s">
        <v>35</v>
      </c>
      <c r="D221" s="729" t="str">
        <f>'DE Ohio &amp; Kentucky'!D222</f>
        <v>354.20.b</v>
      </c>
      <c r="E221" s="368">
        <f>INPUT!C105</f>
        <v>2659100</v>
      </c>
      <c r="F221" s="83">
        <v>0</v>
      </c>
      <c r="G221" s="22"/>
      <c r="H221" s="5">
        <f>E221*F221</f>
        <v>0</v>
      </c>
      <c r="I221" s="5"/>
      <c r="J221" s="5"/>
      <c r="K221" s="5"/>
      <c r="L221" s="5"/>
    </row>
    <row r="222" spans="1:12">
      <c r="A222" s="32">
        <v>13</v>
      </c>
      <c r="C222" s="3" t="s">
        <v>37</v>
      </c>
      <c r="D222" s="729" t="str">
        <f>'DE Ohio &amp; Kentucky'!D223</f>
        <v>354.21.b</v>
      </c>
      <c r="E222" s="368">
        <f>INPUT!C106</f>
        <v>7185179</v>
      </c>
      <c r="F222" s="22">
        <f>J207</f>
        <v>1</v>
      </c>
      <c r="G222" s="22"/>
      <c r="H222" s="5">
        <f>E222*F222</f>
        <v>7185179</v>
      </c>
      <c r="I222" s="5"/>
      <c r="J222" s="5"/>
      <c r="K222" s="5"/>
      <c r="L222" s="5"/>
    </row>
    <row r="223" spans="1:12">
      <c r="A223" s="32">
        <v>14</v>
      </c>
      <c r="C223" s="3" t="s">
        <v>38</v>
      </c>
      <c r="D223" s="729" t="str">
        <f>'DE Ohio &amp; Kentucky'!D224</f>
        <v>354.23.b</v>
      </c>
      <c r="E223" s="368">
        <f>INPUT!C107</f>
        <v>29032012</v>
      </c>
      <c r="F223" s="83">
        <v>0</v>
      </c>
      <c r="G223" s="22"/>
      <c r="H223" s="5">
        <f>E223*F223</f>
        <v>0</v>
      </c>
      <c r="I223" s="5"/>
      <c r="J223" s="47" t="s">
        <v>84</v>
      </c>
      <c r="K223" s="5"/>
      <c r="L223" s="5"/>
    </row>
    <row r="224" spans="1:12" ht="15.75" thickBot="1">
      <c r="A224" s="32">
        <v>15</v>
      </c>
      <c r="C224" s="3" t="s">
        <v>85</v>
      </c>
      <c r="D224" s="729" t="str">
        <f>'DE Ohio &amp; Kentucky'!D225</f>
        <v>354.24,25,26.b</v>
      </c>
      <c r="E224" s="234">
        <f>INPUT!C108</f>
        <v>13418535</v>
      </c>
      <c r="F224" s="83">
        <v>0</v>
      </c>
      <c r="G224" s="22"/>
      <c r="H224" s="44">
        <f>E224*F224</f>
        <v>0</v>
      </c>
      <c r="I224" s="5"/>
      <c r="J224" s="40" t="s">
        <v>86</v>
      </c>
      <c r="K224" s="5"/>
      <c r="L224" s="5"/>
    </row>
    <row r="225" spans="1:12">
      <c r="A225" s="32">
        <v>16</v>
      </c>
      <c r="C225" s="3" t="s">
        <v>172</v>
      </c>
      <c r="D225" s="5"/>
      <c r="E225" s="227">
        <f>SUM(E221:E224)</f>
        <v>52294826</v>
      </c>
      <c r="F225" s="5"/>
      <c r="G225" s="5"/>
      <c r="H225" s="5">
        <f>SUM(H221:H224)</f>
        <v>7185179</v>
      </c>
      <c r="I225" s="4" t="s">
        <v>87</v>
      </c>
      <c r="J225" s="14">
        <f>IF(H225&gt;0,H225/E225,0)</f>
        <v>0.13739751232751019</v>
      </c>
      <c r="K225" s="6" t="s">
        <v>87</v>
      </c>
      <c r="L225" s="5" t="s">
        <v>169</v>
      </c>
    </row>
    <row r="226" spans="1:12">
      <c r="A226" s="32"/>
      <c r="C226" s="3"/>
      <c r="D226" s="5"/>
      <c r="E226" s="5"/>
      <c r="F226" s="5"/>
      <c r="G226" s="5"/>
      <c r="H226" s="5"/>
      <c r="I226" s="5"/>
      <c r="J226" s="5"/>
      <c r="K226" s="5"/>
      <c r="L226" s="5"/>
    </row>
    <row r="227" spans="1:12" ht="15.75">
      <c r="A227" s="32"/>
      <c r="C227" s="434" t="s">
        <v>441</v>
      </c>
      <c r="D227" s="5"/>
      <c r="E227" s="5"/>
      <c r="F227" s="5"/>
      <c r="G227" s="5"/>
      <c r="H227" s="6" t="s">
        <v>88</v>
      </c>
      <c r="I227" s="16" t="s">
        <v>12</v>
      </c>
      <c r="J227" s="18" t="str">
        <f>J223</f>
        <v>W&amp;S Allocator</v>
      </c>
    </row>
    <row r="228" spans="1:12" ht="15.75" thickBot="1">
      <c r="A228" s="32"/>
      <c r="C228" s="3"/>
      <c r="D228" s="5"/>
      <c r="E228" s="609" t="s">
        <v>81</v>
      </c>
      <c r="F228" s="5"/>
      <c r="G228" s="5"/>
      <c r="H228" s="32" t="s">
        <v>91</v>
      </c>
      <c r="I228" s="34"/>
      <c r="J228" s="32" t="s">
        <v>92</v>
      </c>
      <c r="K228" s="5"/>
      <c r="L228" s="519" t="s">
        <v>93</v>
      </c>
    </row>
    <row r="229" spans="1:12">
      <c r="A229" s="32">
        <v>17</v>
      </c>
      <c r="C229" s="3" t="s">
        <v>89</v>
      </c>
      <c r="D229" s="729" t="str">
        <f>'DE Ohio &amp; Kentucky'!D230</f>
        <v>200.3.c</v>
      </c>
      <c r="E229" s="368">
        <f>INPUT!C113</f>
        <v>2679713093</v>
      </c>
      <c r="F229" s="5"/>
      <c r="H229" s="19">
        <f>IF(E232&gt;0,E229/E232,0)</f>
        <v>0.6614432553583065</v>
      </c>
      <c r="I229" s="6" t="s">
        <v>95</v>
      </c>
      <c r="J229" s="19">
        <f>J225</f>
        <v>0.13739751232751019</v>
      </c>
      <c r="K229" s="16" t="s">
        <v>87</v>
      </c>
      <c r="L229" s="520">
        <f>J229*H229</f>
        <v>9.0880657832041384E-2</v>
      </c>
    </row>
    <row r="230" spans="1:12">
      <c r="A230" s="32">
        <v>18</v>
      </c>
      <c r="C230" s="3" t="s">
        <v>94</v>
      </c>
      <c r="D230" s="729" t="str">
        <f>'DE Ohio &amp; Kentucky'!D231</f>
        <v>201.3.d</v>
      </c>
      <c r="E230" s="368">
        <f>INPUT!C114</f>
        <v>1371599051</v>
      </c>
      <c r="F230" s="5"/>
    </row>
    <row r="231" spans="1:12" ht="15.75" thickBot="1">
      <c r="A231" s="32">
        <v>19</v>
      </c>
      <c r="C231" s="54" t="s">
        <v>96</v>
      </c>
      <c r="D231" s="54" t="str">
        <f>'DE Ohio &amp; Kentucky'!D232</f>
        <v>201.3.e</v>
      </c>
      <c r="E231" s="234">
        <f>INPUT!C115</f>
        <v>0</v>
      </c>
      <c r="F231" s="5"/>
      <c r="G231" s="5"/>
      <c r="H231" s="5" t="s">
        <v>12</v>
      </c>
      <c r="I231" s="5"/>
      <c r="J231" s="5"/>
      <c r="K231" s="5"/>
      <c r="L231" s="5"/>
    </row>
    <row r="232" spans="1:12">
      <c r="A232" s="32">
        <v>20</v>
      </c>
      <c r="C232" s="3" t="s">
        <v>151</v>
      </c>
      <c r="D232" s="5"/>
      <c r="E232" s="227">
        <f>E229+E230+E231</f>
        <v>4051312144</v>
      </c>
      <c r="F232" s="5"/>
      <c r="G232" s="5"/>
      <c r="H232" s="5"/>
      <c r="I232" s="5"/>
      <c r="J232" s="5"/>
      <c r="K232" s="5"/>
      <c r="L232" s="5"/>
    </row>
    <row r="233" spans="1:12">
      <c r="A233" s="32"/>
      <c r="C233" s="3"/>
      <c r="D233" s="5"/>
      <c r="F233" s="5"/>
      <c r="G233" s="5"/>
      <c r="H233" s="5"/>
      <c r="I233" s="5"/>
      <c r="J233" s="5"/>
      <c r="K233" s="5"/>
      <c r="L233" s="5"/>
    </row>
    <row r="234" spans="1:12" ht="16.5" thickBot="1">
      <c r="A234" s="32"/>
      <c r="B234" s="31"/>
      <c r="C234" s="392" t="s">
        <v>97</v>
      </c>
      <c r="D234" s="5"/>
      <c r="E234" s="5"/>
      <c r="F234" s="5"/>
      <c r="G234" s="5"/>
      <c r="H234" s="5"/>
      <c r="I234" s="5"/>
      <c r="J234" s="45" t="s">
        <v>81</v>
      </c>
      <c r="K234" s="5"/>
      <c r="L234" s="5"/>
    </row>
    <row r="235" spans="1:12">
      <c r="A235" s="32">
        <v>21</v>
      </c>
      <c r="B235" s="31"/>
      <c r="C235" s="31"/>
      <c r="D235" s="729" t="str">
        <f>'DE Ohio &amp; Kentucky'!D236</f>
        <v>Long Term Interest (117, sum of 62.c through 67.c)</v>
      </c>
      <c r="E235" s="5"/>
      <c r="F235" s="5"/>
      <c r="G235" s="5"/>
      <c r="H235" s="5"/>
      <c r="I235" s="5"/>
      <c r="J235" s="607">
        <f>INPUT!C119</f>
        <v>71755777</v>
      </c>
      <c r="K235" s="5"/>
      <c r="L235" s="5"/>
    </row>
    <row r="236" spans="1:12">
      <c r="A236" s="32"/>
      <c r="C236" s="3"/>
      <c r="D236" s="5"/>
      <c r="E236" s="5"/>
      <c r="F236" s="5"/>
      <c r="G236" s="5"/>
      <c r="H236" s="5"/>
      <c r="I236" s="5"/>
      <c r="J236" s="227"/>
      <c r="K236" s="5"/>
      <c r="L236" s="5"/>
    </row>
    <row r="237" spans="1:12">
      <c r="A237" s="32">
        <v>22</v>
      </c>
      <c r="B237" s="31"/>
      <c r="C237" s="29"/>
      <c r="D237" s="729" t="str">
        <f>'DE Ohio &amp; Kentucky'!D238</f>
        <v>Preferred Dividends (118.29c) (positive number)</v>
      </c>
      <c r="E237" s="5"/>
      <c r="F237" s="5"/>
      <c r="G237" s="5"/>
      <c r="H237" s="5"/>
      <c r="I237" s="37"/>
      <c r="J237" s="606">
        <f>INPUT!C121</f>
        <v>0</v>
      </c>
      <c r="K237" s="5"/>
      <c r="L237" s="5"/>
    </row>
    <row r="238" spans="1:12">
      <c r="A238" s="32"/>
      <c r="B238" s="31"/>
      <c r="C238" s="29"/>
      <c r="D238" s="5"/>
      <c r="E238" s="5"/>
      <c r="F238" s="5"/>
      <c r="G238" s="5"/>
      <c r="H238" s="5"/>
      <c r="I238" s="5"/>
      <c r="J238" s="227"/>
      <c r="K238" s="5"/>
      <c r="L238" s="5"/>
    </row>
    <row r="239" spans="1:12">
      <c r="A239" s="32"/>
      <c r="B239" s="31"/>
      <c r="C239" s="29" t="s">
        <v>99</v>
      </c>
      <c r="D239" s="5"/>
      <c r="E239" s="5"/>
      <c r="F239" s="5"/>
      <c r="G239" s="5"/>
      <c r="H239" s="5"/>
      <c r="I239" s="5"/>
      <c r="J239" s="227"/>
      <c r="K239" s="5"/>
      <c r="L239" s="5"/>
    </row>
    <row r="240" spans="1:12">
      <c r="A240" s="32">
        <v>23</v>
      </c>
      <c r="B240" s="31"/>
      <c r="C240" s="29"/>
      <c r="D240" s="729" t="str">
        <f>'DE Ohio &amp; Kentucky'!D241</f>
        <v>Proprietary Capital (112.16.c)</v>
      </c>
      <c r="E240" s="31"/>
      <c r="F240" s="5"/>
      <c r="G240" s="5"/>
      <c r="H240" s="5"/>
      <c r="I240" s="5"/>
      <c r="J240" s="368">
        <f>INPUT!C124</f>
        <v>1883871966</v>
      </c>
      <c r="K240" s="5"/>
      <c r="L240" s="5"/>
    </row>
    <row r="241" spans="1:12">
      <c r="A241" s="32">
        <v>24</v>
      </c>
      <c r="B241" s="31"/>
      <c r="C241" s="29"/>
      <c r="D241" s="729" t="str">
        <f>'DE Ohio &amp; Kentucky'!D242</f>
        <v xml:space="preserve">Less Preferred Stock (line 28) </v>
      </c>
      <c r="E241" s="5"/>
      <c r="F241" s="5"/>
      <c r="G241" s="5"/>
      <c r="H241" s="5"/>
      <c r="I241" s="5"/>
      <c r="J241" s="368">
        <f>INPUT!C125</f>
        <v>0</v>
      </c>
      <c r="K241" s="5"/>
      <c r="L241" s="5"/>
    </row>
    <row r="242" spans="1:12" ht="15.75" thickBot="1">
      <c r="A242" s="32">
        <v>25</v>
      </c>
      <c r="B242" s="31"/>
      <c r="C242" s="29"/>
      <c r="D242" s="729" t="str">
        <f>'DE Ohio &amp; Kentucky'!D243</f>
        <v>Less Account 216.1 (112.12.c)  (enter negative)</v>
      </c>
      <c r="E242" s="5"/>
      <c r="F242" s="5"/>
      <c r="G242" s="5"/>
      <c r="H242" s="5"/>
      <c r="I242" s="5"/>
      <c r="J242" s="234">
        <f>INPUT!C126</f>
        <v>-727839201</v>
      </c>
      <c r="K242" s="5"/>
      <c r="L242" s="5"/>
    </row>
    <row r="243" spans="1:12">
      <c r="A243" s="32">
        <v>26</v>
      </c>
      <c r="B243" s="31"/>
      <c r="C243" s="31"/>
      <c r="D243" s="729" t="str">
        <f>'DE Ohio &amp; Kentucky'!D244</f>
        <v>Common Stock (sum lines 23-25)</v>
      </c>
      <c r="E243" s="31"/>
      <c r="F243" s="31"/>
      <c r="G243" s="31"/>
      <c r="H243" s="31"/>
      <c r="I243" s="31"/>
      <c r="J243" s="227">
        <f>J240+J241+J242</f>
        <v>1156032765</v>
      </c>
      <c r="K243" s="5"/>
      <c r="L243" s="5"/>
    </row>
    <row r="244" spans="1:12">
      <c r="A244" s="32"/>
      <c r="C244" s="3"/>
      <c r="D244" s="5"/>
      <c r="E244" s="5"/>
      <c r="F244" s="5"/>
      <c r="G244" s="5"/>
      <c r="H244" s="6"/>
      <c r="I244" s="5"/>
      <c r="J244" s="5"/>
      <c r="K244" s="5"/>
      <c r="L244" s="5"/>
    </row>
    <row r="245" spans="1:12" ht="15.75" thickBot="1">
      <c r="A245" s="32"/>
      <c r="C245" s="3"/>
      <c r="D245" s="58" t="s">
        <v>426</v>
      </c>
      <c r="E245" s="40" t="s">
        <v>81</v>
      </c>
      <c r="F245" s="40" t="s">
        <v>102</v>
      </c>
      <c r="G245" s="5"/>
      <c r="H245" s="40" t="s">
        <v>101</v>
      </c>
      <c r="I245" s="5"/>
      <c r="J245" s="40" t="s">
        <v>103</v>
      </c>
      <c r="K245" s="5"/>
      <c r="L245" s="5"/>
    </row>
    <row r="246" spans="1:12">
      <c r="A246" s="32">
        <v>27</v>
      </c>
      <c r="C246" s="65" t="s">
        <v>209</v>
      </c>
      <c r="E246" s="368">
        <f>INPUT!C130</f>
        <v>1300000000</v>
      </c>
      <c r="F246" s="55">
        <f>IF($E$249&gt;0,E246/$E$249,0)</f>
        <v>0.52930889950892002</v>
      </c>
      <c r="G246" s="23"/>
      <c r="H246" s="23">
        <f>IF(E246&gt;0,J235/E246,0)</f>
        <v>5.5196751538461541E-2</v>
      </c>
      <c r="J246" s="23">
        <f>ROUND(H246*F246,4)</f>
        <v>2.92E-2</v>
      </c>
      <c r="K246" s="24" t="s">
        <v>104</v>
      </c>
    </row>
    <row r="247" spans="1:12">
      <c r="A247" s="32">
        <v>28</v>
      </c>
      <c r="C247" s="65" t="s">
        <v>210</v>
      </c>
      <c r="E247" s="368">
        <f>INPUT!C131</f>
        <v>0</v>
      </c>
      <c r="F247" s="55">
        <f>IF($E$249&gt;0,E247/$E$249,0)</f>
        <v>0</v>
      </c>
      <c r="G247" s="23"/>
      <c r="H247" s="23">
        <f>IF(E247&gt;0,J237/E247,0)</f>
        <v>0</v>
      </c>
      <c r="J247" s="23">
        <f>ROUND(H247*F247,4)</f>
        <v>0</v>
      </c>
      <c r="K247" s="5"/>
    </row>
    <row r="248" spans="1:12" ht="16.5" thickBot="1">
      <c r="A248" s="32">
        <v>29</v>
      </c>
      <c r="C248" s="29" t="s">
        <v>105</v>
      </c>
      <c r="E248" s="228">
        <f>J243</f>
        <v>1156032765</v>
      </c>
      <c r="F248" s="55">
        <f>IF($E$249&gt;0,E248/$E$249,0)</f>
        <v>0.47069110049107998</v>
      </c>
      <c r="G248" s="23"/>
      <c r="H248" s="615">
        <f>ROE</f>
        <v>0.1138</v>
      </c>
      <c r="J248" s="61">
        <f>ROUND(H248*F248,4)</f>
        <v>5.3600000000000002E-2</v>
      </c>
      <c r="K248" s="5"/>
    </row>
    <row r="249" spans="1:12">
      <c r="A249" s="32">
        <v>30</v>
      </c>
      <c r="C249" s="3" t="s">
        <v>171</v>
      </c>
      <c r="E249" s="227">
        <f>E248+E247+E246</f>
        <v>2456032765</v>
      </c>
      <c r="F249" s="5" t="s">
        <v>12</v>
      </c>
      <c r="G249" s="5"/>
      <c r="H249" s="5"/>
      <c r="I249" s="5"/>
      <c r="J249" s="23">
        <f>SUM(J246:J248)</f>
        <v>8.2799999999999999E-2</v>
      </c>
      <c r="K249" s="24" t="s">
        <v>106</v>
      </c>
    </row>
    <row r="250" spans="1:12">
      <c r="F250" s="5"/>
      <c r="G250" s="5"/>
      <c r="H250" s="5"/>
      <c r="I250" s="5"/>
    </row>
    <row r="251" spans="1:12">
      <c r="L251" s="5"/>
    </row>
    <row r="252" spans="1:12" ht="15.75">
      <c r="A252" s="32"/>
      <c r="C252" s="392" t="s">
        <v>107</v>
      </c>
      <c r="D252" s="31"/>
      <c r="E252" s="31"/>
      <c r="F252" s="31"/>
      <c r="G252" s="31"/>
      <c r="H252" s="31"/>
      <c r="I252" s="31"/>
      <c r="J252" s="31"/>
      <c r="K252" s="31"/>
      <c r="L252" s="31"/>
    </row>
    <row r="253" spans="1:12" ht="15.75" thickBot="1">
      <c r="A253" s="32"/>
      <c r="C253" s="29"/>
      <c r="D253" s="29"/>
      <c r="E253" s="29"/>
      <c r="F253" s="29"/>
      <c r="G253" s="29"/>
      <c r="H253" s="29"/>
      <c r="I253" s="29"/>
      <c r="J253" s="40" t="s">
        <v>152</v>
      </c>
      <c r="K253" s="58"/>
    </row>
    <row r="254" spans="1:12">
      <c r="A254" s="32"/>
      <c r="C254" s="430" t="s">
        <v>442</v>
      </c>
      <c r="D254" s="31"/>
      <c r="E254" s="31" t="s">
        <v>108</v>
      </c>
      <c r="F254" s="31"/>
      <c r="G254" s="31"/>
      <c r="H254" s="35" t="s">
        <v>12</v>
      </c>
      <c r="I254" s="28"/>
      <c r="J254" s="237"/>
      <c r="K254" s="237"/>
    </row>
    <row r="255" spans="1:12">
      <c r="A255" s="32">
        <v>31</v>
      </c>
      <c r="C255" s="12" t="s">
        <v>149</v>
      </c>
      <c r="D255" s="31"/>
      <c r="E255" s="31"/>
      <c r="G255" s="31"/>
      <c r="I255" s="28"/>
      <c r="J255" s="495">
        <v>0</v>
      </c>
      <c r="K255" s="238"/>
    </row>
    <row r="256" spans="1:12" ht="15.75" thickBot="1">
      <c r="A256" s="32">
        <v>32</v>
      </c>
      <c r="C256" s="56" t="s">
        <v>414</v>
      </c>
      <c r="D256" s="53"/>
      <c r="E256" s="56"/>
      <c r="F256" s="52"/>
      <c r="G256" s="52"/>
      <c r="H256" s="52"/>
      <c r="I256" s="31"/>
      <c r="J256" s="496">
        <v>0</v>
      </c>
      <c r="K256" s="239"/>
    </row>
    <row r="257" spans="1:12">
      <c r="A257" s="32">
        <v>33</v>
      </c>
      <c r="C257" s="12" t="s">
        <v>109</v>
      </c>
      <c r="D257" s="1"/>
      <c r="F257" s="31"/>
      <c r="G257" s="31"/>
      <c r="H257" s="31"/>
      <c r="I257" s="31"/>
      <c r="J257" s="59">
        <f>J255-J256</f>
        <v>0</v>
      </c>
      <c r="K257" s="238"/>
    </row>
    <row r="258" spans="1:12">
      <c r="A258" s="32"/>
      <c r="C258" s="12" t="s">
        <v>12</v>
      </c>
      <c r="D258" s="1"/>
      <c r="F258" s="31"/>
      <c r="G258" s="31"/>
      <c r="H258" s="46"/>
      <c r="I258" s="31"/>
      <c r="J258" s="41" t="s">
        <v>12</v>
      </c>
      <c r="K258" s="237"/>
      <c r="L258" s="42"/>
    </row>
    <row r="259" spans="1:12">
      <c r="A259" s="32">
        <v>34</v>
      </c>
      <c r="C259" s="430" t="s">
        <v>443</v>
      </c>
      <c r="D259" s="1"/>
      <c r="F259" s="31"/>
      <c r="G259" s="31"/>
      <c r="H259" s="57"/>
      <c r="I259" s="31"/>
      <c r="J259" s="116">
        <f>ROUND('P8 Rev Cred Support'!C23,0)</f>
        <v>160435</v>
      </c>
      <c r="K259" s="237"/>
      <c r="L259" s="42"/>
    </row>
    <row r="260" spans="1:12">
      <c r="A260" s="32"/>
      <c r="D260" s="31"/>
      <c r="E260" s="31"/>
      <c r="F260" s="31"/>
      <c r="G260" s="31"/>
      <c r="H260" s="31"/>
      <c r="I260" s="31"/>
      <c r="J260" s="79"/>
      <c r="K260" s="237"/>
      <c r="L260" s="42"/>
    </row>
    <row r="261" spans="1:12">
      <c r="A261" s="32">
        <v>35</v>
      </c>
      <c r="C261" s="430" t="s">
        <v>466</v>
      </c>
      <c r="D261" s="31"/>
      <c r="E261" s="31" t="s">
        <v>110</v>
      </c>
      <c r="F261" s="31"/>
      <c r="G261" s="31"/>
      <c r="H261" s="31"/>
      <c r="I261" s="31"/>
      <c r="J261" s="116">
        <f>'P8 Rev Cred Support'!C50</f>
        <v>785680</v>
      </c>
      <c r="L261" s="43"/>
    </row>
    <row r="262" spans="1:12">
      <c r="A262" s="32"/>
      <c r="C262" s="39"/>
      <c r="D262" s="29"/>
      <c r="E262" s="30"/>
      <c r="F262" s="29"/>
      <c r="G262" s="29"/>
      <c r="H262" s="29"/>
      <c r="I262" s="31"/>
      <c r="K262" s="32"/>
      <c r="L262" s="92"/>
    </row>
    <row r="263" spans="1:12" ht="18">
      <c r="A263" s="244"/>
      <c r="C263" s="29"/>
      <c r="D263" s="29"/>
      <c r="E263" s="30"/>
      <c r="F263" s="29"/>
      <c r="G263" s="29"/>
      <c r="H263" s="29"/>
      <c r="I263" s="31"/>
      <c r="J263" s="77" t="s">
        <v>369</v>
      </c>
      <c r="K263" s="91"/>
    </row>
    <row r="264" spans="1:12">
      <c r="C264" s="29"/>
      <c r="D264" s="29"/>
      <c r="E264" s="30"/>
      <c r="F264" s="29"/>
      <c r="G264" s="29"/>
      <c r="H264" s="29"/>
      <c r="I264" s="31"/>
      <c r="J264" s="77" t="s">
        <v>573</v>
      </c>
    </row>
    <row r="265" spans="1:12">
      <c r="C265" s="29"/>
      <c r="D265" s="29"/>
      <c r="E265" s="30"/>
      <c r="F265" s="29"/>
      <c r="G265" s="29"/>
      <c r="H265" s="29"/>
      <c r="I265" s="31"/>
      <c r="J265" s="77"/>
    </row>
    <row r="266" spans="1:12">
      <c r="C266" s="29"/>
      <c r="D266" s="29"/>
      <c r="E266" s="30"/>
      <c r="F266" s="29"/>
      <c r="G266" s="29"/>
      <c r="H266" s="29"/>
      <c r="I266" s="31"/>
    </row>
    <row r="267" spans="1:12">
      <c r="C267" s="29"/>
      <c r="D267" s="29"/>
      <c r="E267" s="30"/>
      <c r="F267" s="29"/>
      <c r="G267" s="29"/>
      <c r="H267" s="29"/>
      <c r="I267" s="31"/>
      <c r="K267" s="1"/>
    </row>
    <row r="268" spans="1:12">
      <c r="C268" s="29"/>
      <c r="D268" s="29"/>
      <c r="E268" s="30"/>
      <c r="F268" s="29"/>
      <c r="G268" s="29"/>
      <c r="H268" s="29"/>
      <c r="I268" s="31"/>
      <c r="J268" s="77"/>
      <c r="K268" s="1"/>
    </row>
    <row r="269" spans="1:12">
      <c r="C269" s="29" t="s">
        <v>11</v>
      </c>
      <c r="D269" s="29"/>
      <c r="E269" s="30"/>
      <c r="F269" s="29"/>
      <c r="G269" s="29"/>
      <c r="H269" s="29"/>
      <c r="I269" s="31"/>
      <c r="J269" s="92" t="str">
        <f>$J$7</f>
        <v>For the 12 months ended: 12/31/2015</v>
      </c>
      <c r="K269" s="1"/>
    </row>
    <row r="270" spans="1:12">
      <c r="A270" s="277" t="str">
        <f>$A$8</f>
        <v>Rate Formula Template</v>
      </c>
      <c r="B270" s="118"/>
      <c r="C270" s="118"/>
      <c r="D270" s="272"/>
      <c r="E270" s="118"/>
      <c r="F270" s="272"/>
      <c r="G270" s="272"/>
      <c r="H270" s="272"/>
      <c r="I270" s="272"/>
      <c r="J270" s="118"/>
      <c r="K270" s="31"/>
      <c r="L270" s="118"/>
    </row>
    <row r="271" spans="1:12">
      <c r="A271" s="280" t="s">
        <v>331</v>
      </c>
      <c r="B271" s="118"/>
      <c r="C271" s="272"/>
      <c r="D271" s="274"/>
      <c r="E271" s="118"/>
      <c r="F271" s="274"/>
      <c r="G271" s="274"/>
      <c r="H271" s="274"/>
      <c r="I271" s="272"/>
      <c r="J271" s="272"/>
      <c r="K271" s="31"/>
      <c r="L271" s="275"/>
    </row>
    <row r="272" spans="1:12">
      <c r="A272" s="273"/>
      <c r="B272" s="118"/>
      <c r="C272" s="275"/>
      <c r="D272" s="275"/>
      <c r="E272" s="118"/>
      <c r="F272" s="275"/>
      <c r="G272" s="275"/>
      <c r="H272" s="275"/>
      <c r="I272" s="275"/>
      <c r="J272" s="275"/>
      <c r="K272" s="31"/>
      <c r="L272" s="275"/>
    </row>
    <row r="273" spans="1:12" ht="15.75">
      <c r="A273" s="276" t="s">
        <v>215</v>
      </c>
      <c r="B273" s="118"/>
      <c r="C273" s="275"/>
      <c r="D273" s="275"/>
      <c r="E273" s="118"/>
      <c r="F273" s="275"/>
      <c r="G273" s="275"/>
      <c r="H273" s="275"/>
      <c r="I273" s="275"/>
      <c r="J273" s="275"/>
      <c r="K273" s="31"/>
      <c r="L273" s="275"/>
    </row>
    <row r="274" spans="1:12">
      <c r="A274" s="32"/>
      <c r="B274" s="31"/>
      <c r="C274" s="39"/>
      <c r="D274" s="32"/>
      <c r="E274" s="5"/>
      <c r="F274" s="5"/>
      <c r="G274" s="5"/>
      <c r="H274" s="5"/>
      <c r="I274" s="31"/>
      <c r="J274" s="241"/>
      <c r="K274" s="31"/>
      <c r="L274" s="240"/>
    </row>
    <row r="275" spans="1:12">
      <c r="A275" s="32"/>
      <c r="B275" s="31"/>
      <c r="C275" s="29" t="s">
        <v>111</v>
      </c>
      <c r="D275" s="32"/>
      <c r="E275" s="5"/>
      <c r="F275" s="5"/>
      <c r="G275" s="5"/>
      <c r="H275" s="5"/>
      <c r="I275" s="31"/>
      <c r="J275" s="5"/>
      <c r="K275" s="31"/>
      <c r="L275" s="5"/>
    </row>
    <row r="276" spans="1:12">
      <c r="A276" s="32" t="s">
        <v>113</v>
      </c>
      <c r="B276" s="31"/>
      <c r="C276" s="29" t="s">
        <v>112</v>
      </c>
      <c r="D276" s="31"/>
      <c r="E276" s="5"/>
      <c r="F276" s="5"/>
      <c r="G276" s="5"/>
      <c r="H276" s="5"/>
      <c r="I276" s="31"/>
      <c r="J276" s="5"/>
      <c r="K276" s="31"/>
      <c r="L276" s="5"/>
    </row>
    <row r="277" spans="1:12">
      <c r="A277" s="290" t="s">
        <v>114</v>
      </c>
      <c r="B277" s="31"/>
      <c r="C277" s="29"/>
      <c r="D277" s="31"/>
      <c r="E277" s="5"/>
      <c r="F277" s="5"/>
      <c r="G277" s="5"/>
      <c r="H277" s="5"/>
      <c r="I277" s="31"/>
      <c r="J277" s="5"/>
      <c r="K277" s="31"/>
      <c r="L277" s="5"/>
    </row>
    <row r="278" spans="1:12">
      <c r="A278" s="830" t="s">
        <v>115</v>
      </c>
      <c r="B278" s="829"/>
      <c r="C278" s="905" t="s">
        <v>692</v>
      </c>
      <c r="D278" s="905"/>
      <c r="E278" s="906"/>
      <c r="F278" s="906"/>
      <c r="G278" s="906"/>
      <c r="H278" s="906"/>
      <c r="I278" s="905"/>
      <c r="J278" s="906"/>
      <c r="K278" s="905"/>
      <c r="L278" s="906"/>
    </row>
    <row r="279" spans="1:12" s="892" customFormat="1" ht="20.45" customHeight="1">
      <c r="A279" s="830"/>
      <c r="B279" s="829"/>
      <c r="C279" s="905" t="s">
        <v>693</v>
      </c>
      <c r="D279" s="905"/>
      <c r="E279" s="906"/>
      <c r="F279" s="906"/>
      <c r="G279" s="906"/>
      <c r="H279" s="906"/>
      <c r="I279" s="905"/>
      <c r="J279" s="906"/>
      <c r="K279" s="905"/>
      <c r="L279" s="906"/>
    </row>
    <row r="280" spans="1:12" s="892" customFormat="1" ht="20.45" customHeight="1">
      <c r="A280" s="830"/>
      <c r="B280" s="829"/>
      <c r="C280" s="905" t="s">
        <v>705</v>
      </c>
      <c r="D280" s="905"/>
      <c r="E280" s="906"/>
      <c r="F280" s="906"/>
      <c r="G280" s="906"/>
      <c r="H280" s="906"/>
      <c r="I280" s="905"/>
      <c r="J280" s="906"/>
      <c r="K280" s="905"/>
      <c r="L280" s="906"/>
    </row>
    <row r="281" spans="1:12">
      <c r="A281" s="833" t="s">
        <v>116</v>
      </c>
      <c r="B281" s="847"/>
      <c r="C281" s="899" t="s">
        <v>695</v>
      </c>
      <c r="D281" s="847"/>
      <c r="E281" s="37"/>
      <c r="F281" s="37"/>
      <c r="G281" s="37"/>
      <c r="H281" s="37"/>
      <c r="I281" s="60"/>
      <c r="J281" s="37"/>
      <c r="K281" s="60"/>
      <c r="L281" s="37"/>
    </row>
    <row r="282" spans="1:12" s="828" customFormat="1">
      <c r="A282" s="833"/>
      <c r="B282" s="847"/>
      <c r="C282" s="898" t="s">
        <v>696</v>
      </c>
      <c r="D282" s="847"/>
      <c r="E282" s="831"/>
      <c r="F282" s="831"/>
      <c r="G282" s="831"/>
      <c r="H282" s="831"/>
      <c r="I282" s="832"/>
      <c r="J282" s="831"/>
      <c r="K282" s="832"/>
      <c r="L282" s="831"/>
    </row>
    <row r="283" spans="1:12" s="828" customFormat="1" ht="18">
      <c r="A283" s="833"/>
      <c r="B283" s="847"/>
      <c r="C283" s="899" t="s">
        <v>706</v>
      </c>
      <c r="D283" s="847"/>
      <c r="E283" s="831"/>
      <c r="F283" s="831"/>
      <c r="G283" s="831"/>
      <c r="H283" s="831"/>
      <c r="I283" s="832"/>
      <c r="J283" s="831"/>
      <c r="K283" s="832"/>
      <c r="L283" s="831"/>
    </row>
    <row r="284" spans="1:12">
      <c r="A284" s="833" t="s">
        <v>117</v>
      </c>
      <c r="B284" s="847"/>
      <c r="C284" s="861" t="s">
        <v>364</v>
      </c>
      <c r="D284" s="847"/>
      <c r="E284" s="60"/>
      <c r="F284" s="60"/>
      <c r="G284" s="60"/>
      <c r="H284" s="60"/>
      <c r="I284" s="60"/>
      <c r="J284" s="37"/>
      <c r="K284" s="60"/>
      <c r="L284" s="60"/>
    </row>
    <row r="285" spans="1:12" s="828" customFormat="1">
      <c r="A285" s="833" t="s">
        <v>118</v>
      </c>
      <c r="B285" s="847"/>
      <c r="C285" s="861" t="s">
        <v>364</v>
      </c>
      <c r="D285" s="847"/>
      <c r="E285" s="832"/>
      <c r="F285" s="832"/>
      <c r="G285" s="832"/>
      <c r="H285" s="832"/>
      <c r="I285" s="832"/>
      <c r="J285" s="831"/>
      <c r="K285" s="832"/>
      <c r="L285" s="832"/>
    </row>
    <row r="286" spans="1:12" s="828" customFormat="1">
      <c r="A286" s="833" t="s">
        <v>119</v>
      </c>
      <c r="B286" s="847"/>
      <c r="C286" s="847" t="s">
        <v>473</v>
      </c>
      <c r="D286" s="847"/>
      <c r="E286" s="832"/>
      <c r="F286" s="832"/>
      <c r="G286" s="832"/>
      <c r="H286" s="832"/>
      <c r="I286" s="832"/>
      <c r="J286" s="831"/>
      <c r="K286" s="832"/>
      <c r="L286" s="832"/>
    </row>
    <row r="287" spans="1:12">
      <c r="A287" s="833"/>
      <c r="B287" s="847"/>
      <c r="C287" s="847" t="s">
        <v>541</v>
      </c>
      <c r="D287" s="847"/>
      <c r="E287" s="60"/>
      <c r="F287" s="60"/>
      <c r="G287" s="60"/>
      <c r="H287" s="60"/>
      <c r="I287" s="60"/>
      <c r="J287" s="37"/>
      <c r="K287" s="60"/>
      <c r="L287" s="60"/>
    </row>
    <row r="288" spans="1:12">
      <c r="A288" s="830" t="s">
        <v>120</v>
      </c>
      <c r="B288" s="829"/>
      <c r="C288" s="847" t="s">
        <v>264</v>
      </c>
      <c r="D288" s="847"/>
      <c r="E288" s="60"/>
      <c r="F288" s="60"/>
      <c r="G288" s="60"/>
      <c r="H288" s="60"/>
      <c r="I288" s="60"/>
      <c r="J288" s="37"/>
      <c r="K288" s="60"/>
      <c r="L288" s="60"/>
    </row>
    <row r="289" spans="1:12">
      <c r="A289" s="830"/>
      <c r="B289" s="829"/>
      <c r="C289" s="847" t="s">
        <v>265</v>
      </c>
      <c r="D289" s="847"/>
      <c r="E289" s="60"/>
      <c r="F289" s="60"/>
      <c r="G289" s="60"/>
      <c r="H289" s="60"/>
      <c r="I289" s="60"/>
      <c r="J289" s="37"/>
      <c r="K289" s="60"/>
      <c r="L289" s="60"/>
    </row>
    <row r="290" spans="1:12">
      <c r="A290" s="830"/>
      <c r="B290" s="829"/>
      <c r="C290" s="847" t="s">
        <v>243</v>
      </c>
      <c r="D290" s="847"/>
      <c r="E290" s="60"/>
      <c r="F290" s="60"/>
      <c r="G290" s="60"/>
      <c r="H290" s="60"/>
      <c r="I290" s="60"/>
      <c r="J290" s="60"/>
      <c r="K290" s="60"/>
      <c r="L290" s="60"/>
    </row>
    <row r="291" spans="1:12">
      <c r="A291" s="830" t="s">
        <v>121</v>
      </c>
      <c r="B291" s="829"/>
      <c r="C291" s="847" t="s">
        <v>122</v>
      </c>
      <c r="D291" s="847"/>
      <c r="E291" s="60"/>
      <c r="F291" s="60"/>
      <c r="G291" s="60"/>
      <c r="H291" s="60"/>
      <c r="I291" s="60"/>
      <c r="J291" s="60"/>
      <c r="K291" s="60"/>
      <c r="L291" s="60"/>
    </row>
    <row r="292" spans="1:12">
      <c r="A292" s="830" t="s">
        <v>123</v>
      </c>
      <c r="B292" s="829"/>
      <c r="C292" s="847" t="s">
        <v>124</v>
      </c>
      <c r="D292" s="847"/>
      <c r="E292" s="60"/>
      <c r="F292" s="60"/>
      <c r="G292" s="60"/>
      <c r="H292" s="60"/>
      <c r="I292" s="60"/>
      <c r="J292" s="60"/>
      <c r="K292" s="60"/>
      <c r="L292" s="60"/>
    </row>
    <row r="293" spans="1:12">
      <c r="A293" s="830"/>
      <c r="B293" s="829"/>
      <c r="C293" s="847" t="s">
        <v>372</v>
      </c>
      <c r="D293" s="847"/>
      <c r="E293" s="60"/>
      <c r="F293" s="60"/>
      <c r="G293" s="60"/>
      <c r="H293" s="60"/>
      <c r="I293" s="60"/>
      <c r="J293" s="60"/>
      <c r="K293" s="60"/>
      <c r="L293" s="60"/>
    </row>
    <row r="294" spans="1:12">
      <c r="A294" s="830" t="s">
        <v>125</v>
      </c>
      <c r="B294" s="829"/>
      <c r="C294" s="847" t="s">
        <v>397</v>
      </c>
      <c r="D294" s="847"/>
      <c r="E294" s="60"/>
      <c r="F294" s="60"/>
      <c r="G294" s="60"/>
      <c r="H294" s="60"/>
      <c r="I294" s="60"/>
      <c r="J294" s="60"/>
      <c r="K294" s="60"/>
      <c r="L294" s="60"/>
    </row>
    <row r="295" spans="1:12">
      <c r="A295" s="830"/>
      <c r="B295" s="829"/>
      <c r="C295" s="863" t="s">
        <v>398</v>
      </c>
      <c r="D295" s="847"/>
      <c r="E295" s="60"/>
      <c r="F295" s="60"/>
      <c r="G295" s="60"/>
      <c r="H295" s="60"/>
      <c r="I295" s="60"/>
      <c r="J295" s="60"/>
      <c r="K295" s="60"/>
      <c r="L295" s="60"/>
    </row>
    <row r="296" spans="1:12">
      <c r="A296" s="830" t="s">
        <v>126</v>
      </c>
      <c r="B296" s="829"/>
      <c r="C296" s="847" t="s">
        <v>399</v>
      </c>
      <c r="D296" s="847"/>
      <c r="E296" s="60"/>
      <c r="F296" s="60"/>
      <c r="G296" s="60"/>
      <c r="H296" s="60"/>
      <c r="I296" s="60"/>
      <c r="J296" s="60"/>
      <c r="K296" s="60"/>
      <c r="L296" s="60"/>
    </row>
    <row r="297" spans="1:12">
      <c r="A297" s="830"/>
      <c r="B297" s="829"/>
      <c r="C297" s="847" t="s">
        <v>400</v>
      </c>
      <c r="D297" s="847"/>
      <c r="E297" s="60"/>
      <c r="F297" s="60"/>
      <c r="G297" s="60"/>
      <c r="H297" s="60"/>
      <c r="I297" s="60"/>
      <c r="J297" s="60"/>
      <c r="K297" s="60"/>
      <c r="L297" s="60"/>
    </row>
    <row r="298" spans="1:12">
      <c r="A298" s="830" t="s">
        <v>127</v>
      </c>
      <c r="B298" s="829"/>
      <c r="C298" s="847" t="s">
        <v>698</v>
      </c>
      <c r="D298" s="847"/>
      <c r="E298" s="60"/>
      <c r="F298" s="60"/>
      <c r="G298" s="60"/>
      <c r="H298" s="60"/>
      <c r="I298" s="60"/>
      <c r="J298" s="60"/>
      <c r="K298" s="60"/>
      <c r="L298" s="60"/>
    </row>
    <row r="299" spans="1:12">
      <c r="A299" s="830"/>
      <c r="B299" s="829"/>
      <c r="C299" s="847" t="s">
        <v>401</v>
      </c>
      <c r="D299" s="847"/>
      <c r="E299" s="60"/>
      <c r="F299" s="60"/>
      <c r="G299" s="60"/>
      <c r="H299" s="60"/>
      <c r="I299" s="60"/>
      <c r="J299" s="60"/>
      <c r="K299" s="60"/>
      <c r="L299" s="60"/>
    </row>
    <row r="300" spans="1:12">
      <c r="A300" s="830"/>
      <c r="B300" s="829"/>
      <c r="C300" s="847" t="s">
        <v>402</v>
      </c>
      <c r="D300" s="847"/>
      <c r="E300" s="60"/>
      <c r="F300" s="60"/>
      <c r="G300" s="60"/>
      <c r="H300" s="60"/>
      <c r="I300" s="60"/>
      <c r="J300" s="60"/>
      <c r="K300" s="60"/>
      <c r="L300" s="60"/>
    </row>
    <row r="301" spans="1:12">
      <c r="A301" s="830"/>
      <c r="B301" s="829"/>
      <c r="C301" s="847" t="s">
        <v>403</v>
      </c>
      <c r="D301" s="847"/>
      <c r="E301" s="60"/>
      <c r="F301" s="60"/>
      <c r="G301" s="60"/>
      <c r="H301" s="60"/>
      <c r="I301" s="60"/>
      <c r="J301" s="60"/>
      <c r="K301" s="60"/>
      <c r="L301" s="60"/>
    </row>
    <row r="302" spans="1:12">
      <c r="A302" s="830"/>
      <c r="B302" s="829"/>
      <c r="C302" s="847" t="s">
        <v>404</v>
      </c>
      <c r="D302" s="847"/>
      <c r="E302" s="60"/>
      <c r="F302" s="60"/>
      <c r="G302" s="60"/>
      <c r="H302" s="60"/>
      <c r="I302" s="60"/>
      <c r="J302" s="60"/>
      <c r="K302" s="60"/>
      <c r="L302" s="60"/>
    </row>
    <row r="303" spans="1:12">
      <c r="A303" s="32"/>
      <c r="B303" s="31"/>
      <c r="C303" s="840"/>
      <c r="D303" s="60"/>
      <c r="E303" s="60"/>
      <c r="F303" s="60"/>
      <c r="G303" s="60"/>
      <c r="H303" s="60"/>
      <c r="I303" s="60"/>
      <c r="J303" s="60"/>
      <c r="K303" s="60"/>
      <c r="L303" s="60"/>
    </row>
    <row r="304" spans="1:12">
      <c r="A304" s="32" t="s">
        <v>12</v>
      </c>
      <c r="B304" s="31"/>
      <c r="C304" s="60" t="s">
        <v>165</v>
      </c>
      <c r="D304" s="60" t="s">
        <v>155</v>
      </c>
      <c r="E304" s="623">
        <f>INPUT!C86</f>
        <v>0.35</v>
      </c>
      <c r="F304" s="60"/>
      <c r="G304" s="60"/>
      <c r="H304" s="60"/>
      <c r="I304" s="60"/>
      <c r="J304" s="60"/>
      <c r="K304" s="60"/>
      <c r="L304" s="60"/>
    </row>
    <row r="305" spans="1:12">
      <c r="A305" s="32"/>
      <c r="B305" s="31"/>
      <c r="C305" s="60"/>
      <c r="D305" s="60" t="s">
        <v>156</v>
      </c>
      <c r="E305" s="415">
        <f>INPUT!C87</f>
        <v>0</v>
      </c>
      <c r="F305" s="60" t="s">
        <v>157</v>
      </c>
      <c r="G305" s="60"/>
      <c r="H305" s="60"/>
      <c r="I305" s="60"/>
      <c r="J305" s="60"/>
      <c r="K305" s="60"/>
      <c r="L305" s="60"/>
    </row>
    <row r="306" spans="1:12">
      <c r="A306" s="32"/>
      <c r="B306" s="31"/>
      <c r="C306" s="60"/>
      <c r="D306" s="60" t="s">
        <v>158</v>
      </c>
      <c r="E306" s="414">
        <v>0</v>
      </c>
      <c r="F306" s="60" t="s">
        <v>159</v>
      </c>
      <c r="G306" s="60"/>
      <c r="H306" s="60"/>
      <c r="I306" s="60"/>
      <c r="J306" s="60"/>
      <c r="K306" s="60"/>
      <c r="L306" s="60"/>
    </row>
    <row r="307" spans="1:12">
      <c r="A307" s="32" t="s">
        <v>128</v>
      </c>
      <c r="B307" s="31"/>
      <c r="C307" s="60" t="s">
        <v>5</v>
      </c>
      <c r="D307" s="60"/>
      <c r="E307" s="60"/>
      <c r="F307" s="60"/>
      <c r="G307" s="60"/>
      <c r="H307" s="60"/>
      <c r="I307" s="60"/>
      <c r="J307" s="60"/>
      <c r="K307" s="60"/>
      <c r="L307" s="60"/>
    </row>
    <row r="308" spans="1:12">
      <c r="A308" s="32" t="s">
        <v>129</v>
      </c>
      <c r="B308" s="31"/>
      <c r="C308" s="847" t="s">
        <v>5</v>
      </c>
      <c r="D308" s="60"/>
      <c r="E308" s="60"/>
      <c r="F308" s="60"/>
      <c r="G308" s="60"/>
      <c r="H308" s="60"/>
      <c r="I308" s="60"/>
      <c r="J308" s="60"/>
      <c r="K308" s="60"/>
      <c r="L308" s="60"/>
    </row>
    <row r="309" spans="1:12">
      <c r="A309" s="32"/>
      <c r="B309" s="31"/>
      <c r="C309" s="847" t="s">
        <v>130</v>
      </c>
      <c r="D309" s="60"/>
      <c r="E309" s="60"/>
      <c r="F309" s="60"/>
      <c r="G309" s="60"/>
      <c r="H309" s="60"/>
      <c r="I309" s="60"/>
      <c r="J309" s="60"/>
      <c r="K309" s="60"/>
      <c r="L309" s="60"/>
    </row>
    <row r="310" spans="1:12">
      <c r="B310" s="31"/>
      <c r="C310" s="847" t="s">
        <v>540</v>
      </c>
      <c r="D310" s="60"/>
      <c r="E310" s="60"/>
      <c r="F310" s="60"/>
      <c r="G310" s="60"/>
      <c r="H310" s="60"/>
      <c r="I310" s="60"/>
      <c r="J310" s="60"/>
      <c r="K310" s="60"/>
      <c r="L310" s="60"/>
    </row>
    <row r="311" spans="1:12">
      <c r="A311" s="32" t="s">
        <v>131</v>
      </c>
      <c r="B311" s="31"/>
      <c r="C311" s="847" t="s">
        <v>173</v>
      </c>
      <c r="D311" s="60"/>
      <c r="E311" s="60"/>
      <c r="F311" s="60"/>
      <c r="G311" s="60"/>
      <c r="H311" s="60"/>
      <c r="I311" s="60"/>
      <c r="J311" s="60"/>
      <c r="K311" s="60"/>
      <c r="L311" s="60"/>
    </row>
    <row r="312" spans="1:12">
      <c r="A312" s="32"/>
      <c r="B312" s="31"/>
      <c r="C312" s="847" t="s">
        <v>373</v>
      </c>
      <c r="D312" s="60"/>
      <c r="E312" s="60"/>
      <c r="F312" s="60"/>
      <c r="G312" s="60"/>
      <c r="H312" s="60"/>
      <c r="I312" s="60"/>
      <c r="J312" s="60"/>
      <c r="K312" s="60"/>
      <c r="L312" s="60"/>
    </row>
    <row r="313" spans="1:12">
      <c r="A313" s="32"/>
      <c r="B313" s="31"/>
      <c r="C313" s="847" t="s">
        <v>374</v>
      </c>
      <c r="D313" s="60"/>
      <c r="E313" s="60"/>
      <c r="F313" s="60"/>
      <c r="G313" s="60"/>
      <c r="H313" s="60"/>
      <c r="I313" s="60"/>
      <c r="J313" s="60"/>
      <c r="K313" s="60"/>
      <c r="L313" s="60"/>
    </row>
    <row r="314" spans="1:12">
      <c r="A314" s="32" t="s">
        <v>132</v>
      </c>
      <c r="B314" s="31"/>
      <c r="C314" s="847" t="s">
        <v>567</v>
      </c>
      <c r="D314" s="60"/>
      <c r="E314" s="60"/>
      <c r="F314" s="60"/>
      <c r="G314" s="60"/>
      <c r="H314" s="60"/>
      <c r="I314" s="60"/>
      <c r="J314" s="60"/>
      <c r="K314" s="60"/>
      <c r="L314" s="60"/>
    </row>
    <row r="315" spans="1:12">
      <c r="A315" s="32" t="s">
        <v>133</v>
      </c>
      <c r="B315" s="31"/>
      <c r="C315" s="847" t="s">
        <v>562</v>
      </c>
      <c r="D315" s="60"/>
      <c r="E315" s="60"/>
      <c r="F315" s="60"/>
      <c r="G315" s="60"/>
      <c r="H315" s="60"/>
      <c r="I315" s="60"/>
      <c r="J315" s="60"/>
      <c r="K315" s="60"/>
      <c r="L315" s="60"/>
    </row>
    <row r="316" spans="1:12">
      <c r="A316" s="32"/>
      <c r="B316" s="31"/>
      <c r="C316" s="847" t="s">
        <v>563</v>
      </c>
      <c r="D316" s="60"/>
      <c r="E316" s="60"/>
      <c r="F316" s="60"/>
      <c r="G316" s="60"/>
      <c r="H316" s="60"/>
      <c r="I316" s="60"/>
      <c r="J316" s="60"/>
      <c r="K316" s="60"/>
      <c r="L316" s="60"/>
    </row>
    <row r="317" spans="1:12">
      <c r="A317" s="32" t="s">
        <v>134</v>
      </c>
      <c r="B317" s="31"/>
      <c r="C317" s="847" t="s">
        <v>425</v>
      </c>
      <c r="D317" s="60"/>
      <c r="E317" s="60"/>
      <c r="F317" s="60"/>
      <c r="G317" s="60"/>
      <c r="H317" s="60"/>
      <c r="I317" s="60"/>
      <c r="J317" s="60"/>
      <c r="K317" s="60"/>
      <c r="L317" s="60"/>
    </row>
    <row r="318" spans="1:12">
      <c r="A318" s="32"/>
      <c r="B318" s="31"/>
      <c r="C318" s="847" t="s">
        <v>375</v>
      </c>
      <c r="D318" s="60"/>
      <c r="E318" s="60"/>
      <c r="F318" s="60"/>
      <c r="G318" s="60"/>
      <c r="H318" s="60"/>
      <c r="I318" s="60"/>
      <c r="J318" s="60"/>
      <c r="K318" s="60"/>
      <c r="L318" s="60"/>
    </row>
    <row r="319" spans="1:12">
      <c r="A319" s="32" t="s">
        <v>135</v>
      </c>
      <c r="B319" s="31"/>
      <c r="C319" s="847" t="s">
        <v>141</v>
      </c>
      <c r="D319" s="60"/>
      <c r="E319" s="60"/>
      <c r="F319" s="60"/>
      <c r="G319" s="60"/>
      <c r="H319" s="60"/>
      <c r="I319" s="60"/>
      <c r="J319" s="60"/>
      <c r="K319" s="60"/>
      <c r="L319" s="60"/>
    </row>
    <row r="320" spans="1:12">
      <c r="A320" s="32" t="s">
        <v>177</v>
      </c>
      <c r="C320" s="848" t="s">
        <v>364</v>
      </c>
      <c r="D320" s="66"/>
      <c r="E320" s="66"/>
      <c r="F320" s="66"/>
      <c r="G320" s="66"/>
      <c r="H320" s="66"/>
      <c r="I320" s="66"/>
      <c r="J320" s="66"/>
      <c r="K320" s="66"/>
      <c r="L320" s="66"/>
    </row>
    <row r="321" spans="1:12">
      <c r="A321" s="376" t="s">
        <v>178</v>
      </c>
      <c r="C321" s="849" t="s">
        <v>775</v>
      </c>
      <c r="D321" s="245"/>
      <c r="E321" s="66"/>
      <c r="F321" s="66"/>
      <c r="G321" s="66"/>
      <c r="H321" s="66"/>
      <c r="I321" s="66"/>
      <c r="J321" s="66"/>
      <c r="K321" s="66"/>
      <c r="L321" s="66"/>
    </row>
    <row r="322" spans="1:12">
      <c r="C322" s="849" t="s">
        <v>376</v>
      </c>
      <c r="D322" s="66"/>
      <c r="E322" s="66"/>
      <c r="F322" s="66"/>
      <c r="G322" s="66"/>
      <c r="H322" s="66"/>
      <c r="I322" s="66"/>
      <c r="J322" s="66"/>
      <c r="K322" s="66"/>
      <c r="L322" s="66"/>
    </row>
    <row r="323" spans="1:12">
      <c r="C323" s="849" t="s">
        <v>464</v>
      </c>
      <c r="D323" s="66"/>
      <c r="E323" s="245"/>
      <c r="F323" s="66"/>
      <c r="G323" s="66"/>
      <c r="H323" s="66"/>
      <c r="I323" s="66"/>
      <c r="J323" s="66"/>
      <c r="K323" s="66"/>
      <c r="L323" s="66"/>
    </row>
    <row r="324" spans="1:12">
      <c r="C324" s="849" t="s">
        <v>427</v>
      </c>
      <c r="D324" s="66"/>
      <c r="E324" s="245"/>
      <c r="F324" s="66"/>
      <c r="G324" s="66"/>
      <c r="H324" s="66"/>
      <c r="I324" s="66"/>
      <c r="J324" s="66"/>
      <c r="K324" s="66"/>
      <c r="L324" s="66"/>
    </row>
    <row r="325" spans="1:12" ht="18">
      <c r="A325" s="244"/>
      <c r="C325" s="29"/>
      <c r="D325" s="29"/>
      <c r="E325" s="30"/>
      <c r="F325" s="29"/>
      <c r="G325" s="29"/>
      <c r="H325" s="29"/>
      <c r="I325" s="31"/>
      <c r="J325" s="77" t="s">
        <v>369</v>
      </c>
      <c r="K325" s="91"/>
    </row>
    <row r="326" spans="1:12">
      <c r="C326" s="29"/>
      <c r="D326" s="29"/>
      <c r="E326" s="30"/>
      <c r="F326" s="29"/>
      <c r="G326" s="29"/>
      <c r="H326" s="29"/>
      <c r="I326" s="31"/>
      <c r="J326" s="77" t="s">
        <v>569</v>
      </c>
    </row>
    <row r="327" spans="1:12">
      <c r="C327" s="29"/>
      <c r="D327" s="29"/>
      <c r="E327" s="30"/>
      <c r="F327" s="29"/>
      <c r="G327" s="29"/>
      <c r="H327" s="29"/>
      <c r="I327" s="31"/>
      <c r="J327" s="77"/>
    </row>
    <row r="328" spans="1:12">
      <c r="C328" s="29"/>
      <c r="D328" s="29"/>
      <c r="E328" s="30"/>
      <c r="F328" s="29"/>
      <c r="G328" s="29"/>
      <c r="H328" s="29"/>
      <c r="I328" s="31"/>
    </row>
    <row r="329" spans="1:12">
      <c r="C329" s="29"/>
      <c r="D329" s="29"/>
      <c r="E329" s="30"/>
      <c r="F329" s="29"/>
      <c r="G329" s="29"/>
      <c r="H329" s="29"/>
      <c r="I329" s="31"/>
      <c r="K329" s="1"/>
    </row>
    <row r="330" spans="1:12">
      <c r="C330" s="29"/>
      <c r="D330" s="29"/>
      <c r="E330" s="30"/>
      <c r="F330" s="29"/>
      <c r="G330" s="29"/>
      <c r="H330" s="29"/>
      <c r="I330" s="31"/>
      <c r="J330" s="77"/>
      <c r="K330" s="1"/>
    </row>
    <row r="331" spans="1:12">
      <c r="C331" s="29" t="s">
        <v>11</v>
      </c>
      <c r="D331" s="29"/>
      <c r="E331" s="30"/>
      <c r="F331" s="29"/>
      <c r="G331" s="29"/>
      <c r="H331" s="29"/>
      <c r="I331" s="31"/>
      <c r="J331" s="92" t="str">
        <f>$J$7</f>
        <v>For the 12 months ended: 12/31/2015</v>
      </c>
      <c r="K331" s="1"/>
    </row>
    <row r="332" spans="1:12">
      <c r="A332" s="277" t="str">
        <f>$A$8</f>
        <v>Rate Formula Template</v>
      </c>
      <c r="B332" s="118"/>
      <c r="C332" s="118"/>
      <c r="D332" s="272"/>
      <c r="E332" s="118"/>
      <c r="F332" s="272"/>
      <c r="G332" s="272"/>
      <c r="H332" s="272"/>
      <c r="I332" s="272"/>
      <c r="J332" s="118"/>
      <c r="K332" s="31"/>
      <c r="L332" s="118"/>
    </row>
    <row r="333" spans="1:12">
      <c r="A333" s="280" t="s">
        <v>331</v>
      </c>
      <c r="B333" s="118"/>
      <c r="C333" s="272"/>
      <c r="D333" s="274"/>
      <c r="E333" s="118"/>
      <c r="F333" s="274"/>
      <c r="G333" s="274"/>
      <c r="H333" s="274"/>
      <c r="I333" s="272"/>
      <c r="J333" s="272"/>
      <c r="K333" s="31"/>
      <c r="L333" s="275"/>
    </row>
    <row r="334" spans="1:12">
      <c r="A334" s="273"/>
      <c r="B334" s="118"/>
      <c r="C334" s="275"/>
      <c r="D334" s="275"/>
      <c r="E334" s="118"/>
      <c r="F334" s="275"/>
      <c r="G334" s="275"/>
      <c r="H334" s="275"/>
      <c r="I334" s="275"/>
      <c r="J334" s="275"/>
      <c r="K334" s="31"/>
      <c r="L334" s="275"/>
    </row>
    <row r="335" spans="1:12" ht="15.75">
      <c r="A335" s="276" t="s">
        <v>215</v>
      </c>
      <c r="B335" s="118"/>
      <c r="C335" s="275"/>
      <c r="D335" s="275"/>
      <c r="E335" s="118"/>
      <c r="F335" s="275"/>
      <c r="G335" s="275"/>
      <c r="H335" s="275"/>
      <c r="I335" s="275"/>
      <c r="J335" s="275"/>
      <c r="K335" s="31"/>
      <c r="L335" s="275"/>
    </row>
    <row r="336" spans="1:12">
      <c r="A336" s="32"/>
      <c r="B336" s="31"/>
      <c r="C336" s="39"/>
      <c r="D336" s="32"/>
      <c r="E336" s="5"/>
      <c r="F336" s="5"/>
      <c r="G336" s="5"/>
      <c r="H336" s="5"/>
      <c r="I336" s="31"/>
      <c r="J336" s="241"/>
      <c r="K336" s="31"/>
      <c r="L336" s="240"/>
    </row>
    <row r="337" spans="1:12">
      <c r="A337" s="32"/>
      <c r="B337" s="31"/>
      <c r="C337" s="29" t="s">
        <v>111</v>
      </c>
      <c r="D337" s="32"/>
      <c r="E337" s="5"/>
      <c r="F337" s="5"/>
      <c r="G337" s="5"/>
      <c r="H337" s="5"/>
      <c r="I337" s="31"/>
      <c r="J337" s="5"/>
      <c r="K337" s="31"/>
      <c r="L337" s="5"/>
    </row>
    <row r="338" spans="1:12">
      <c r="A338" s="32" t="s">
        <v>113</v>
      </c>
      <c r="B338" s="31"/>
      <c r="C338" s="29" t="s">
        <v>112</v>
      </c>
      <c r="D338" s="31"/>
      <c r="E338" s="5"/>
      <c r="F338" s="5"/>
      <c r="G338" s="5"/>
      <c r="H338" s="5"/>
      <c r="I338" s="31"/>
      <c r="J338" s="5"/>
      <c r="K338" s="31"/>
      <c r="L338" s="5"/>
    </row>
    <row r="339" spans="1:12">
      <c r="A339" s="290" t="s">
        <v>114</v>
      </c>
      <c r="B339" s="31"/>
      <c r="C339" s="29"/>
      <c r="D339" s="31"/>
      <c r="E339" s="5"/>
      <c r="F339" s="5"/>
      <c r="G339" s="5"/>
      <c r="H339" s="5"/>
      <c r="I339" s="31"/>
      <c r="J339" s="5"/>
      <c r="K339" s="31"/>
      <c r="L339" s="5"/>
    </row>
    <row r="340" spans="1:12">
      <c r="A340" s="376" t="s">
        <v>203</v>
      </c>
      <c r="C340" s="862" t="s">
        <v>564</v>
      </c>
      <c r="D340" s="1"/>
      <c r="E340" s="1"/>
      <c r="F340" s="1"/>
      <c r="G340" s="1"/>
      <c r="H340" s="1"/>
      <c r="I340" s="1"/>
      <c r="J340" s="1"/>
      <c r="K340" s="1"/>
      <c r="L340" s="1"/>
    </row>
    <row r="341" spans="1:12">
      <c r="A341" s="376"/>
      <c r="C341" s="862" t="s">
        <v>565</v>
      </c>
      <c r="D341" s="1"/>
      <c r="E341" s="1"/>
      <c r="F341" s="1"/>
      <c r="G341" s="1"/>
      <c r="H341" s="1"/>
      <c r="I341" s="1"/>
      <c r="J341" s="1"/>
      <c r="K341" s="1"/>
      <c r="L341" s="1"/>
    </row>
    <row r="342" spans="1:12">
      <c r="A342" s="376"/>
      <c r="C342" s="862" t="s">
        <v>566</v>
      </c>
      <c r="D342" s="1"/>
      <c r="E342" s="1"/>
      <c r="F342" s="1"/>
      <c r="G342" s="1"/>
      <c r="H342" s="1"/>
      <c r="I342" s="1"/>
      <c r="J342" s="1"/>
      <c r="K342" s="1"/>
      <c r="L342" s="1"/>
    </row>
    <row r="343" spans="1:12">
      <c r="A343" s="376" t="s">
        <v>6</v>
      </c>
      <c r="C343" s="858" t="s">
        <v>405</v>
      </c>
      <c r="D343" s="1"/>
      <c r="E343" s="1"/>
      <c r="F343" s="1"/>
      <c r="G343" s="1"/>
      <c r="H343" s="1"/>
      <c r="I343" s="1"/>
      <c r="J343" s="1"/>
      <c r="K343" s="1"/>
      <c r="L343" s="1"/>
    </row>
    <row r="344" spans="1:12">
      <c r="A344" s="376" t="s">
        <v>463</v>
      </c>
      <c r="C344" s="861" t="s">
        <v>364</v>
      </c>
      <c r="D344" s="1"/>
      <c r="E344" s="1"/>
      <c r="F344" s="1"/>
      <c r="G344" s="1"/>
      <c r="H344" s="1"/>
      <c r="I344" s="1"/>
      <c r="J344" s="1"/>
      <c r="K344" s="1"/>
      <c r="L344" s="1"/>
    </row>
    <row r="345" spans="1:12">
      <c r="A345" s="376" t="s">
        <v>638</v>
      </c>
      <c r="C345" s="860" t="s">
        <v>770</v>
      </c>
      <c r="D345" s="1"/>
      <c r="E345" s="1"/>
      <c r="F345" s="1"/>
      <c r="G345" s="1"/>
      <c r="H345" s="1"/>
      <c r="I345" s="1"/>
      <c r="J345" s="1"/>
      <c r="K345" s="1"/>
      <c r="L345" s="1"/>
    </row>
    <row r="346" spans="1:12">
      <c r="C346" s="860" t="s">
        <v>771</v>
      </c>
      <c r="D346" s="1"/>
      <c r="E346" s="1"/>
      <c r="F346" s="1"/>
      <c r="G346" s="1"/>
      <c r="H346" s="1"/>
      <c r="I346" s="1"/>
      <c r="J346" s="1"/>
      <c r="K346" s="1"/>
      <c r="L346" s="1"/>
    </row>
    <row r="347" spans="1:12" s="863" customFormat="1">
      <c r="A347" s="779" t="s">
        <v>639</v>
      </c>
      <c r="C347" s="863" t="s">
        <v>776</v>
      </c>
      <c r="D347" s="862"/>
      <c r="E347" s="862"/>
      <c r="F347" s="862"/>
      <c r="G347" s="862"/>
      <c r="H347" s="862"/>
      <c r="I347" s="862"/>
      <c r="J347" s="862"/>
      <c r="K347" s="862"/>
      <c r="L347" s="862"/>
    </row>
    <row r="348" spans="1:12" s="863" customFormat="1">
      <c r="A348" s="779"/>
      <c r="C348" s="863" t="s">
        <v>777</v>
      </c>
    </row>
    <row r="349" spans="1:12" s="898" customFormat="1"/>
    <row r="350" spans="1:12" ht="18">
      <c r="C350" s="12" t="s">
        <v>543</v>
      </c>
    </row>
    <row r="351" spans="1:12" ht="18">
      <c r="C351" s="12" t="s">
        <v>542</v>
      </c>
    </row>
    <row r="356" spans="3:3">
      <c r="C356" s="65"/>
    </row>
    <row r="357" spans="3:3">
      <c r="C357" s="65"/>
    </row>
    <row r="358" spans="3:3">
      <c r="C358" s="65"/>
    </row>
    <row r="359" spans="3:3">
      <c r="C359" s="65"/>
    </row>
    <row r="360" spans="3:3">
      <c r="C360" s="65"/>
    </row>
    <row r="361" spans="3:3">
      <c r="C361" s="65"/>
    </row>
    <row r="395" spans="3:12">
      <c r="C395" s="80"/>
      <c r="D395" s="80"/>
      <c r="E395" s="80"/>
      <c r="F395" s="80"/>
      <c r="G395" s="80"/>
      <c r="H395" s="80"/>
      <c r="I395" s="80"/>
      <c r="J395" s="80"/>
      <c r="K395" s="80"/>
      <c r="L395" s="80"/>
    </row>
    <row r="396" spans="3:12">
      <c r="C396" s="80"/>
      <c r="D396" s="80"/>
      <c r="E396" s="80"/>
      <c r="F396" s="80"/>
      <c r="G396" s="80"/>
      <c r="H396" s="80"/>
      <c r="I396" s="80"/>
      <c r="J396" s="80"/>
      <c r="K396" s="80"/>
      <c r="L396" s="80"/>
    </row>
    <row r="397" spans="3:12">
      <c r="C397" s="80"/>
      <c r="D397" s="80"/>
      <c r="E397" s="80"/>
      <c r="F397" s="80"/>
      <c r="G397" s="80"/>
      <c r="H397" s="80"/>
      <c r="I397" s="80"/>
      <c r="J397" s="80"/>
      <c r="K397" s="80"/>
      <c r="L397" s="80"/>
    </row>
    <row r="398" spans="3:12">
      <c r="C398" s="80"/>
      <c r="D398" s="80"/>
      <c r="E398" s="80"/>
      <c r="F398" s="80"/>
      <c r="G398" s="80"/>
      <c r="H398" s="80"/>
      <c r="I398" s="80"/>
      <c r="J398" s="80"/>
      <c r="K398" s="80"/>
      <c r="L398" s="80"/>
    </row>
    <row r="399" spans="3:12">
      <c r="C399" s="80"/>
      <c r="D399" s="80"/>
      <c r="E399" s="80"/>
      <c r="F399" s="80"/>
      <c r="G399" s="80"/>
      <c r="H399" s="80"/>
      <c r="I399" s="80"/>
      <c r="J399" s="80"/>
      <c r="K399" s="80"/>
      <c r="L399" s="80"/>
    </row>
    <row r="400" spans="3:12">
      <c r="C400" s="80"/>
      <c r="D400" s="80"/>
      <c r="E400" s="80"/>
      <c r="F400" s="80"/>
      <c r="G400" s="80"/>
      <c r="H400" s="80"/>
      <c r="I400" s="80"/>
      <c r="J400" s="80"/>
      <c r="K400" s="80"/>
      <c r="L400" s="80"/>
    </row>
    <row r="401" spans="3:12">
      <c r="C401" s="80"/>
      <c r="D401" s="80"/>
      <c r="E401" s="80"/>
      <c r="F401" s="80"/>
      <c r="G401" s="80"/>
      <c r="H401" s="80"/>
      <c r="I401" s="80"/>
      <c r="J401" s="80"/>
      <c r="K401" s="80"/>
      <c r="L401" s="80"/>
    </row>
    <row r="402" spans="3:12">
      <c r="C402" s="80"/>
      <c r="D402" s="80"/>
      <c r="E402" s="80"/>
      <c r="F402" s="80"/>
      <c r="G402" s="80"/>
      <c r="H402" s="80"/>
      <c r="I402" s="80"/>
      <c r="J402" s="80"/>
      <c r="K402" s="80"/>
      <c r="L402" s="80"/>
    </row>
    <row r="403" spans="3:12">
      <c r="C403" s="80"/>
      <c r="D403" s="80"/>
      <c r="E403" s="80"/>
      <c r="F403" s="80"/>
      <c r="G403" s="80"/>
      <c r="H403" s="80"/>
      <c r="I403" s="80"/>
      <c r="J403" s="80"/>
      <c r="K403" s="80"/>
      <c r="L403" s="80"/>
    </row>
    <row r="404" spans="3:12">
      <c r="C404" s="80"/>
      <c r="D404" s="80"/>
      <c r="E404" s="80"/>
      <c r="F404" s="80"/>
      <c r="G404" s="80"/>
      <c r="H404" s="80"/>
      <c r="I404" s="80"/>
      <c r="J404" s="80"/>
      <c r="K404" s="80"/>
      <c r="L404" s="80"/>
    </row>
    <row r="405" spans="3:12">
      <c r="C405" s="80"/>
      <c r="D405" s="80"/>
      <c r="E405" s="80"/>
      <c r="F405" s="80"/>
      <c r="G405" s="80"/>
      <c r="H405" s="80"/>
      <c r="I405" s="80"/>
      <c r="J405" s="80"/>
      <c r="K405" s="80"/>
      <c r="L405" s="80"/>
    </row>
    <row r="406" spans="3:12">
      <c r="C406" s="80"/>
      <c r="D406" s="80"/>
      <c r="E406" s="80"/>
      <c r="F406" s="80"/>
      <c r="G406" s="80"/>
      <c r="H406" s="80"/>
      <c r="I406" s="80"/>
      <c r="J406" s="80"/>
      <c r="K406" s="80"/>
      <c r="L406" s="80"/>
    </row>
    <row r="407" spans="3:12">
      <c r="C407" s="80"/>
      <c r="D407" s="80"/>
      <c r="E407" s="80"/>
      <c r="F407" s="80"/>
      <c r="G407" s="80"/>
      <c r="H407" s="80"/>
      <c r="I407" s="80"/>
      <c r="J407" s="80"/>
      <c r="K407" s="80"/>
      <c r="L407" s="80"/>
    </row>
    <row r="408" spans="3:12">
      <c r="C408" s="80"/>
      <c r="D408" s="80"/>
      <c r="E408" s="80"/>
      <c r="F408" s="80"/>
      <c r="G408" s="80"/>
      <c r="H408" s="80"/>
      <c r="I408" s="80"/>
      <c r="J408" s="80"/>
      <c r="K408" s="80"/>
      <c r="L408" s="80"/>
    </row>
    <row r="409" spans="3:12">
      <c r="C409" s="80"/>
      <c r="D409" s="80"/>
      <c r="E409" s="80"/>
      <c r="F409" s="80"/>
      <c r="G409" s="80"/>
      <c r="H409" s="80"/>
      <c r="I409" s="80"/>
      <c r="J409" s="80"/>
      <c r="K409" s="80"/>
      <c r="L409" s="80"/>
    </row>
    <row r="410" spans="3:12">
      <c r="C410" s="80"/>
      <c r="D410" s="80"/>
      <c r="E410" s="80"/>
      <c r="F410" s="80"/>
      <c r="G410" s="80"/>
      <c r="H410" s="80"/>
      <c r="I410" s="80"/>
      <c r="J410" s="80"/>
      <c r="K410" s="80"/>
      <c r="L410" s="80"/>
    </row>
    <row r="411" spans="3:12">
      <c r="C411" s="80"/>
      <c r="D411" s="80"/>
      <c r="E411" s="80"/>
      <c r="F411" s="80"/>
      <c r="G411" s="80"/>
      <c r="H411" s="80"/>
      <c r="I411" s="80"/>
      <c r="J411" s="80"/>
      <c r="K411" s="80"/>
      <c r="L411" s="80"/>
    </row>
    <row r="412" spans="3:12">
      <c r="C412" s="80"/>
      <c r="D412" s="80"/>
      <c r="E412" s="80"/>
      <c r="F412" s="80"/>
      <c r="G412" s="80"/>
      <c r="H412" s="80"/>
      <c r="I412" s="80"/>
      <c r="J412" s="80"/>
      <c r="K412" s="80"/>
      <c r="L412" s="80"/>
    </row>
    <row r="413" spans="3:12">
      <c r="C413" s="80"/>
      <c r="D413" s="80"/>
      <c r="E413" s="80"/>
      <c r="F413" s="80"/>
      <c r="G413" s="80"/>
      <c r="H413" s="80"/>
      <c r="I413" s="80"/>
      <c r="J413" s="80"/>
      <c r="K413" s="80"/>
      <c r="L413" s="80"/>
    </row>
    <row r="414" spans="3:12">
      <c r="C414" s="80"/>
      <c r="D414" s="80"/>
      <c r="E414" s="80"/>
      <c r="F414" s="80"/>
      <c r="G414" s="80"/>
      <c r="H414" s="80"/>
      <c r="I414" s="80"/>
      <c r="J414" s="80"/>
      <c r="K414" s="80"/>
      <c r="L414" s="80"/>
    </row>
    <row r="415" spans="3:12">
      <c r="C415" s="80"/>
      <c r="D415" s="80"/>
      <c r="E415" s="80"/>
      <c r="F415" s="80"/>
      <c r="G415" s="80"/>
      <c r="H415" s="80"/>
      <c r="I415" s="80"/>
      <c r="J415" s="80"/>
      <c r="K415" s="80"/>
      <c r="L415" s="80"/>
    </row>
    <row r="416" spans="3:12">
      <c r="C416" s="80"/>
      <c r="D416" s="80"/>
      <c r="E416" s="80"/>
      <c r="F416" s="80"/>
      <c r="G416" s="80"/>
      <c r="H416" s="80"/>
      <c r="I416" s="80"/>
      <c r="J416" s="80"/>
      <c r="K416" s="80"/>
      <c r="L416" s="80"/>
    </row>
    <row r="417" spans="3:12">
      <c r="C417" s="80"/>
      <c r="D417" s="80"/>
      <c r="E417" s="80"/>
      <c r="F417" s="80"/>
      <c r="G417" s="80"/>
      <c r="H417" s="80"/>
      <c r="I417" s="80"/>
      <c r="J417" s="80"/>
      <c r="K417" s="80"/>
      <c r="L417" s="80"/>
    </row>
    <row r="418" spans="3:12">
      <c r="C418" s="80"/>
      <c r="D418" s="80"/>
      <c r="E418" s="80"/>
      <c r="F418" s="80"/>
      <c r="G418" s="80"/>
      <c r="H418" s="80"/>
      <c r="I418" s="80"/>
      <c r="J418" s="80"/>
      <c r="K418" s="80"/>
      <c r="L418" s="80"/>
    </row>
    <row r="419" spans="3:12">
      <c r="C419" s="80"/>
      <c r="D419" s="80"/>
      <c r="E419" s="80"/>
      <c r="F419" s="80"/>
      <c r="G419" s="80"/>
      <c r="H419" s="80"/>
      <c r="I419" s="80"/>
      <c r="J419" s="80"/>
      <c r="K419" s="80"/>
      <c r="L419" s="80"/>
    </row>
    <row r="420" spans="3:12">
      <c r="C420" s="80"/>
      <c r="D420" s="80"/>
      <c r="E420" s="80"/>
      <c r="F420" s="80"/>
      <c r="G420" s="80"/>
      <c r="H420" s="80"/>
      <c r="I420" s="80"/>
      <c r="J420" s="80"/>
      <c r="K420" s="80"/>
      <c r="L420" s="80"/>
    </row>
    <row r="421" spans="3:12">
      <c r="C421" s="80"/>
      <c r="D421" s="80"/>
      <c r="E421" s="80"/>
      <c r="F421" s="80"/>
      <c r="G421" s="80"/>
      <c r="H421" s="80"/>
      <c r="I421" s="80"/>
      <c r="J421" s="80"/>
      <c r="K421" s="80"/>
      <c r="L421" s="80"/>
    </row>
    <row r="422" spans="3:12">
      <c r="C422" s="80"/>
      <c r="D422" s="80"/>
      <c r="E422" s="80"/>
      <c r="F422" s="80"/>
      <c r="G422" s="80"/>
      <c r="H422" s="80"/>
      <c r="I422" s="80"/>
      <c r="J422" s="80"/>
      <c r="K422" s="80"/>
      <c r="L422" s="80"/>
    </row>
    <row r="423" spans="3:12">
      <c r="C423" s="80"/>
      <c r="D423" s="80"/>
      <c r="E423" s="80"/>
      <c r="F423" s="80"/>
      <c r="G423" s="80"/>
      <c r="H423" s="80"/>
      <c r="I423" s="80"/>
      <c r="J423" s="80"/>
      <c r="K423" s="80"/>
      <c r="L423" s="80"/>
    </row>
    <row r="424" spans="3:12">
      <c r="C424" s="80"/>
      <c r="D424" s="80"/>
      <c r="E424" s="80"/>
      <c r="F424" s="80"/>
      <c r="G424" s="80"/>
      <c r="H424" s="80"/>
      <c r="I424" s="80"/>
      <c r="J424" s="80"/>
      <c r="K424" s="80"/>
      <c r="L424" s="80"/>
    </row>
    <row r="425" spans="3:12">
      <c r="C425" s="80"/>
      <c r="D425" s="80"/>
      <c r="E425" s="80"/>
      <c r="F425" s="80"/>
      <c r="G425" s="80"/>
      <c r="H425" s="80"/>
      <c r="I425" s="80"/>
      <c r="J425" s="80"/>
      <c r="K425" s="80"/>
      <c r="L425" s="80"/>
    </row>
    <row r="426" spans="3:12">
      <c r="C426" s="80"/>
      <c r="D426" s="80"/>
      <c r="E426" s="80"/>
      <c r="F426" s="80"/>
      <c r="G426" s="80"/>
      <c r="H426" s="80"/>
      <c r="I426" s="80"/>
      <c r="J426" s="80"/>
      <c r="K426" s="80"/>
      <c r="L426" s="80"/>
    </row>
    <row r="427" spans="3:12">
      <c r="C427" s="80"/>
      <c r="D427" s="80"/>
      <c r="E427" s="80"/>
      <c r="F427" s="80"/>
      <c r="G427" s="80"/>
      <c r="H427" s="80"/>
      <c r="I427" s="80"/>
      <c r="J427" s="80"/>
      <c r="K427" s="80"/>
      <c r="L427" s="80"/>
    </row>
    <row r="428" spans="3:12">
      <c r="C428" s="80"/>
      <c r="D428" s="80"/>
      <c r="E428" s="80"/>
      <c r="F428" s="80"/>
      <c r="G428" s="80"/>
      <c r="H428" s="80"/>
      <c r="I428" s="80"/>
      <c r="J428" s="80"/>
      <c r="K428" s="80"/>
      <c r="L428" s="80"/>
    </row>
    <row r="429" spans="3:12">
      <c r="C429" s="80"/>
      <c r="D429" s="80"/>
      <c r="E429" s="80"/>
      <c r="F429" s="80"/>
      <c r="G429" s="80"/>
      <c r="H429" s="80"/>
      <c r="I429" s="80"/>
      <c r="J429" s="80"/>
      <c r="K429" s="80"/>
      <c r="L429" s="80"/>
    </row>
    <row r="430" spans="3:12">
      <c r="C430" s="80"/>
      <c r="D430" s="80"/>
      <c r="E430" s="80"/>
      <c r="F430" s="80"/>
      <c r="G430" s="80"/>
      <c r="H430" s="80"/>
      <c r="I430" s="80"/>
      <c r="J430" s="80"/>
      <c r="K430" s="80"/>
      <c r="L430" s="80"/>
    </row>
    <row r="431" spans="3:12">
      <c r="C431" s="80"/>
      <c r="D431" s="80"/>
      <c r="E431" s="80"/>
      <c r="F431" s="80"/>
      <c r="G431" s="80"/>
      <c r="H431" s="80"/>
      <c r="I431" s="80"/>
      <c r="J431" s="80"/>
      <c r="K431" s="80"/>
      <c r="L431" s="80"/>
    </row>
    <row r="432" spans="3:12">
      <c r="C432" s="80"/>
      <c r="D432" s="80"/>
      <c r="E432" s="80"/>
      <c r="F432" s="80"/>
      <c r="G432" s="80"/>
      <c r="H432" s="80"/>
      <c r="I432" s="80"/>
      <c r="J432" s="80"/>
      <c r="K432" s="80"/>
      <c r="L432" s="80"/>
    </row>
    <row r="433" spans="3:12">
      <c r="C433" s="80"/>
      <c r="D433" s="80"/>
      <c r="E433" s="80"/>
      <c r="F433" s="80"/>
      <c r="G433" s="80"/>
      <c r="H433" s="80"/>
      <c r="I433" s="80"/>
      <c r="J433" s="80"/>
      <c r="K433" s="80"/>
      <c r="L433" s="80"/>
    </row>
    <row r="434" spans="3:12">
      <c r="C434" s="80"/>
      <c r="D434" s="80"/>
      <c r="E434" s="80"/>
      <c r="F434" s="80"/>
      <c r="G434" s="80"/>
      <c r="H434" s="80"/>
      <c r="I434" s="80"/>
      <c r="J434" s="80"/>
      <c r="K434" s="80"/>
      <c r="L434" s="80"/>
    </row>
    <row r="435" spans="3:12">
      <c r="C435" s="80"/>
      <c r="D435" s="80"/>
      <c r="E435" s="80"/>
      <c r="F435" s="80"/>
      <c r="G435" s="80"/>
      <c r="H435" s="80"/>
      <c r="I435" s="80"/>
      <c r="J435" s="80"/>
      <c r="K435" s="80"/>
      <c r="L435" s="80"/>
    </row>
    <row r="436" spans="3:12">
      <c r="C436" s="80"/>
      <c r="D436" s="80"/>
      <c r="E436" s="80"/>
      <c r="F436" s="80"/>
      <c r="G436" s="80"/>
      <c r="H436" s="80"/>
      <c r="I436" s="80"/>
      <c r="J436" s="80"/>
      <c r="K436" s="80"/>
      <c r="L436" s="80"/>
    </row>
    <row r="437" spans="3:12">
      <c r="C437" s="80"/>
      <c r="D437" s="80"/>
      <c r="E437" s="80"/>
      <c r="F437" s="80"/>
      <c r="G437" s="80"/>
      <c r="H437" s="80"/>
      <c r="I437" s="80"/>
      <c r="J437" s="80"/>
      <c r="K437" s="80"/>
      <c r="L437" s="80"/>
    </row>
    <row r="438" spans="3:12">
      <c r="C438" s="80"/>
      <c r="D438" s="80"/>
      <c r="E438" s="80"/>
      <c r="F438" s="80"/>
      <c r="G438" s="80"/>
      <c r="H438" s="80"/>
      <c r="I438" s="80"/>
      <c r="J438" s="80"/>
      <c r="K438" s="80"/>
      <c r="L438" s="80"/>
    </row>
    <row r="439" spans="3:12">
      <c r="C439" s="80"/>
      <c r="D439" s="80"/>
      <c r="E439" s="80"/>
      <c r="F439" s="80"/>
      <c r="G439" s="80"/>
      <c r="H439" s="80"/>
      <c r="I439" s="80"/>
      <c r="J439" s="80"/>
      <c r="K439" s="80"/>
      <c r="L439" s="80"/>
    </row>
    <row r="440" spans="3:12">
      <c r="C440" s="80"/>
      <c r="D440" s="80"/>
      <c r="E440" s="80"/>
      <c r="F440" s="80"/>
      <c r="G440" s="80"/>
      <c r="H440" s="80"/>
      <c r="I440" s="80"/>
      <c r="J440" s="80"/>
      <c r="K440" s="80"/>
      <c r="L440" s="80"/>
    </row>
    <row r="441" spans="3:12">
      <c r="C441" s="80"/>
      <c r="D441" s="80"/>
      <c r="E441" s="80"/>
      <c r="F441" s="80"/>
      <c r="G441" s="80"/>
      <c r="H441" s="80"/>
      <c r="I441" s="80"/>
      <c r="J441" s="80"/>
      <c r="K441" s="80"/>
      <c r="L441" s="80"/>
    </row>
    <row r="442" spans="3:12">
      <c r="C442" s="80"/>
      <c r="D442" s="80"/>
      <c r="E442" s="80"/>
      <c r="F442" s="80"/>
      <c r="G442" s="80"/>
      <c r="H442" s="80"/>
      <c r="I442" s="80"/>
      <c r="J442" s="80"/>
      <c r="K442" s="80"/>
      <c r="L442" s="80"/>
    </row>
    <row r="443" spans="3:12">
      <c r="C443" s="80"/>
      <c r="D443" s="80"/>
      <c r="E443" s="80"/>
      <c r="F443" s="80"/>
      <c r="G443" s="80"/>
      <c r="H443" s="80"/>
      <c r="I443" s="80"/>
      <c r="J443" s="80"/>
      <c r="K443" s="80"/>
      <c r="L443" s="80"/>
    </row>
    <row r="444" spans="3:12">
      <c r="C444" s="80"/>
      <c r="D444" s="80"/>
      <c r="E444" s="80"/>
      <c r="F444" s="80"/>
      <c r="G444" s="80"/>
      <c r="H444" s="80"/>
      <c r="I444" s="80"/>
      <c r="J444" s="80"/>
      <c r="K444" s="80"/>
      <c r="L444" s="80"/>
    </row>
    <row r="445" spans="3:12">
      <c r="C445" s="80"/>
      <c r="D445" s="80"/>
      <c r="E445" s="80"/>
      <c r="F445" s="80"/>
      <c r="G445" s="80"/>
      <c r="H445" s="80"/>
      <c r="I445" s="80"/>
      <c r="J445" s="80"/>
      <c r="K445" s="80"/>
      <c r="L445" s="80"/>
    </row>
    <row r="446" spans="3:12">
      <c r="C446" s="80"/>
      <c r="D446" s="80"/>
      <c r="E446" s="80"/>
      <c r="F446" s="80"/>
      <c r="G446" s="80"/>
      <c r="H446" s="80"/>
      <c r="I446" s="80"/>
      <c r="J446" s="80"/>
      <c r="K446" s="80"/>
      <c r="L446" s="80"/>
    </row>
    <row r="447" spans="3:12">
      <c r="C447" s="80"/>
      <c r="D447" s="80"/>
      <c r="E447" s="80"/>
      <c r="F447" s="80"/>
      <c r="G447" s="80"/>
      <c r="H447" s="80"/>
      <c r="I447" s="80"/>
      <c r="J447" s="80"/>
      <c r="K447" s="80"/>
      <c r="L447" s="80"/>
    </row>
    <row r="448" spans="3:12">
      <c r="C448" s="80"/>
      <c r="D448" s="80"/>
      <c r="E448" s="80"/>
      <c r="F448" s="80"/>
      <c r="G448" s="80"/>
      <c r="H448" s="80"/>
      <c r="I448" s="80"/>
      <c r="J448" s="80"/>
      <c r="K448" s="80"/>
      <c r="L448" s="80"/>
    </row>
    <row r="449" spans="3:12">
      <c r="C449" s="80"/>
      <c r="D449" s="80"/>
      <c r="E449" s="80"/>
      <c r="F449" s="80"/>
      <c r="G449" s="80"/>
      <c r="H449" s="80"/>
      <c r="I449" s="80"/>
      <c r="J449" s="80"/>
      <c r="K449" s="80"/>
      <c r="L449" s="80"/>
    </row>
    <row r="450" spans="3:12">
      <c r="C450" s="80"/>
      <c r="D450" s="80"/>
      <c r="E450" s="80"/>
      <c r="F450" s="80"/>
      <c r="G450" s="80"/>
      <c r="H450" s="80"/>
      <c r="I450" s="80"/>
      <c r="J450" s="80"/>
      <c r="K450" s="80"/>
      <c r="L450" s="80"/>
    </row>
    <row r="451" spans="3:12">
      <c r="C451" s="80"/>
      <c r="D451" s="80"/>
      <c r="E451" s="80"/>
      <c r="F451" s="80"/>
      <c r="G451" s="80"/>
      <c r="H451" s="80"/>
      <c r="I451" s="80"/>
      <c r="J451" s="80"/>
      <c r="K451" s="80"/>
      <c r="L451" s="80"/>
    </row>
    <row r="452" spans="3:12">
      <c r="C452" s="80"/>
      <c r="D452" s="80"/>
      <c r="E452" s="80"/>
      <c r="F452" s="80"/>
      <c r="G452" s="80"/>
      <c r="H452" s="80"/>
      <c r="I452" s="80"/>
      <c r="J452" s="80"/>
      <c r="K452" s="80"/>
      <c r="L452" s="80"/>
    </row>
    <row r="453" spans="3:12">
      <c r="C453" s="80"/>
      <c r="D453" s="80"/>
      <c r="E453" s="80"/>
      <c r="F453" s="80"/>
      <c r="G453" s="80"/>
      <c r="H453" s="80"/>
      <c r="I453" s="80"/>
      <c r="J453" s="80"/>
      <c r="K453" s="80"/>
      <c r="L453" s="80"/>
    </row>
    <row r="454" spans="3:12">
      <c r="C454" s="80"/>
      <c r="D454" s="80"/>
      <c r="E454" s="80"/>
      <c r="F454" s="80"/>
      <c r="G454" s="80"/>
      <c r="H454" s="80"/>
      <c r="I454" s="80"/>
      <c r="J454" s="80"/>
      <c r="K454" s="80"/>
      <c r="L454" s="80"/>
    </row>
    <row r="455" spans="3:12">
      <c r="C455" s="80"/>
      <c r="D455" s="80"/>
      <c r="E455" s="80"/>
      <c r="F455" s="80"/>
      <c r="G455" s="80"/>
      <c r="H455" s="80"/>
      <c r="I455" s="80"/>
      <c r="J455" s="80"/>
      <c r="K455" s="80"/>
      <c r="L455" s="80"/>
    </row>
    <row r="456" spans="3:12">
      <c r="C456" s="80"/>
      <c r="D456" s="80"/>
      <c r="E456" s="80"/>
      <c r="F456" s="80"/>
      <c r="G456" s="80"/>
      <c r="H456" s="80"/>
      <c r="I456" s="80"/>
      <c r="J456" s="80"/>
      <c r="K456" s="80"/>
      <c r="L456" s="80"/>
    </row>
    <row r="457" spans="3:12">
      <c r="C457" s="80"/>
      <c r="D457" s="80"/>
      <c r="E457" s="80"/>
      <c r="F457" s="80"/>
      <c r="G457" s="80"/>
      <c r="H457" s="80"/>
      <c r="I457" s="80"/>
      <c r="J457" s="80"/>
      <c r="K457" s="80"/>
      <c r="L457" s="80"/>
    </row>
    <row r="458" spans="3:12">
      <c r="C458" s="80"/>
      <c r="D458" s="80"/>
      <c r="E458" s="80"/>
      <c r="F458" s="80"/>
      <c r="G458" s="80"/>
      <c r="H458" s="80"/>
      <c r="I458" s="80"/>
      <c r="J458" s="80"/>
      <c r="K458" s="80"/>
      <c r="L458" s="80"/>
    </row>
    <row r="459" spans="3:12">
      <c r="C459" s="80"/>
      <c r="D459" s="80"/>
      <c r="E459" s="80"/>
      <c r="F459" s="80"/>
      <c r="G459" s="80"/>
      <c r="H459" s="80"/>
      <c r="I459" s="80"/>
      <c r="J459" s="80"/>
      <c r="K459" s="80"/>
      <c r="L459" s="80"/>
    </row>
    <row r="460" spans="3:12">
      <c r="C460" s="80"/>
      <c r="D460" s="80"/>
      <c r="E460" s="80"/>
      <c r="F460" s="80"/>
      <c r="G460" s="80"/>
      <c r="H460" s="80"/>
      <c r="I460" s="80"/>
      <c r="J460" s="80"/>
      <c r="K460" s="80"/>
      <c r="L460" s="80"/>
    </row>
    <row r="461" spans="3:12">
      <c r="C461" s="80"/>
      <c r="D461" s="80"/>
      <c r="E461" s="80"/>
      <c r="F461" s="80"/>
      <c r="G461" s="80"/>
      <c r="H461" s="80"/>
      <c r="I461" s="80"/>
      <c r="J461" s="80"/>
      <c r="K461" s="80"/>
      <c r="L461" s="80"/>
    </row>
    <row r="462" spans="3:12">
      <c r="C462" s="80"/>
      <c r="D462" s="80"/>
      <c r="E462" s="80"/>
      <c r="F462" s="80"/>
      <c r="G462" s="80"/>
      <c r="H462" s="80"/>
      <c r="I462" s="80"/>
      <c r="J462" s="80"/>
      <c r="K462" s="80"/>
      <c r="L462" s="80"/>
    </row>
    <row r="463" spans="3:12">
      <c r="C463" s="80"/>
      <c r="D463" s="80"/>
      <c r="E463" s="80"/>
      <c r="F463" s="80"/>
      <c r="G463" s="80"/>
      <c r="H463" s="80"/>
      <c r="I463" s="80"/>
      <c r="J463" s="80"/>
      <c r="K463" s="80"/>
      <c r="L463" s="80"/>
    </row>
    <row r="464" spans="3:12">
      <c r="C464" s="80"/>
      <c r="D464" s="80"/>
      <c r="E464" s="80"/>
      <c r="F464" s="80"/>
      <c r="G464" s="80"/>
      <c r="H464" s="80"/>
      <c r="I464" s="80"/>
      <c r="J464" s="80"/>
      <c r="K464" s="80"/>
      <c r="L464" s="80"/>
    </row>
    <row r="465" spans="3:12">
      <c r="C465" s="80"/>
      <c r="D465" s="80"/>
      <c r="E465" s="80"/>
      <c r="F465" s="80"/>
      <c r="G465" s="80"/>
      <c r="H465" s="80"/>
      <c r="I465" s="80"/>
      <c r="J465" s="80"/>
      <c r="K465" s="80"/>
      <c r="L465" s="80"/>
    </row>
    <row r="466" spans="3:12">
      <c r="C466" s="80"/>
      <c r="D466" s="80"/>
      <c r="E466" s="80"/>
      <c r="F466" s="80"/>
      <c r="G466" s="80"/>
      <c r="H466" s="80"/>
      <c r="I466" s="80"/>
      <c r="J466" s="80"/>
      <c r="K466" s="80"/>
      <c r="L466" s="80"/>
    </row>
    <row r="467" spans="3:12">
      <c r="C467" s="80"/>
      <c r="D467" s="80"/>
      <c r="E467" s="80"/>
      <c r="F467" s="80"/>
      <c r="G467" s="80"/>
      <c r="H467" s="80"/>
      <c r="I467" s="80"/>
      <c r="J467" s="80"/>
      <c r="K467" s="80"/>
      <c r="L467" s="80"/>
    </row>
    <row r="468" spans="3:12">
      <c r="C468" s="80"/>
      <c r="D468" s="80"/>
      <c r="E468" s="80"/>
      <c r="F468" s="80"/>
      <c r="G468" s="80"/>
      <c r="H468" s="80"/>
      <c r="I468" s="80"/>
      <c r="J468" s="80"/>
      <c r="K468" s="80"/>
      <c r="L468" s="80"/>
    </row>
    <row r="469" spans="3:12">
      <c r="C469" s="80"/>
      <c r="D469" s="80"/>
      <c r="E469" s="80"/>
      <c r="F469" s="80"/>
      <c r="G469" s="80"/>
      <c r="H469" s="80"/>
      <c r="I469" s="80"/>
      <c r="J469" s="80"/>
      <c r="K469" s="80"/>
      <c r="L469" s="80"/>
    </row>
    <row r="470" spans="3:12">
      <c r="C470" s="80"/>
      <c r="D470" s="80"/>
      <c r="E470" s="80"/>
      <c r="F470" s="80"/>
      <c r="G470" s="80"/>
      <c r="H470" s="80"/>
      <c r="I470" s="80"/>
      <c r="J470" s="80"/>
      <c r="K470" s="80"/>
      <c r="L470" s="80"/>
    </row>
    <row r="471" spans="3:12">
      <c r="C471" s="80"/>
      <c r="D471" s="80"/>
      <c r="E471" s="80"/>
      <c r="F471" s="80"/>
      <c r="G471" s="80"/>
      <c r="H471" s="80"/>
      <c r="I471" s="80"/>
      <c r="J471" s="80"/>
      <c r="K471" s="80"/>
      <c r="L471" s="80"/>
    </row>
    <row r="472" spans="3:12">
      <c r="C472" s="80"/>
      <c r="D472" s="80"/>
      <c r="E472" s="80"/>
      <c r="F472" s="80"/>
      <c r="G472" s="80"/>
      <c r="H472" s="80"/>
      <c r="I472" s="80"/>
      <c r="J472" s="80"/>
      <c r="K472" s="80"/>
      <c r="L472" s="80"/>
    </row>
    <row r="473" spans="3:12">
      <c r="C473" s="80"/>
      <c r="D473" s="80"/>
      <c r="E473" s="80"/>
      <c r="F473" s="80"/>
      <c r="G473" s="80"/>
      <c r="H473" s="80"/>
      <c r="I473" s="80"/>
      <c r="J473" s="80"/>
      <c r="K473" s="80"/>
      <c r="L473" s="80"/>
    </row>
    <row r="474" spans="3:12">
      <c r="C474" s="80"/>
      <c r="D474" s="80"/>
      <c r="E474" s="80"/>
      <c r="F474" s="80"/>
      <c r="G474" s="80"/>
      <c r="H474" s="80"/>
      <c r="I474" s="80"/>
      <c r="J474" s="80"/>
      <c r="K474" s="80"/>
      <c r="L474" s="80"/>
    </row>
    <row r="475" spans="3:12">
      <c r="C475" s="80"/>
      <c r="D475" s="80"/>
      <c r="E475" s="80"/>
      <c r="F475" s="80"/>
      <c r="G475" s="80"/>
      <c r="H475" s="80"/>
      <c r="I475" s="80"/>
      <c r="J475" s="80"/>
      <c r="K475" s="80"/>
      <c r="L475" s="80"/>
    </row>
    <row r="476" spans="3:12">
      <c r="C476" s="80"/>
      <c r="D476" s="80"/>
      <c r="E476" s="80"/>
      <c r="F476" s="80"/>
      <c r="G476" s="80"/>
      <c r="H476" s="80"/>
      <c r="I476" s="80"/>
      <c r="J476" s="80"/>
      <c r="K476" s="80"/>
      <c r="L476" s="80"/>
    </row>
    <row r="477" spans="3:12">
      <c r="C477" s="80"/>
      <c r="D477" s="80"/>
      <c r="E477" s="80"/>
      <c r="F477" s="80"/>
      <c r="G477" s="80"/>
      <c r="H477" s="80"/>
      <c r="I477" s="80"/>
      <c r="J477" s="80"/>
      <c r="K477" s="80"/>
      <c r="L477" s="80"/>
    </row>
    <row r="478" spans="3:12">
      <c r="C478" s="80"/>
      <c r="D478" s="80"/>
      <c r="E478" s="80"/>
      <c r="F478" s="80"/>
      <c r="G478" s="80"/>
      <c r="H478" s="80"/>
      <c r="I478" s="80"/>
      <c r="J478" s="80"/>
      <c r="K478" s="80"/>
      <c r="L478" s="80"/>
    </row>
    <row r="479" spans="3:12">
      <c r="C479" s="80"/>
      <c r="D479" s="80"/>
      <c r="E479" s="80"/>
      <c r="F479" s="80"/>
      <c r="G479" s="80"/>
      <c r="H479" s="80"/>
      <c r="I479" s="80"/>
      <c r="J479" s="80"/>
      <c r="K479" s="80"/>
      <c r="L479" s="80"/>
    </row>
    <row r="480" spans="3:12">
      <c r="C480" s="80"/>
      <c r="D480" s="80"/>
      <c r="E480" s="80"/>
      <c r="F480" s="80"/>
      <c r="G480" s="80"/>
      <c r="H480" s="80"/>
      <c r="I480" s="80"/>
      <c r="J480" s="80"/>
      <c r="K480" s="80"/>
      <c r="L480" s="80"/>
    </row>
    <row r="481" spans="3:12">
      <c r="C481" s="80"/>
      <c r="D481" s="80"/>
      <c r="E481" s="80"/>
      <c r="F481" s="80"/>
      <c r="G481" s="80"/>
      <c r="H481" s="80"/>
      <c r="I481" s="80"/>
      <c r="J481" s="80"/>
      <c r="K481" s="80"/>
      <c r="L481" s="80"/>
    </row>
    <row r="482" spans="3:12">
      <c r="C482" s="80"/>
      <c r="D482" s="80"/>
      <c r="E482" s="80"/>
      <c r="F482" s="80"/>
      <c r="G482" s="80"/>
      <c r="H482" s="80"/>
      <c r="I482" s="80"/>
      <c r="J482" s="80"/>
      <c r="K482" s="80"/>
      <c r="L482" s="80"/>
    </row>
    <row r="483" spans="3:12">
      <c r="C483" s="80"/>
      <c r="D483" s="80"/>
      <c r="E483" s="80"/>
      <c r="F483" s="80"/>
      <c r="G483" s="80"/>
      <c r="H483" s="80"/>
      <c r="I483" s="80"/>
      <c r="J483" s="80"/>
      <c r="K483" s="80"/>
      <c r="L483" s="80"/>
    </row>
    <row r="484" spans="3:12">
      <c r="C484" s="80"/>
      <c r="D484" s="80"/>
      <c r="E484" s="80"/>
      <c r="F484" s="80"/>
      <c r="G484" s="80"/>
      <c r="H484" s="80"/>
      <c r="I484" s="80"/>
      <c r="J484" s="80"/>
      <c r="K484" s="80"/>
      <c r="L484" s="80"/>
    </row>
    <row r="485" spans="3:12">
      <c r="C485" s="80"/>
      <c r="D485" s="80"/>
      <c r="E485" s="80"/>
      <c r="F485" s="80"/>
      <c r="G485" s="80"/>
      <c r="H485" s="80"/>
      <c r="I485" s="80"/>
      <c r="J485" s="80"/>
      <c r="K485" s="80"/>
      <c r="L485" s="80"/>
    </row>
    <row r="486" spans="3:12">
      <c r="C486" s="80"/>
      <c r="D486" s="80"/>
      <c r="E486" s="80"/>
      <c r="F486" s="80"/>
      <c r="G486" s="80"/>
      <c r="H486" s="80"/>
      <c r="I486" s="80"/>
      <c r="J486" s="80"/>
      <c r="K486" s="80"/>
      <c r="L486" s="80"/>
    </row>
    <row r="487" spans="3:12">
      <c r="C487" s="80"/>
      <c r="D487" s="80"/>
      <c r="E487" s="80"/>
      <c r="F487" s="80"/>
      <c r="G487" s="80"/>
      <c r="H487" s="80"/>
      <c r="I487" s="80"/>
      <c r="J487" s="80"/>
      <c r="K487" s="80"/>
      <c r="L487" s="80"/>
    </row>
    <row r="488" spans="3:12">
      <c r="C488" s="80"/>
      <c r="D488" s="80"/>
      <c r="E488" s="80"/>
      <c r="F488" s="80"/>
      <c r="G488" s="80"/>
      <c r="H488" s="80"/>
      <c r="I488" s="80"/>
      <c r="J488" s="80"/>
      <c r="K488" s="80"/>
      <c r="L488" s="80"/>
    </row>
    <row r="489" spans="3:12">
      <c r="C489" s="80"/>
      <c r="D489" s="80"/>
      <c r="E489" s="80"/>
      <c r="F489" s="80"/>
      <c r="G489" s="80"/>
      <c r="H489" s="80"/>
      <c r="I489" s="80"/>
      <c r="J489" s="80"/>
      <c r="K489" s="80"/>
      <c r="L489" s="80"/>
    </row>
    <row r="490" spans="3:12">
      <c r="C490" s="80"/>
      <c r="D490" s="80"/>
      <c r="E490" s="80"/>
      <c r="F490" s="80"/>
      <c r="G490" s="80"/>
      <c r="H490" s="80"/>
      <c r="I490" s="80"/>
      <c r="J490" s="80"/>
      <c r="K490" s="80"/>
      <c r="L490" s="80"/>
    </row>
    <row r="491" spans="3:12">
      <c r="C491" s="80"/>
      <c r="D491" s="80"/>
      <c r="E491" s="80"/>
      <c r="F491" s="80"/>
      <c r="G491" s="80"/>
      <c r="H491" s="80"/>
      <c r="I491" s="80"/>
      <c r="J491" s="80"/>
      <c r="K491" s="80"/>
      <c r="L491" s="80"/>
    </row>
    <row r="492" spans="3:12">
      <c r="C492" s="80"/>
      <c r="D492" s="80"/>
      <c r="E492" s="80"/>
      <c r="F492" s="80"/>
      <c r="G492" s="80"/>
      <c r="H492" s="80"/>
      <c r="I492" s="80"/>
      <c r="J492" s="80"/>
      <c r="K492" s="80"/>
      <c r="L492" s="80"/>
    </row>
    <row r="493" spans="3:12">
      <c r="C493" s="80"/>
      <c r="D493" s="80"/>
      <c r="E493" s="80"/>
      <c r="F493" s="80"/>
      <c r="G493" s="80"/>
      <c r="H493" s="80"/>
      <c r="I493" s="80"/>
      <c r="J493" s="80"/>
      <c r="K493" s="80"/>
      <c r="L493" s="80"/>
    </row>
    <row r="494" spans="3:12">
      <c r="C494" s="80"/>
      <c r="D494" s="80"/>
      <c r="E494" s="80"/>
      <c r="F494" s="80"/>
      <c r="G494" s="80"/>
      <c r="H494" s="80"/>
      <c r="I494" s="80"/>
      <c r="J494" s="80"/>
      <c r="K494" s="80"/>
      <c r="L494" s="80"/>
    </row>
    <row r="495" spans="3:12">
      <c r="C495" s="80"/>
      <c r="D495" s="80"/>
      <c r="E495" s="80"/>
      <c r="F495" s="80"/>
      <c r="G495" s="80"/>
      <c r="H495" s="80"/>
      <c r="I495" s="80"/>
      <c r="J495" s="80"/>
      <c r="K495" s="80"/>
      <c r="L495" s="80"/>
    </row>
    <row r="496" spans="3:12">
      <c r="C496" s="80"/>
      <c r="D496" s="80"/>
      <c r="E496" s="80"/>
      <c r="F496" s="80"/>
      <c r="G496" s="80"/>
      <c r="H496" s="80"/>
      <c r="I496" s="80"/>
      <c r="J496" s="80"/>
      <c r="K496" s="80"/>
      <c r="L496" s="80"/>
    </row>
    <row r="497" spans="3:12">
      <c r="C497" s="80"/>
      <c r="D497" s="80"/>
      <c r="E497" s="80"/>
      <c r="F497" s="80"/>
      <c r="G497" s="80"/>
      <c r="H497" s="80"/>
      <c r="I497" s="80"/>
      <c r="J497" s="80"/>
      <c r="K497" s="80"/>
      <c r="L497" s="80"/>
    </row>
    <row r="498" spans="3:12">
      <c r="C498" s="80"/>
      <c r="D498" s="80"/>
      <c r="E498" s="80"/>
      <c r="F498" s="80"/>
      <c r="G498" s="80"/>
      <c r="H498" s="80"/>
      <c r="I498" s="80"/>
      <c r="J498" s="80"/>
      <c r="K498" s="80"/>
      <c r="L498" s="80"/>
    </row>
    <row r="499" spans="3:12">
      <c r="C499" s="80"/>
      <c r="D499" s="80"/>
      <c r="E499" s="80"/>
      <c r="F499" s="80"/>
      <c r="G499" s="80"/>
      <c r="H499" s="80"/>
      <c r="I499" s="80"/>
      <c r="J499" s="80"/>
      <c r="K499" s="80"/>
      <c r="L499" s="80"/>
    </row>
    <row r="500" spans="3:12">
      <c r="C500" s="80"/>
      <c r="D500" s="80"/>
      <c r="E500" s="80"/>
      <c r="F500" s="80"/>
      <c r="G500" s="80"/>
      <c r="H500" s="80"/>
      <c r="I500" s="80"/>
      <c r="J500" s="80"/>
      <c r="K500" s="80"/>
      <c r="L500" s="80"/>
    </row>
    <row r="501" spans="3:12">
      <c r="C501" s="80"/>
      <c r="D501" s="80"/>
      <c r="E501" s="80"/>
      <c r="F501" s="80"/>
      <c r="G501" s="80"/>
      <c r="H501" s="80"/>
      <c r="I501" s="80"/>
      <c r="J501" s="80"/>
      <c r="K501" s="80"/>
      <c r="L501" s="80"/>
    </row>
    <row r="502" spans="3:12">
      <c r="C502" s="80"/>
      <c r="D502" s="80"/>
      <c r="E502" s="80"/>
      <c r="F502" s="80"/>
      <c r="G502" s="80"/>
      <c r="H502" s="80"/>
      <c r="I502" s="80"/>
      <c r="J502" s="80"/>
      <c r="K502" s="80"/>
      <c r="L502" s="80"/>
    </row>
    <row r="503" spans="3:12">
      <c r="C503" s="80"/>
      <c r="D503" s="80"/>
      <c r="E503" s="80"/>
      <c r="F503" s="80"/>
      <c r="G503" s="80"/>
      <c r="H503" s="80"/>
      <c r="I503" s="80"/>
      <c r="J503" s="80"/>
      <c r="K503" s="80"/>
      <c r="L503" s="80"/>
    </row>
    <row r="504" spans="3:12">
      <c r="C504" s="80"/>
      <c r="D504" s="80"/>
      <c r="E504" s="80"/>
      <c r="F504" s="80"/>
      <c r="G504" s="80"/>
      <c r="H504" s="80"/>
      <c r="I504" s="80"/>
      <c r="J504" s="80"/>
      <c r="K504" s="80"/>
      <c r="L504" s="80"/>
    </row>
    <row r="505" spans="3:12">
      <c r="C505" s="80"/>
      <c r="D505" s="80"/>
      <c r="E505" s="80"/>
      <c r="F505" s="80"/>
      <c r="G505" s="80"/>
      <c r="H505" s="80"/>
      <c r="I505" s="80"/>
      <c r="J505" s="80"/>
      <c r="K505" s="80"/>
      <c r="L505" s="80"/>
    </row>
    <row r="506" spans="3:12">
      <c r="C506" s="80"/>
      <c r="D506" s="80"/>
      <c r="E506" s="80"/>
      <c r="F506" s="80"/>
      <c r="G506" s="80"/>
      <c r="H506" s="80"/>
      <c r="I506" s="80"/>
      <c r="J506" s="80"/>
      <c r="K506" s="80"/>
      <c r="L506" s="80"/>
    </row>
    <row r="507" spans="3:12">
      <c r="C507" s="80"/>
      <c r="D507" s="80"/>
      <c r="E507" s="80"/>
      <c r="F507" s="80"/>
      <c r="G507" s="80"/>
      <c r="H507" s="80"/>
      <c r="I507" s="80"/>
      <c r="J507" s="80"/>
      <c r="K507" s="80"/>
      <c r="L507" s="80"/>
    </row>
    <row r="508" spans="3:12">
      <c r="C508" s="80"/>
      <c r="D508" s="80"/>
      <c r="E508" s="80"/>
      <c r="F508" s="80"/>
      <c r="G508" s="80"/>
      <c r="H508" s="80"/>
      <c r="I508" s="80"/>
      <c r="J508" s="80"/>
      <c r="K508" s="80"/>
      <c r="L508" s="80"/>
    </row>
    <row r="509" spans="3:12">
      <c r="C509" s="80"/>
      <c r="D509" s="80"/>
      <c r="E509" s="80"/>
      <c r="F509" s="80"/>
      <c r="G509" s="80"/>
      <c r="H509" s="80"/>
      <c r="I509" s="80"/>
      <c r="J509" s="80"/>
      <c r="K509" s="80"/>
      <c r="L509" s="80"/>
    </row>
    <row r="510" spans="3:12">
      <c r="C510" s="80"/>
      <c r="D510" s="80"/>
      <c r="E510" s="80"/>
      <c r="F510" s="80"/>
      <c r="G510" s="80"/>
      <c r="H510" s="80"/>
      <c r="I510" s="80"/>
      <c r="J510" s="80"/>
      <c r="K510" s="80"/>
      <c r="L510" s="80"/>
    </row>
    <row r="511" spans="3:12">
      <c r="C511" s="80"/>
      <c r="D511" s="80"/>
      <c r="E511" s="80"/>
      <c r="F511" s="80"/>
      <c r="G511" s="80"/>
      <c r="H511" s="80"/>
      <c r="I511" s="80"/>
      <c r="J511" s="80"/>
      <c r="K511" s="80"/>
      <c r="L511" s="80"/>
    </row>
    <row r="512" spans="3:12">
      <c r="C512" s="80"/>
      <c r="D512" s="80"/>
      <c r="E512" s="80"/>
      <c r="F512" s="80"/>
      <c r="G512" s="80"/>
      <c r="H512" s="80"/>
      <c r="I512" s="80"/>
      <c r="J512" s="80"/>
      <c r="K512" s="80"/>
      <c r="L512" s="80"/>
    </row>
    <row r="513" spans="3:12">
      <c r="C513" s="80"/>
      <c r="D513" s="80"/>
      <c r="E513" s="80"/>
      <c r="F513" s="80"/>
      <c r="G513" s="80"/>
      <c r="H513" s="80"/>
      <c r="I513" s="80"/>
      <c r="J513" s="80"/>
      <c r="K513" s="80"/>
      <c r="L513" s="80"/>
    </row>
    <row r="514" spans="3:12">
      <c r="C514" s="80"/>
      <c r="D514" s="80"/>
      <c r="E514" s="80"/>
      <c r="F514" s="80"/>
      <c r="G514" s="80"/>
      <c r="H514" s="80"/>
      <c r="I514" s="80"/>
      <c r="J514" s="80"/>
      <c r="K514" s="80"/>
      <c r="L514" s="80"/>
    </row>
    <row r="515" spans="3:12">
      <c r="C515" s="80"/>
      <c r="D515" s="80"/>
      <c r="E515" s="80"/>
      <c r="F515" s="80"/>
      <c r="G515" s="80"/>
      <c r="H515" s="80"/>
      <c r="I515" s="80"/>
      <c r="J515" s="80"/>
      <c r="K515" s="80"/>
      <c r="L515" s="80"/>
    </row>
    <row r="516" spans="3:12">
      <c r="C516" s="80"/>
      <c r="D516" s="80"/>
      <c r="E516" s="80"/>
      <c r="F516" s="80"/>
      <c r="G516" s="80"/>
      <c r="H516" s="80"/>
      <c r="I516" s="80"/>
      <c r="J516" s="80"/>
      <c r="K516" s="80"/>
      <c r="L516" s="80"/>
    </row>
    <row r="517" spans="3:12">
      <c r="C517" s="80"/>
      <c r="D517" s="80"/>
      <c r="E517" s="80"/>
      <c r="F517" s="80"/>
      <c r="G517" s="80"/>
      <c r="H517" s="80"/>
      <c r="I517" s="80"/>
      <c r="J517" s="80"/>
      <c r="K517" s="80"/>
      <c r="L517" s="80"/>
    </row>
    <row r="518" spans="3:12">
      <c r="C518" s="80"/>
      <c r="D518" s="80"/>
      <c r="E518" s="80"/>
      <c r="F518" s="80"/>
      <c r="G518" s="80"/>
      <c r="H518" s="80"/>
      <c r="I518" s="80"/>
      <c r="J518" s="80"/>
      <c r="K518" s="80"/>
      <c r="L518" s="80"/>
    </row>
    <row r="519" spans="3:12">
      <c r="C519" s="80"/>
      <c r="D519" s="80"/>
      <c r="E519" s="80"/>
      <c r="F519" s="80"/>
      <c r="G519" s="80"/>
      <c r="H519" s="80"/>
      <c r="I519" s="80"/>
      <c r="J519" s="80"/>
      <c r="K519" s="80"/>
      <c r="L519" s="80"/>
    </row>
    <row r="520" spans="3:12">
      <c r="C520" s="80"/>
      <c r="D520" s="80"/>
      <c r="E520" s="80"/>
      <c r="F520" s="80"/>
      <c r="G520" s="80"/>
      <c r="H520" s="80"/>
      <c r="I520" s="80"/>
      <c r="J520" s="80"/>
      <c r="K520" s="80"/>
      <c r="L520" s="80"/>
    </row>
    <row r="521" spans="3:12">
      <c r="C521" s="80"/>
      <c r="D521" s="80"/>
      <c r="E521" s="80"/>
      <c r="F521" s="80"/>
      <c r="G521" s="80"/>
      <c r="H521" s="80"/>
      <c r="I521" s="80"/>
      <c r="J521" s="80"/>
      <c r="K521" s="80"/>
      <c r="L521" s="80"/>
    </row>
    <row r="522" spans="3:12">
      <c r="C522" s="80"/>
      <c r="D522" s="80"/>
      <c r="E522" s="80"/>
      <c r="F522" s="80"/>
      <c r="G522" s="80"/>
      <c r="H522" s="80"/>
      <c r="I522" s="80"/>
      <c r="J522" s="80"/>
      <c r="K522" s="80"/>
      <c r="L522" s="80"/>
    </row>
    <row r="523" spans="3:12">
      <c r="C523" s="80"/>
      <c r="D523" s="80"/>
      <c r="E523" s="80"/>
      <c r="F523" s="80"/>
      <c r="G523" s="80"/>
      <c r="H523" s="80"/>
      <c r="I523" s="80"/>
      <c r="J523" s="80"/>
      <c r="K523" s="80"/>
      <c r="L523" s="80"/>
    </row>
    <row r="524" spans="3:12">
      <c r="C524" s="80"/>
      <c r="D524" s="80"/>
      <c r="E524" s="80"/>
      <c r="F524" s="80"/>
      <c r="G524" s="80"/>
      <c r="H524" s="80"/>
      <c r="I524" s="80"/>
      <c r="J524" s="80"/>
      <c r="K524" s="80"/>
      <c r="L524" s="80"/>
    </row>
    <row r="525" spans="3:12">
      <c r="C525" s="80"/>
      <c r="D525" s="80"/>
      <c r="E525" s="80"/>
      <c r="F525" s="80"/>
      <c r="G525" s="80"/>
      <c r="H525" s="80"/>
      <c r="I525" s="80"/>
      <c r="J525" s="80"/>
      <c r="K525" s="80"/>
      <c r="L525" s="80"/>
    </row>
    <row r="526" spans="3:12">
      <c r="C526" s="80"/>
      <c r="D526" s="80"/>
      <c r="E526" s="80"/>
      <c r="F526" s="80"/>
      <c r="G526" s="80"/>
      <c r="H526" s="80"/>
      <c r="I526" s="80"/>
      <c r="J526" s="80"/>
      <c r="K526" s="80"/>
      <c r="L526" s="80"/>
    </row>
    <row r="527" spans="3:12">
      <c r="C527" s="80"/>
      <c r="D527" s="80"/>
      <c r="E527" s="80"/>
      <c r="F527" s="80"/>
      <c r="G527" s="80"/>
      <c r="H527" s="80"/>
      <c r="I527" s="80"/>
      <c r="J527" s="80"/>
      <c r="K527" s="80"/>
      <c r="L527" s="80"/>
    </row>
    <row r="528" spans="3:12">
      <c r="C528" s="80"/>
      <c r="D528" s="80"/>
      <c r="E528" s="80"/>
      <c r="F528" s="80"/>
      <c r="G528" s="80"/>
      <c r="H528" s="80"/>
      <c r="I528" s="80"/>
      <c r="J528" s="80"/>
      <c r="K528" s="80"/>
      <c r="L528" s="80"/>
    </row>
    <row r="529" spans="3:12">
      <c r="C529" s="80"/>
      <c r="D529" s="80"/>
      <c r="E529" s="80"/>
      <c r="F529" s="80"/>
      <c r="G529" s="80"/>
      <c r="H529" s="80"/>
      <c r="I529" s="80"/>
      <c r="J529" s="80"/>
      <c r="K529" s="80"/>
      <c r="L529" s="80"/>
    </row>
    <row r="530" spans="3:12">
      <c r="C530" s="80"/>
      <c r="D530" s="80"/>
      <c r="E530" s="80"/>
      <c r="F530" s="80"/>
      <c r="G530" s="80"/>
      <c r="H530" s="80"/>
      <c r="I530" s="80"/>
      <c r="J530" s="80"/>
      <c r="K530" s="80"/>
      <c r="L530" s="80"/>
    </row>
    <row r="531" spans="3:12">
      <c r="C531" s="80"/>
      <c r="D531" s="80"/>
      <c r="E531" s="80"/>
      <c r="F531" s="80"/>
      <c r="G531" s="80"/>
      <c r="H531" s="80"/>
      <c r="I531" s="80"/>
      <c r="J531" s="80"/>
      <c r="K531" s="80"/>
      <c r="L531" s="80"/>
    </row>
    <row r="532" spans="3:12">
      <c r="C532" s="80"/>
      <c r="D532" s="80"/>
      <c r="E532" s="80"/>
      <c r="F532" s="80"/>
      <c r="G532" s="80"/>
      <c r="H532" s="80"/>
      <c r="I532" s="80"/>
      <c r="J532" s="80"/>
      <c r="K532" s="80"/>
      <c r="L532" s="80"/>
    </row>
    <row r="533" spans="3:12">
      <c r="C533" s="80"/>
      <c r="D533" s="80"/>
      <c r="E533" s="80"/>
      <c r="F533" s="80"/>
      <c r="G533" s="80"/>
      <c r="H533" s="80"/>
      <c r="I533" s="80"/>
      <c r="J533" s="80"/>
      <c r="K533" s="80"/>
      <c r="L533" s="80"/>
    </row>
    <row r="534" spans="3:12">
      <c r="C534" s="80"/>
      <c r="D534" s="80"/>
      <c r="E534" s="80"/>
      <c r="F534" s="80"/>
      <c r="G534" s="80"/>
      <c r="H534" s="80"/>
      <c r="I534" s="80"/>
      <c r="J534" s="80"/>
      <c r="K534" s="80"/>
      <c r="L534" s="80"/>
    </row>
    <row r="535" spans="3:12">
      <c r="C535" s="80"/>
      <c r="D535" s="80"/>
      <c r="E535" s="80"/>
      <c r="F535" s="80"/>
      <c r="G535" s="80"/>
      <c r="H535" s="80"/>
      <c r="I535" s="80"/>
      <c r="J535" s="80"/>
      <c r="K535" s="80"/>
      <c r="L535" s="80"/>
    </row>
    <row r="536" spans="3:12">
      <c r="C536" s="80"/>
      <c r="D536" s="80"/>
      <c r="E536" s="80"/>
      <c r="F536" s="80"/>
      <c r="G536" s="80"/>
      <c r="H536" s="80"/>
      <c r="I536" s="80"/>
      <c r="J536" s="80"/>
      <c r="K536" s="80"/>
      <c r="L536" s="80"/>
    </row>
    <row r="537" spans="3:12">
      <c r="C537" s="80"/>
      <c r="D537" s="80"/>
      <c r="E537" s="80"/>
      <c r="F537" s="80"/>
      <c r="G537" s="80"/>
      <c r="H537" s="80"/>
      <c r="I537" s="80"/>
      <c r="J537" s="80"/>
      <c r="K537" s="80"/>
      <c r="L537" s="80"/>
    </row>
    <row r="538" spans="3:12">
      <c r="C538" s="80"/>
      <c r="D538" s="80"/>
      <c r="E538" s="80"/>
      <c r="F538" s="80"/>
      <c r="G538" s="80"/>
      <c r="H538" s="80"/>
      <c r="I538" s="80"/>
      <c r="J538" s="80"/>
      <c r="K538" s="80"/>
      <c r="L538" s="80"/>
    </row>
    <row r="539" spans="3:12">
      <c r="C539" s="80"/>
      <c r="D539" s="80"/>
      <c r="E539" s="80"/>
      <c r="F539" s="80"/>
      <c r="G539" s="80"/>
      <c r="H539" s="80"/>
      <c r="I539" s="80"/>
      <c r="J539" s="80"/>
      <c r="K539" s="80"/>
      <c r="L539" s="80"/>
    </row>
    <row r="540" spans="3:12">
      <c r="C540" s="80"/>
      <c r="D540" s="80"/>
      <c r="E540" s="80"/>
      <c r="F540" s="80"/>
      <c r="G540" s="80"/>
      <c r="H540" s="80"/>
      <c r="I540" s="80"/>
      <c r="J540" s="80"/>
      <c r="K540" s="80"/>
      <c r="L540" s="80"/>
    </row>
    <row r="541" spans="3:12">
      <c r="C541" s="80"/>
      <c r="D541" s="80"/>
      <c r="E541" s="80"/>
      <c r="F541" s="80"/>
      <c r="G541" s="80"/>
      <c r="H541" s="80"/>
      <c r="I541" s="80"/>
      <c r="J541" s="80"/>
      <c r="K541" s="80"/>
      <c r="L541" s="80"/>
    </row>
    <row r="542" spans="3:12">
      <c r="C542" s="80"/>
      <c r="D542" s="80"/>
      <c r="E542" s="80"/>
      <c r="F542" s="80"/>
      <c r="G542" s="80"/>
      <c r="H542" s="80"/>
      <c r="I542" s="80"/>
      <c r="J542" s="80"/>
      <c r="K542" s="80"/>
      <c r="L542" s="80"/>
    </row>
    <row r="543" spans="3:12">
      <c r="C543" s="80"/>
      <c r="D543" s="80"/>
      <c r="E543" s="80"/>
      <c r="F543" s="80"/>
      <c r="G543" s="80"/>
      <c r="H543" s="80"/>
      <c r="I543" s="80"/>
      <c r="J543" s="80"/>
      <c r="K543" s="80"/>
      <c r="L543" s="80"/>
    </row>
    <row r="544" spans="3:12">
      <c r="C544" s="80"/>
      <c r="D544" s="80"/>
      <c r="E544" s="80"/>
      <c r="F544" s="80"/>
      <c r="G544" s="80"/>
      <c r="H544" s="80"/>
      <c r="I544" s="80"/>
      <c r="J544" s="80"/>
      <c r="K544" s="80"/>
      <c r="L544" s="80"/>
    </row>
    <row r="545" spans="3:12">
      <c r="C545" s="80"/>
      <c r="D545" s="80"/>
      <c r="E545" s="80"/>
      <c r="F545" s="80"/>
      <c r="G545" s="80"/>
      <c r="H545" s="80"/>
      <c r="I545" s="80"/>
      <c r="J545" s="80"/>
      <c r="K545" s="80"/>
      <c r="L545" s="80"/>
    </row>
    <row r="546" spans="3:12">
      <c r="C546" s="80"/>
      <c r="D546" s="80"/>
      <c r="E546" s="80"/>
      <c r="F546" s="80"/>
      <c r="G546" s="80"/>
      <c r="H546" s="80"/>
      <c r="I546" s="80"/>
      <c r="J546" s="80"/>
      <c r="K546" s="80"/>
      <c r="L546" s="80"/>
    </row>
    <row r="547" spans="3:12">
      <c r="C547" s="80"/>
      <c r="D547" s="80"/>
      <c r="E547" s="80"/>
      <c r="F547" s="80"/>
      <c r="G547" s="80"/>
      <c r="H547" s="80"/>
      <c r="I547" s="80"/>
      <c r="J547" s="80"/>
      <c r="K547" s="80"/>
      <c r="L547" s="80"/>
    </row>
    <row r="548" spans="3:12">
      <c r="C548" s="80"/>
      <c r="D548" s="80"/>
      <c r="E548" s="80"/>
      <c r="F548" s="80"/>
      <c r="G548" s="80"/>
      <c r="H548" s="80"/>
      <c r="I548" s="80"/>
      <c r="J548" s="80"/>
      <c r="K548" s="80"/>
      <c r="L548" s="80"/>
    </row>
    <row r="549" spans="3:12">
      <c r="C549" s="80"/>
      <c r="D549" s="80"/>
      <c r="E549" s="80"/>
      <c r="F549" s="80"/>
      <c r="G549" s="80"/>
      <c r="H549" s="80"/>
      <c r="I549" s="80"/>
      <c r="J549" s="80"/>
      <c r="K549" s="80"/>
      <c r="L549" s="80"/>
    </row>
    <row r="550" spans="3:12">
      <c r="C550" s="80"/>
      <c r="D550" s="80"/>
      <c r="E550" s="80"/>
      <c r="F550" s="80"/>
      <c r="G550" s="80"/>
      <c r="H550" s="80"/>
      <c r="I550" s="80"/>
      <c r="J550" s="80"/>
      <c r="K550" s="80"/>
      <c r="L550" s="80"/>
    </row>
    <row r="551" spans="3:12">
      <c r="C551" s="80"/>
      <c r="D551" s="80"/>
      <c r="E551" s="80"/>
      <c r="F551" s="80"/>
      <c r="G551" s="80"/>
      <c r="H551" s="80"/>
      <c r="I551" s="80"/>
      <c r="J551" s="80"/>
      <c r="K551" s="80"/>
      <c r="L551" s="80"/>
    </row>
    <row r="552" spans="3:12">
      <c r="C552" s="80"/>
      <c r="D552" s="80"/>
      <c r="E552" s="80"/>
      <c r="F552" s="80"/>
      <c r="G552" s="80"/>
      <c r="H552" s="80"/>
      <c r="I552" s="80"/>
      <c r="J552" s="80"/>
      <c r="K552" s="80"/>
      <c r="L552" s="80"/>
    </row>
    <row r="553" spans="3:12">
      <c r="C553" s="80"/>
      <c r="D553" s="80"/>
      <c r="E553" s="80"/>
      <c r="F553" s="80"/>
      <c r="G553" s="80"/>
      <c r="H553" s="80"/>
      <c r="I553" s="80"/>
      <c r="J553" s="80"/>
      <c r="K553" s="80"/>
      <c r="L553" s="80"/>
    </row>
    <row r="554" spans="3:12">
      <c r="C554" s="80"/>
      <c r="D554" s="80"/>
      <c r="E554" s="80"/>
      <c r="F554" s="80"/>
      <c r="G554" s="80"/>
      <c r="H554" s="80"/>
      <c r="I554" s="80"/>
      <c r="J554" s="80"/>
      <c r="K554" s="80"/>
      <c r="L554" s="80"/>
    </row>
    <row r="555" spans="3:12">
      <c r="C555" s="80"/>
      <c r="D555" s="80"/>
      <c r="E555" s="80"/>
      <c r="F555" s="80"/>
      <c r="G555" s="80"/>
      <c r="H555" s="80"/>
      <c r="I555" s="80"/>
      <c r="J555" s="80"/>
      <c r="K555" s="80"/>
      <c r="L555" s="80"/>
    </row>
    <row r="556" spans="3:12">
      <c r="C556" s="80"/>
      <c r="D556" s="80"/>
      <c r="E556" s="80"/>
      <c r="F556" s="80"/>
      <c r="G556" s="80"/>
      <c r="H556" s="80"/>
      <c r="I556" s="80"/>
      <c r="J556" s="80"/>
      <c r="K556" s="80"/>
      <c r="L556" s="80"/>
    </row>
    <row r="557" spans="3:12">
      <c r="C557" s="80"/>
      <c r="D557" s="80"/>
      <c r="E557" s="80"/>
      <c r="F557" s="80"/>
      <c r="G557" s="80"/>
      <c r="H557" s="80"/>
      <c r="I557" s="80"/>
      <c r="J557" s="80"/>
      <c r="K557" s="80"/>
      <c r="L557" s="80"/>
    </row>
    <row r="558" spans="3:12">
      <c r="C558" s="80"/>
      <c r="D558" s="80"/>
      <c r="E558" s="80"/>
      <c r="F558" s="80"/>
      <c r="G558" s="80"/>
      <c r="H558" s="80"/>
      <c r="I558" s="80"/>
      <c r="J558" s="80"/>
      <c r="K558" s="80"/>
      <c r="L558" s="80"/>
    </row>
    <row r="559" spans="3:12">
      <c r="C559" s="80"/>
      <c r="D559" s="80"/>
      <c r="E559" s="80"/>
      <c r="F559" s="80"/>
      <c r="G559" s="80"/>
      <c r="H559" s="80"/>
      <c r="I559" s="80"/>
      <c r="J559" s="80"/>
      <c r="K559" s="80"/>
      <c r="L559" s="80"/>
    </row>
    <row r="560" spans="3:12">
      <c r="C560" s="80"/>
      <c r="D560" s="80"/>
      <c r="E560" s="80"/>
      <c r="F560" s="80"/>
      <c r="G560" s="80"/>
      <c r="H560" s="80"/>
      <c r="I560" s="80"/>
      <c r="J560" s="80"/>
      <c r="K560" s="80"/>
      <c r="L560" s="80"/>
    </row>
    <row r="561" spans="3:12">
      <c r="C561" s="80"/>
      <c r="D561" s="80"/>
      <c r="E561" s="80"/>
      <c r="F561" s="80"/>
      <c r="G561" s="80"/>
      <c r="H561" s="80"/>
      <c r="I561" s="80"/>
      <c r="J561" s="80"/>
      <c r="K561" s="80"/>
      <c r="L561" s="80"/>
    </row>
    <row r="562" spans="3:12">
      <c r="C562" s="80"/>
      <c r="D562" s="80"/>
      <c r="E562" s="80"/>
      <c r="F562" s="80"/>
      <c r="G562" s="80"/>
      <c r="H562" s="80"/>
      <c r="I562" s="80"/>
      <c r="J562" s="80"/>
      <c r="K562" s="80"/>
      <c r="L562" s="80"/>
    </row>
    <row r="563" spans="3:12">
      <c r="C563" s="80"/>
      <c r="D563" s="80"/>
      <c r="E563" s="80"/>
      <c r="F563" s="80"/>
      <c r="G563" s="80"/>
      <c r="H563" s="80"/>
      <c r="I563" s="80"/>
      <c r="J563" s="80"/>
      <c r="K563" s="80"/>
      <c r="L563" s="80"/>
    </row>
    <row r="564" spans="3:12">
      <c r="C564" s="80"/>
      <c r="D564" s="80"/>
      <c r="E564" s="80"/>
      <c r="F564" s="80"/>
      <c r="G564" s="80"/>
      <c r="H564" s="80"/>
      <c r="I564" s="80"/>
      <c r="J564" s="80"/>
      <c r="K564" s="80"/>
      <c r="L564" s="80"/>
    </row>
    <row r="565" spans="3:12">
      <c r="C565" s="80"/>
      <c r="D565" s="80"/>
      <c r="E565" s="80"/>
      <c r="F565" s="80"/>
      <c r="G565" s="80"/>
      <c r="H565" s="80"/>
      <c r="I565" s="80"/>
      <c r="J565" s="80"/>
      <c r="K565" s="80"/>
      <c r="L565" s="80"/>
    </row>
    <row r="566" spans="3:12">
      <c r="C566" s="80"/>
      <c r="D566" s="80"/>
      <c r="E566" s="80"/>
      <c r="F566" s="80"/>
      <c r="G566" s="80"/>
      <c r="H566" s="80"/>
      <c r="I566" s="80"/>
      <c r="J566" s="80"/>
      <c r="K566" s="80"/>
      <c r="L566" s="80"/>
    </row>
    <row r="567" spans="3:12">
      <c r="C567" s="80"/>
      <c r="D567" s="80"/>
      <c r="E567" s="80"/>
      <c r="F567" s="80"/>
      <c r="G567" s="80"/>
      <c r="H567" s="80"/>
      <c r="I567" s="80"/>
      <c r="J567" s="80"/>
      <c r="K567" s="80"/>
      <c r="L567" s="80"/>
    </row>
    <row r="568" spans="3:12">
      <c r="C568" s="80"/>
      <c r="D568" s="80"/>
      <c r="E568" s="80"/>
      <c r="F568" s="80"/>
      <c r="G568" s="80"/>
      <c r="H568" s="80"/>
      <c r="I568" s="80"/>
      <c r="J568" s="80"/>
      <c r="K568" s="80"/>
      <c r="L568" s="80"/>
    </row>
    <row r="569" spans="3:12">
      <c r="C569" s="80"/>
      <c r="D569" s="80"/>
      <c r="E569" s="80"/>
      <c r="F569" s="80"/>
      <c r="G569" s="80"/>
      <c r="H569" s="80"/>
      <c r="I569" s="80"/>
      <c r="J569" s="80"/>
      <c r="K569" s="80"/>
      <c r="L569" s="80"/>
    </row>
    <row r="570" spans="3:12">
      <c r="C570" s="80"/>
      <c r="D570" s="80"/>
      <c r="E570" s="80"/>
      <c r="F570" s="80"/>
      <c r="G570" s="80"/>
      <c r="H570" s="80"/>
      <c r="I570" s="80"/>
      <c r="J570" s="80"/>
      <c r="K570" s="80"/>
      <c r="L570" s="80"/>
    </row>
    <row r="571" spans="3:12">
      <c r="C571" s="80"/>
      <c r="D571" s="80"/>
      <c r="E571" s="80"/>
      <c r="F571" s="80"/>
      <c r="G571" s="80"/>
      <c r="H571" s="80"/>
      <c r="I571" s="80"/>
      <c r="J571" s="80"/>
      <c r="K571" s="80"/>
      <c r="L571" s="80"/>
    </row>
    <row r="572" spans="3:12">
      <c r="C572" s="80"/>
      <c r="D572" s="80"/>
      <c r="E572" s="80"/>
      <c r="F572" s="80"/>
      <c r="G572" s="80"/>
      <c r="H572" s="80"/>
      <c r="I572" s="80"/>
      <c r="J572" s="80"/>
      <c r="K572" s="80"/>
      <c r="L572" s="80"/>
    </row>
    <row r="573" spans="3:12">
      <c r="C573" s="80"/>
      <c r="D573" s="80"/>
      <c r="E573" s="80"/>
      <c r="F573" s="80"/>
      <c r="G573" s="80"/>
      <c r="H573" s="80"/>
      <c r="I573" s="80"/>
      <c r="J573" s="80"/>
      <c r="K573" s="80"/>
      <c r="L573" s="80"/>
    </row>
    <row r="574" spans="3:12">
      <c r="C574" s="80"/>
      <c r="D574" s="80"/>
      <c r="E574" s="80"/>
      <c r="F574" s="80"/>
      <c r="G574" s="80"/>
      <c r="H574" s="80"/>
      <c r="I574" s="80"/>
      <c r="J574" s="80"/>
      <c r="K574" s="80"/>
      <c r="L574" s="80"/>
    </row>
    <row r="575" spans="3:12">
      <c r="C575" s="80"/>
      <c r="D575" s="80"/>
      <c r="E575" s="80"/>
      <c r="F575" s="80"/>
      <c r="G575" s="80"/>
      <c r="H575" s="80"/>
      <c r="I575" s="80"/>
      <c r="J575" s="80"/>
      <c r="K575" s="80"/>
      <c r="L575" s="80"/>
    </row>
    <row r="576" spans="3:12">
      <c r="C576" s="80"/>
      <c r="D576" s="80"/>
      <c r="E576" s="80"/>
      <c r="F576" s="80"/>
      <c r="G576" s="80"/>
      <c r="H576" s="80"/>
      <c r="I576" s="80"/>
      <c r="J576" s="80"/>
      <c r="K576" s="80"/>
      <c r="L576" s="80"/>
    </row>
    <row r="577" spans="3:12">
      <c r="C577" s="80"/>
      <c r="D577" s="80"/>
      <c r="E577" s="80"/>
      <c r="F577" s="80"/>
      <c r="G577" s="80"/>
      <c r="H577" s="80"/>
      <c r="I577" s="80"/>
      <c r="J577" s="80"/>
      <c r="K577" s="80"/>
      <c r="L577" s="80"/>
    </row>
    <row r="578" spans="3:12">
      <c r="C578" s="80"/>
      <c r="D578" s="80"/>
      <c r="E578" s="80"/>
      <c r="F578" s="80"/>
      <c r="G578" s="80"/>
      <c r="H578" s="80"/>
      <c r="I578" s="80"/>
      <c r="J578" s="80"/>
      <c r="K578" s="80"/>
      <c r="L578" s="80"/>
    </row>
    <row r="579" spans="3:12">
      <c r="C579" s="80"/>
      <c r="D579" s="80"/>
      <c r="E579" s="80"/>
      <c r="F579" s="80"/>
      <c r="G579" s="80"/>
      <c r="H579" s="80"/>
      <c r="I579" s="80"/>
      <c r="J579" s="80"/>
      <c r="K579" s="80"/>
      <c r="L579" s="80"/>
    </row>
    <row r="580" spans="3:12">
      <c r="C580" s="80"/>
      <c r="D580" s="80"/>
      <c r="E580" s="80"/>
      <c r="F580" s="80"/>
      <c r="G580" s="80"/>
      <c r="H580" s="80"/>
      <c r="I580" s="80"/>
      <c r="J580" s="80"/>
      <c r="K580" s="80"/>
      <c r="L580" s="80"/>
    </row>
  </sheetData>
  <phoneticPr fontId="0" type="noConversion"/>
  <printOptions horizontalCentered="1"/>
  <pageMargins left="0.75" right="0.75" top="0.75" bottom="0.5" header="0.25" footer="0.25"/>
  <pageSetup scale="44" orientation="portrait" blackAndWhite="1" r:id="rId1"/>
  <headerFooter alignWithMargins="0"/>
  <rowBreaks count="5" manualBreakCount="5">
    <brk id="56" max="11" man="1"/>
    <brk id="116" max="11" man="1"/>
    <brk id="186" max="11" man="1"/>
    <brk id="262" max="11" man="1"/>
    <brk id="324" max="11" man="1"/>
  </rowBreak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>
    <tabColor rgb="FFFF0000"/>
    <pageSetUpPr fitToPage="1"/>
  </sheetPr>
  <dimension ref="A1:M351"/>
  <sheetViews>
    <sheetView zoomScale="81" zoomScaleNormal="81" zoomScaleSheetLayoutView="75" workbookViewId="0">
      <selection activeCell="AA441" sqref="AA441"/>
    </sheetView>
  </sheetViews>
  <sheetFormatPr defaultColWidth="8.77734375" defaultRowHeight="15"/>
  <cols>
    <col min="1" max="1" width="7.44140625" style="12" customWidth="1"/>
    <col min="2" max="2" width="1.44140625" style="12" customWidth="1"/>
    <col min="3" max="3" width="62.77734375" style="12" customWidth="1"/>
    <col min="4" max="4" width="23" style="12" customWidth="1"/>
    <col min="5" max="5" width="15.5546875" style="12" customWidth="1"/>
    <col min="6" max="6" width="5.77734375" style="12" customWidth="1"/>
    <col min="7" max="7" width="5.6640625" style="12" customWidth="1"/>
    <col min="8" max="8" width="10.6640625" style="12" customWidth="1"/>
    <col min="9" max="9" width="5.77734375" style="12" customWidth="1"/>
    <col min="10" max="10" width="16.33203125" style="12" customWidth="1"/>
    <col min="11" max="11" width="3.44140625" style="12" customWidth="1"/>
    <col min="12" max="12" width="14" style="12" customWidth="1"/>
    <col min="13" max="13" width="1.88671875" style="12" customWidth="1"/>
    <col min="14" max="16384" width="8.77734375" style="12"/>
  </cols>
  <sheetData>
    <row r="1" spans="1:13" ht="18">
      <c r="A1" s="244"/>
      <c r="C1" s="29"/>
      <c r="D1" s="29"/>
      <c r="E1" s="30"/>
      <c r="F1" s="29"/>
      <c r="G1" s="29"/>
      <c r="H1" s="29"/>
      <c r="I1" s="31"/>
      <c r="J1" s="77" t="s">
        <v>369</v>
      </c>
      <c r="K1" s="91"/>
      <c r="M1" s="91"/>
    </row>
    <row r="2" spans="1:13">
      <c r="C2" s="29"/>
      <c r="D2" s="29"/>
      <c r="E2" s="30"/>
      <c r="F2" s="29"/>
      <c r="G2" s="29"/>
      <c r="H2" s="29"/>
      <c r="I2" s="31"/>
      <c r="J2" s="77" t="s">
        <v>570</v>
      </c>
      <c r="M2" s="77"/>
    </row>
    <row r="3" spans="1:13">
      <c r="C3" s="29"/>
      <c r="D3" s="29"/>
      <c r="E3" s="30"/>
      <c r="F3" s="29"/>
      <c r="G3" s="29"/>
      <c r="H3" s="29"/>
      <c r="I3" s="31"/>
      <c r="K3" s="1"/>
      <c r="M3" s="77"/>
    </row>
    <row r="4" spans="1:13">
      <c r="C4" s="29"/>
      <c r="D4" s="29"/>
      <c r="E4" s="30"/>
      <c r="F4" s="29"/>
      <c r="G4" s="29"/>
      <c r="H4" s="29"/>
      <c r="I4" s="31"/>
      <c r="K4" s="1"/>
      <c r="M4" s="77"/>
    </row>
    <row r="5" spans="1:13">
      <c r="C5" s="29"/>
      <c r="D5" s="29"/>
      <c r="E5" s="30"/>
      <c r="F5" s="29"/>
      <c r="G5" s="29"/>
      <c r="H5" s="29"/>
      <c r="I5" s="31"/>
      <c r="K5" s="1"/>
      <c r="M5" s="77"/>
    </row>
    <row r="6" spans="1:13">
      <c r="C6" s="29"/>
      <c r="D6" s="29"/>
      <c r="E6" s="30"/>
      <c r="F6" s="29"/>
      <c r="G6" s="29"/>
      <c r="H6" s="29"/>
      <c r="I6" s="31"/>
      <c r="J6" s="1"/>
      <c r="K6" s="1"/>
      <c r="M6" s="1"/>
    </row>
    <row r="7" spans="1:13">
      <c r="C7" s="29" t="s">
        <v>11</v>
      </c>
      <c r="D7" s="29"/>
      <c r="E7" s="30"/>
      <c r="F7" s="29"/>
      <c r="G7" s="29"/>
      <c r="H7" s="29"/>
      <c r="I7" s="31"/>
      <c r="J7" s="296" t="str">
        <f>'DE Ohio &amp; Kentucky'!J7</f>
        <v>For the 12 months ended: 12/31/2015</v>
      </c>
      <c r="K7" s="1"/>
      <c r="M7" s="1"/>
    </row>
    <row r="8" spans="1:13">
      <c r="A8" s="305" t="str">
        <f>'DE Ohio &amp; Kentucky'!A8</f>
        <v>Rate Formula Template</v>
      </c>
      <c r="B8" s="279"/>
      <c r="C8" s="279"/>
      <c r="D8" s="277"/>
      <c r="E8" s="279"/>
      <c r="F8" s="277"/>
      <c r="G8" s="277"/>
      <c r="H8" s="277"/>
      <c r="I8" s="277"/>
      <c r="J8" s="279"/>
      <c r="K8" s="1"/>
      <c r="L8" s="279"/>
      <c r="M8" s="1"/>
    </row>
    <row r="9" spans="1:13">
      <c r="A9" s="280" t="s">
        <v>331</v>
      </c>
      <c r="B9" s="279"/>
      <c r="C9" s="277"/>
      <c r="D9" s="280"/>
      <c r="E9" s="279"/>
      <c r="F9" s="280"/>
      <c r="G9" s="280"/>
      <c r="H9" s="280"/>
      <c r="I9" s="277"/>
      <c r="J9" s="277"/>
      <c r="K9" s="1"/>
      <c r="L9" s="273"/>
      <c r="M9" s="1"/>
    </row>
    <row r="10" spans="1:13">
      <c r="A10" s="273"/>
      <c r="B10" s="279"/>
      <c r="C10" s="273"/>
      <c r="D10" s="273"/>
      <c r="E10" s="279"/>
      <c r="F10" s="273"/>
      <c r="G10" s="273"/>
      <c r="H10" s="273"/>
      <c r="I10" s="273"/>
      <c r="J10" s="273"/>
      <c r="K10" s="1"/>
      <c r="L10" s="273"/>
      <c r="M10" s="1"/>
    </row>
    <row r="11" spans="1:13" ht="15.75">
      <c r="A11" s="489" t="s">
        <v>216</v>
      </c>
      <c r="B11" s="490"/>
      <c r="C11" s="491"/>
      <c r="D11" s="491"/>
      <c r="E11" s="490"/>
      <c r="F11" s="491"/>
      <c r="G11" s="491"/>
      <c r="H11" s="491"/>
      <c r="I11" s="491"/>
      <c r="J11" s="491"/>
      <c r="K11" s="1"/>
      <c r="L11" s="273"/>
      <c r="M11" s="1"/>
    </row>
    <row r="12" spans="1:13">
      <c r="A12" s="32"/>
      <c r="C12" s="1"/>
      <c r="D12" s="1"/>
      <c r="E12" s="21"/>
      <c r="F12" s="1"/>
      <c r="G12" s="1"/>
      <c r="H12" s="1"/>
      <c r="I12" s="1"/>
      <c r="J12" s="1"/>
      <c r="K12" s="1"/>
      <c r="L12" s="1"/>
      <c r="M12" s="1"/>
    </row>
    <row r="13" spans="1:13">
      <c r="A13" s="32" t="s">
        <v>13</v>
      </c>
      <c r="C13" s="1"/>
      <c r="D13" s="1"/>
      <c r="E13" s="21"/>
      <c r="F13" s="1"/>
      <c r="G13" s="1"/>
      <c r="H13" s="1"/>
      <c r="I13" s="1"/>
      <c r="J13" s="32" t="s">
        <v>14</v>
      </c>
      <c r="K13" s="1"/>
      <c r="L13" s="1"/>
      <c r="M13" s="1"/>
    </row>
    <row r="14" spans="1:13">
      <c r="A14" s="290" t="s">
        <v>15</v>
      </c>
      <c r="B14" s="236"/>
      <c r="C14" s="289"/>
      <c r="D14" s="289"/>
      <c r="E14" s="289"/>
      <c r="F14" s="289"/>
      <c r="G14" s="289"/>
      <c r="H14" s="289"/>
      <c r="I14" s="289"/>
      <c r="J14" s="290" t="s">
        <v>16</v>
      </c>
      <c r="K14" s="1"/>
      <c r="L14" s="1"/>
      <c r="M14" s="1"/>
    </row>
    <row r="15" spans="1:13">
      <c r="A15" s="32">
        <v>1</v>
      </c>
      <c r="C15" s="1" t="s">
        <v>406</v>
      </c>
      <c r="D15" s="1"/>
      <c r="E15" s="2"/>
      <c r="F15" s="1"/>
      <c r="G15" s="1"/>
      <c r="H15" s="1"/>
      <c r="I15" s="1"/>
      <c r="J15" s="36">
        <f>J183</f>
        <v>5492333.3358116578</v>
      </c>
      <c r="K15" s="1"/>
      <c r="L15" s="1"/>
      <c r="M15" s="1"/>
    </row>
    <row r="16" spans="1:13">
      <c r="A16" s="32"/>
      <c r="C16" s="1"/>
      <c r="D16" s="1"/>
      <c r="E16" s="1"/>
      <c r="F16" s="1"/>
      <c r="G16" s="1"/>
      <c r="H16" s="1"/>
      <c r="I16" s="1"/>
      <c r="J16" s="2"/>
      <c r="K16" s="1"/>
      <c r="L16" s="1"/>
      <c r="M16" s="1"/>
    </row>
    <row r="17" spans="1:13">
      <c r="A17" s="32"/>
      <c r="C17" s="1"/>
      <c r="D17" s="1"/>
      <c r="E17" s="1"/>
      <c r="F17" s="1"/>
      <c r="G17" s="1"/>
      <c r="H17" s="1"/>
      <c r="I17" s="1"/>
      <c r="J17" s="2"/>
      <c r="K17" s="1"/>
      <c r="L17" s="1"/>
      <c r="M17" s="1"/>
    </row>
    <row r="18" spans="1:13" ht="15.75" thickBot="1">
      <c r="A18" s="32" t="s">
        <v>12</v>
      </c>
      <c r="C18" s="431" t="s">
        <v>445</v>
      </c>
      <c r="E18" s="40" t="s">
        <v>17</v>
      </c>
      <c r="F18" s="5"/>
      <c r="G18" s="49" t="s">
        <v>18</v>
      </c>
      <c r="H18" s="49"/>
      <c r="I18" s="1"/>
      <c r="J18" s="2"/>
      <c r="K18" s="1"/>
      <c r="L18" s="1"/>
      <c r="M18" s="1"/>
    </row>
    <row r="19" spans="1:13">
      <c r="A19" s="32">
        <v>2</v>
      </c>
      <c r="C19" s="3" t="s">
        <v>429</v>
      </c>
      <c r="D19" s="5" t="str">
        <f>'DE Ohio &amp; Kentucky'!D19</f>
        <v>(page 4, line 34)</v>
      </c>
      <c r="E19" s="366">
        <f>J259</f>
        <v>18823</v>
      </c>
      <c r="F19" s="366"/>
      <c r="G19" s="366" t="s">
        <v>19</v>
      </c>
      <c r="H19" s="19">
        <f t="shared" ref="H19:H22" si="0">J$207</f>
        <v>0.70516451836756744</v>
      </c>
      <c r="I19" s="366"/>
      <c r="J19" s="366">
        <f>H19*E19</f>
        <v>13273.311729232722</v>
      </c>
      <c r="K19" s="1"/>
      <c r="L19" s="1"/>
      <c r="M19" s="1"/>
    </row>
    <row r="20" spans="1:13">
      <c r="A20" s="32">
        <v>3</v>
      </c>
      <c r="C20" s="3" t="s">
        <v>465</v>
      </c>
      <c r="D20" s="729" t="str">
        <f>'DE Ohio &amp; Kentucky'!D20</f>
        <v>(page 4, line 35)</v>
      </c>
      <c r="E20" s="225">
        <f>J261</f>
        <v>40934</v>
      </c>
      <c r="F20" s="366"/>
      <c r="G20" s="366" t="str">
        <f>G$19</f>
        <v>TP</v>
      </c>
      <c r="H20" s="19">
        <f t="shared" si="0"/>
        <v>0.70516451836756744</v>
      </c>
      <c r="I20" s="366"/>
      <c r="J20" s="225">
        <f>H20*E20</f>
        <v>28865.204394858007</v>
      </c>
      <c r="K20" s="1"/>
      <c r="L20" s="1"/>
      <c r="M20" s="1"/>
    </row>
    <row r="21" spans="1:13">
      <c r="A21" s="32" t="s">
        <v>360</v>
      </c>
      <c r="C21" s="38" t="s">
        <v>430</v>
      </c>
      <c r="D21" s="5"/>
      <c r="E21" s="368">
        <v>0</v>
      </c>
      <c r="F21" s="366"/>
      <c r="G21" s="366" t="str">
        <f t="shared" ref="G21:G22" si="1">G$19</f>
        <v>TP</v>
      </c>
      <c r="H21" s="19">
        <f t="shared" si="0"/>
        <v>0.70516451836756744</v>
      </c>
      <c r="I21" s="366"/>
      <c r="J21" s="225">
        <f>H21*E21</f>
        <v>0</v>
      </c>
      <c r="K21" s="1"/>
      <c r="L21" s="1"/>
      <c r="M21" s="1"/>
    </row>
    <row r="22" spans="1:13">
      <c r="A22" s="32" t="s">
        <v>361</v>
      </c>
      <c r="C22" s="38" t="s">
        <v>561</v>
      </c>
      <c r="D22" s="5"/>
      <c r="E22" s="368">
        <v>0</v>
      </c>
      <c r="F22" s="366"/>
      <c r="G22" s="366" t="str">
        <f t="shared" si="1"/>
        <v>TP</v>
      </c>
      <c r="H22" s="19">
        <f t="shared" si="0"/>
        <v>0.70516451836756744</v>
      </c>
      <c r="I22" s="366"/>
      <c r="J22" s="225">
        <f t="shared" ref="J22:J23" si="2">H22*E22</f>
        <v>0</v>
      </c>
      <c r="K22" s="1"/>
      <c r="L22" s="1"/>
      <c r="M22" s="1"/>
    </row>
    <row r="23" spans="1:13">
      <c r="A23" s="32" t="s">
        <v>175</v>
      </c>
      <c r="C23" s="38" t="s">
        <v>556</v>
      </c>
      <c r="D23" s="5"/>
      <c r="E23" s="225">
        <f>'Appx C - DEK(MTEP)'!X88</f>
        <v>0</v>
      </c>
      <c r="F23" s="366"/>
      <c r="G23" s="366"/>
      <c r="H23" s="510">
        <v>1</v>
      </c>
      <c r="I23" s="366"/>
      <c r="J23" s="225">
        <f t="shared" si="2"/>
        <v>0</v>
      </c>
      <c r="K23" s="1"/>
      <c r="L23" s="1"/>
      <c r="M23" s="1"/>
    </row>
    <row r="24" spans="1:13">
      <c r="A24" s="32" t="s">
        <v>362</v>
      </c>
      <c r="C24" s="453" t="s">
        <v>557</v>
      </c>
      <c r="D24" s="5"/>
      <c r="E24" s="287">
        <v>0</v>
      </c>
      <c r="F24" s="366"/>
      <c r="G24" s="366"/>
      <c r="H24" s="510">
        <v>1</v>
      </c>
      <c r="I24" s="366"/>
      <c r="J24" s="426">
        <f t="shared" ref="J24" si="3">H24*E24</f>
        <v>0</v>
      </c>
      <c r="K24" s="1"/>
      <c r="L24" s="1"/>
      <c r="M24" s="1"/>
    </row>
    <row r="25" spans="1:13">
      <c r="A25" s="32">
        <v>6</v>
      </c>
      <c r="C25" s="3" t="s">
        <v>636</v>
      </c>
      <c r="D25" s="1"/>
      <c r="E25" s="17" t="s">
        <v>12</v>
      </c>
      <c r="F25" s="5"/>
      <c r="G25" s="5"/>
      <c r="H25" s="19"/>
      <c r="I25" s="5"/>
      <c r="J25" s="366">
        <f>SUM(J19:J24)</f>
        <v>42138.516124090733</v>
      </c>
      <c r="K25" s="1"/>
      <c r="L25" s="1"/>
      <c r="M25" s="1"/>
    </row>
    <row r="26" spans="1:13">
      <c r="A26" s="32"/>
      <c r="D26" s="1"/>
      <c r="E26" s="5" t="s">
        <v>12</v>
      </c>
      <c r="F26" s="1"/>
      <c r="G26" s="1"/>
      <c r="H26" s="19"/>
      <c r="I26" s="1"/>
      <c r="K26" s="1"/>
      <c r="L26" s="1"/>
      <c r="M26" s="1"/>
    </row>
    <row r="27" spans="1:13">
      <c r="A27" s="32"/>
      <c r="C27" s="3"/>
      <c r="D27" s="1"/>
      <c r="J27" s="5"/>
      <c r="K27" s="1"/>
      <c r="L27" s="1"/>
      <c r="M27" s="1"/>
    </row>
    <row r="28" spans="1:13" ht="15.75" thickBot="1">
      <c r="A28" s="32">
        <v>7</v>
      </c>
      <c r="C28" s="3" t="s">
        <v>20</v>
      </c>
      <c r="D28" s="729" t="str">
        <f>'DE Ohio &amp; Kentucky'!D29</f>
        <v>(line 1 minus line 6)</v>
      </c>
      <c r="E28" s="17" t="s">
        <v>12</v>
      </c>
      <c r="F28" s="5"/>
      <c r="G28" s="5"/>
      <c r="H28" s="5"/>
      <c r="I28" s="5"/>
      <c r="J28" s="50">
        <f>J15-J25</f>
        <v>5450194.8196875667</v>
      </c>
      <c r="K28" s="1"/>
      <c r="L28" s="1"/>
      <c r="M28" s="1"/>
    </row>
    <row r="29" spans="1:13" ht="15.75" thickTop="1">
      <c r="A29" s="32"/>
      <c r="D29" s="1"/>
      <c r="E29" s="17"/>
      <c r="F29" s="5"/>
      <c r="G29" s="5"/>
      <c r="H29" s="5"/>
      <c r="I29" s="5"/>
      <c r="K29" s="1"/>
      <c r="L29" s="1"/>
      <c r="M29" s="1"/>
    </row>
    <row r="30" spans="1:13">
      <c r="A30" s="32"/>
      <c r="D30" s="5"/>
      <c r="J30" s="5"/>
      <c r="K30" s="1"/>
      <c r="L30" s="1"/>
      <c r="M30" s="1"/>
    </row>
    <row r="31" spans="1:13">
      <c r="A31" s="32"/>
      <c r="C31" s="3" t="s">
        <v>378</v>
      </c>
      <c r="D31" s="1"/>
      <c r="E31" s="2"/>
      <c r="F31" s="1"/>
      <c r="G31" s="1"/>
      <c r="H31" s="1"/>
      <c r="I31" s="1"/>
      <c r="J31" s="2"/>
      <c r="K31" s="1"/>
      <c r="L31" s="1"/>
      <c r="M31" s="1"/>
    </row>
    <row r="32" spans="1:13">
      <c r="A32" s="32">
        <v>8</v>
      </c>
      <c r="C32" s="428" t="s">
        <v>434</v>
      </c>
      <c r="E32" s="2"/>
      <c r="F32" s="1"/>
      <c r="G32" s="1"/>
      <c r="H32" s="60"/>
      <c r="I32" s="1"/>
      <c r="J32" s="231">
        <f>MAX(PeakKW_DEK)</f>
        <v>816000</v>
      </c>
      <c r="K32" s="1"/>
      <c r="L32" s="1"/>
      <c r="M32" s="1"/>
    </row>
    <row r="33" spans="1:13">
      <c r="A33" s="32">
        <v>9</v>
      </c>
      <c r="C33" s="429" t="s">
        <v>435</v>
      </c>
      <c r="E33" s="37"/>
      <c r="F33" s="37"/>
      <c r="G33" s="37"/>
      <c r="H33" s="37"/>
      <c r="I33" s="5"/>
      <c r="J33" s="231">
        <f>'P10 Partner KW'!O16</f>
        <v>691250</v>
      </c>
      <c r="K33" s="1"/>
      <c r="L33" s="1"/>
      <c r="M33" s="1"/>
    </row>
    <row r="34" spans="1:13">
      <c r="A34" s="32"/>
      <c r="C34" s="3"/>
      <c r="D34" s="1"/>
      <c r="E34" s="1"/>
      <c r="F34" s="1"/>
      <c r="G34" s="1"/>
      <c r="H34" s="1"/>
      <c r="I34" s="1"/>
      <c r="J34" s="232"/>
      <c r="K34" s="1"/>
      <c r="L34" s="1"/>
      <c r="M34" s="1"/>
    </row>
    <row r="35" spans="1:13">
      <c r="A35" s="32">
        <v>10</v>
      </c>
      <c r="C35" s="3" t="s">
        <v>364</v>
      </c>
      <c r="D35" s="1"/>
      <c r="E35" s="36"/>
      <c r="F35" s="36"/>
      <c r="G35" s="36"/>
      <c r="H35" s="36"/>
      <c r="I35" s="36"/>
      <c r="J35" s="36"/>
      <c r="K35" s="1"/>
      <c r="L35" s="1"/>
      <c r="M35" s="1"/>
    </row>
    <row r="36" spans="1:13">
      <c r="A36" s="32">
        <v>11</v>
      </c>
      <c r="C36" s="3" t="s">
        <v>364</v>
      </c>
      <c r="D36" s="1"/>
      <c r="E36" s="36"/>
      <c r="F36" s="36"/>
      <c r="G36" s="36"/>
      <c r="H36" s="36"/>
      <c r="I36" s="36"/>
      <c r="J36" s="36"/>
      <c r="K36" s="1"/>
      <c r="L36" s="1"/>
      <c r="M36" s="1"/>
    </row>
    <row r="37" spans="1:13">
      <c r="A37" s="32">
        <v>12</v>
      </c>
      <c r="C37" s="3" t="s">
        <v>364</v>
      </c>
      <c r="D37" s="1"/>
      <c r="E37" s="36"/>
      <c r="F37" s="36"/>
      <c r="G37" s="36"/>
      <c r="H37" s="36"/>
      <c r="I37" s="36"/>
      <c r="J37" s="36"/>
      <c r="K37" s="1"/>
      <c r="L37" s="1"/>
      <c r="M37" s="1"/>
    </row>
    <row r="38" spans="1:13">
      <c r="A38" s="32">
        <v>13</v>
      </c>
      <c r="C38" s="3" t="s">
        <v>364</v>
      </c>
      <c r="D38" s="1"/>
      <c r="E38" s="36"/>
      <c r="F38" s="36"/>
      <c r="G38" s="36"/>
      <c r="H38" s="36"/>
      <c r="I38" s="36"/>
      <c r="J38" s="36"/>
      <c r="K38" s="1"/>
      <c r="L38" s="1"/>
      <c r="M38" s="1"/>
    </row>
    <row r="39" spans="1:13">
      <c r="A39" s="32">
        <v>14</v>
      </c>
      <c r="C39" s="3" t="s">
        <v>364</v>
      </c>
      <c r="D39" s="1"/>
      <c r="E39" s="36"/>
      <c r="F39" s="36"/>
      <c r="G39" s="36"/>
      <c r="H39" s="36"/>
      <c r="I39" s="36"/>
      <c r="J39" s="36"/>
      <c r="K39" s="1"/>
      <c r="L39" s="1"/>
      <c r="M39" s="1"/>
    </row>
    <row r="40" spans="1:13">
      <c r="A40" s="32"/>
      <c r="C40" s="3"/>
      <c r="D40" s="1"/>
      <c r="E40" s="36"/>
      <c r="F40" s="36"/>
      <c r="G40" s="36"/>
      <c r="H40" s="36"/>
      <c r="I40" s="36"/>
      <c r="J40" s="36"/>
      <c r="K40" s="1"/>
      <c r="L40" s="1"/>
      <c r="M40" s="1"/>
    </row>
    <row r="41" spans="1:13">
      <c r="A41" s="235">
        <v>15</v>
      </c>
      <c r="C41" s="3" t="s">
        <v>334</v>
      </c>
      <c r="D41" s="729" t="str">
        <f>'DE Ohio &amp; Kentucky'!D42</f>
        <v>(line 7 / line 8)</v>
      </c>
      <c r="E41" s="25">
        <f>IF(J32&gt;0,J28/J32,9)</f>
        <v>6.6791603182445671</v>
      </c>
      <c r="F41" s="36"/>
      <c r="G41" s="36"/>
      <c r="H41" s="36"/>
      <c r="I41" s="36"/>
      <c r="J41" s="366"/>
      <c r="K41" s="1"/>
      <c r="L41" s="1"/>
      <c r="M41" s="1"/>
    </row>
    <row r="42" spans="1:13">
      <c r="A42" s="235"/>
      <c r="C42" s="3"/>
      <c r="D42" s="1"/>
      <c r="E42" s="25"/>
      <c r="F42" s="36"/>
      <c r="G42" s="36"/>
      <c r="H42" s="36"/>
      <c r="I42" s="36"/>
      <c r="J42" s="366"/>
      <c r="K42" s="1"/>
      <c r="L42" s="1"/>
      <c r="M42" s="1"/>
    </row>
    <row r="43" spans="1:13">
      <c r="A43" s="235">
        <v>16</v>
      </c>
      <c r="C43" s="3" t="s">
        <v>477</v>
      </c>
      <c r="D43" s="729" t="str">
        <f>'DE Ohio &amp; Kentucky'!D44</f>
        <v>(line 7 / line 9)</v>
      </c>
      <c r="E43" s="25">
        <f>IF(J33&gt;0,J28/J33,9)</f>
        <v>7.8845494679024473</v>
      </c>
      <c r="F43" s="36"/>
      <c r="G43" s="36"/>
      <c r="H43" s="36"/>
      <c r="I43" s="36"/>
      <c r="J43" s="366"/>
      <c r="K43" s="1"/>
      <c r="L43" s="1"/>
      <c r="M43" s="1"/>
    </row>
    <row r="44" spans="1:13">
      <c r="A44" s="235"/>
      <c r="C44" s="3"/>
      <c r="D44" s="1"/>
      <c r="E44" s="25"/>
      <c r="F44" s="36"/>
      <c r="G44" s="36"/>
      <c r="H44" s="36"/>
      <c r="I44" s="36"/>
      <c r="J44" s="366"/>
      <c r="K44" s="1"/>
      <c r="L44" s="1"/>
      <c r="M44" s="1"/>
    </row>
    <row r="45" spans="1:13">
      <c r="A45" s="235">
        <v>17</v>
      </c>
      <c r="C45" s="3" t="s">
        <v>479</v>
      </c>
      <c r="D45" s="729" t="str">
        <f>'DE Ohio &amp; Kentucky'!D46</f>
        <v>(line 15 / 12)</v>
      </c>
      <c r="E45" s="25">
        <f>ROUND(E41/12,9)</f>
        <v>0.55659669300000003</v>
      </c>
      <c r="F45" s="36"/>
      <c r="G45" s="36"/>
      <c r="H45" s="36"/>
      <c r="I45" s="36"/>
      <c r="J45" s="366"/>
      <c r="K45" s="1"/>
      <c r="L45" s="1"/>
      <c r="M45" s="1"/>
    </row>
    <row r="46" spans="1:13">
      <c r="A46" s="235"/>
      <c r="C46" s="3"/>
      <c r="D46" s="1"/>
      <c r="E46" s="25"/>
      <c r="F46" s="36"/>
      <c r="G46" s="36"/>
      <c r="H46" s="36"/>
      <c r="I46" s="36"/>
      <c r="J46" s="366"/>
      <c r="K46" s="1"/>
      <c r="L46" s="1"/>
      <c r="M46" s="1"/>
    </row>
    <row r="47" spans="1:13">
      <c r="A47" s="235" t="s">
        <v>476</v>
      </c>
      <c r="C47" s="3" t="s">
        <v>481</v>
      </c>
      <c r="D47" s="729" t="str">
        <f>'DE Ohio &amp; Kentucky'!D48</f>
        <v>(line 16 / 12)</v>
      </c>
      <c r="E47" s="25">
        <f>ROUND($E$43/12,9)</f>
        <v>0.65704578899999999</v>
      </c>
      <c r="F47" s="36"/>
      <c r="G47" s="36"/>
      <c r="H47" s="36"/>
      <c r="I47" s="36"/>
      <c r="J47" s="366"/>
      <c r="K47" s="1"/>
      <c r="L47" s="1"/>
      <c r="M47" s="1"/>
    </row>
    <row r="48" spans="1:13">
      <c r="A48" s="235"/>
      <c r="C48" s="3"/>
      <c r="D48" s="1"/>
      <c r="E48" s="25"/>
      <c r="F48" s="36"/>
      <c r="G48" s="36"/>
      <c r="H48" s="36"/>
      <c r="I48" s="36"/>
      <c r="J48" s="366"/>
      <c r="K48" s="1"/>
      <c r="L48" s="1"/>
      <c r="M48" s="1"/>
    </row>
    <row r="49" spans="1:13">
      <c r="A49" s="235"/>
      <c r="C49" s="3"/>
      <c r="D49" s="1"/>
      <c r="E49" s="451" t="s">
        <v>489</v>
      </c>
      <c r="F49" s="212"/>
      <c r="G49" s="212"/>
      <c r="I49" s="36"/>
      <c r="J49" s="451" t="s">
        <v>490</v>
      </c>
      <c r="K49" s="1"/>
      <c r="L49" s="1"/>
      <c r="M49" s="1"/>
    </row>
    <row r="50" spans="1:13">
      <c r="A50" s="235"/>
      <c r="C50" s="3"/>
      <c r="D50" s="1"/>
      <c r="E50" s="451"/>
      <c r="F50" s="212"/>
      <c r="G50" s="212"/>
      <c r="I50" s="36"/>
      <c r="J50" s="451"/>
      <c r="K50" s="1"/>
      <c r="L50" s="1"/>
      <c r="M50" s="1"/>
    </row>
    <row r="51" spans="1:13">
      <c r="A51" s="235">
        <v>18</v>
      </c>
      <c r="C51" s="3" t="s">
        <v>483</v>
      </c>
      <c r="D51" s="729" t="str">
        <f>'DE Ohio &amp; Kentucky'!D52</f>
        <v>(line 16 / 52; line 16 / 52)</v>
      </c>
      <c r="E51" s="25">
        <f>ROUND($E$43/52,9)</f>
        <v>0.15162595100000001</v>
      </c>
      <c r="F51" s="36"/>
      <c r="G51" s="36"/>
      <c r="H51" s="36"/>
      <c r="I51" s="36"/>
      <c r="J51" s="366"/>
      <c r="K51" s="1"/>
      <c r="L51" s="1"/>
      <c r="M51" s="1"/>
    </row>
    <row r="52" spans="1:13">
      <c r="A52" s="235"/>
      <c r="C52" s="3"/>
      <c r="D52" s="1"/>
      <c r="E52" s="25"/>
      <c r="F52" s="36"/>
      <c r="G52" s="36"/>
      <c r="H52" s="36"/>
      <c r="I52" s="36"/>
      <c r="J52" s="366"/>
      <c r="K52" s="1"/>
      <c r="L52" s="1"/>
      <c r="M52" s="1"/>
    </row>
    <row r="53" spans="1:13">
      <c r="A53" s="235">
        <v>19</v>
      </c>
      <c r="C53" s="3" t="s">
        <v>484</v>
      </c>
      <c r="D53" s="729" t="str">
        <f>'DE Ohio &amp; Kentucky'!D54</f>
        <v>(line 16 / 260; line 16 / 365)</v>
      </c>
      <c r="E53" s="25">
        <f>ROUND($E$43/260,9)</f>
        <v>3.0325189999999998E-2</v>
      </c>
      <c r="F53" s="36" t="s">
        <v>491</v>
      </c>
      <c r="G53" s="36"/>
      <c r="H53" s="36"/>
      <c r="I53" s="36"/>
      <c r="J53" s="25">
        <f>ROUND($E$43/365,9)</f>
        <v>2.1601505E-2</v>
      </c>
      <c r="K53" s="1"/>
      <c r="L53" s="1"/>
      <c r="M53" s="1"/>
    </row>
    <row r="54" spans="1:13">
      <c r="A54" s="235"/>
      <c r="C54" s="3"/>
      <c r="D54" s="1"/>
      <c r="E54" s="25"/>
      <c r="F54" s="36"/>
      <c r="G54" s="36"/>
      <c r="H54" s="36"/>
      <c r="I54" s="36"/>
      <c r="J54" s="25"/>
      <c r="K54" s="1"/>
      <c r="L54" s="1"/>
      <c r="M54" s="1"/>
    </row>
    <row r="55" spans="1:13" ht="30">
      <c r="A55" s="235">
        <v>20</v>
      </c>
      <c r="C55" s="3" t="s">
        <v>485</v>
      </c>
      <c r="D55" s="450" t="str">
        <f>'DE Ohio &amp; Kentucky'!D56</f>
        <v>(line 16 / 4,160; line 16 / 8,760 * 1000)</v>
      </c>
      <c r="E55" s="25">
        <f>ROUND(($J$28/$J$33)/4160,4)</f>
        <v>1.9E-3</v>
      </c>
      <c r="F55" s="36" t="s">
        <v>492</v>
      </c>
      <c r="G55" s="36"/>
      <c r="H55" s="36"/>
      <c r="I55" s="36"/>
      <c r="J55" s="25">
        <f>ROUND(($J$28/$J$33)/8760*1000,4)</f>
        <v>0.90010000000000001</v>
      </c>
      <c r="K55" s="1"/>
      <c r="L55" s="1"/>
      <c r="M55" s="1"/>
    </row>
    <row r="56" spans="1:13">
      <c r="C56" s="29"/>
      <c r="D56" s="29"/>
      <c r="E56" s="30"/>
      <c r="F56" s="29"/>
      <c r="G56" s="29"/>
      <c r="H56" s="29"/>
      <c r="I56" s="31"/>
      <c r="K56" s="32"/>
      <c r="L56" s="92"/>
      <c r="M56" s="32"/>
    </row>
    <row r="57" spans="1:13" ht="18">
      <c r="A57" s="244"/>
      <c r="B57" s="67"/>
      <c r="C57" s="29"/>
      <c r="D57" s="29"/>
      <c r="E57" s="30"/>
      <c r="F57" s="29"/>
      <c r="G57" s="29"/>
      <c r="H57" s="29"/>
      <c r="I57" s="31"/>
      <c r="J57" s="77" t="s">
        <v>369</v>
      </c>
      <c r="K57" s="91"/>
      <c r="M57" s="91"/>
    </row>
    <row r="58" spans="1:13">
      <c r="C58" s="29"/>
      <c r="D58" s="29"/>
      <c r="E58" s="30"/>
      <c r="F58" s="29"/>
      <c r="G58" s="29"/>
      <c r="H58" s="29"/>
      <c r="I58" s="31"/>
      <c r="J58" s="77" t="s">
        <v>571</v>
      </c>
      <c r="M58" s="77"/>
    </row>
    <row r="59" spans="1:13">
      <c r="C59" s="29"/>
      <c r="D59" s="29"/>
      <c r="E59" s="30"/>
      <c r="F59" s="29"/>
      <c r="G59" s="29"/>
      <c r="H59" s="29"/>
      <c r="I59" s="31"/>
      <c r="K59" s="1"/>
      <c r="M59" s="77"/>
    </row>
    <row r="60" spans="1:13">
      <c r="C60" s="29"/>
      <c r="D60" s="29"/>
      <c r="E60" s="30"/>
      <c r="F60" s="29"/>
      <c r="G60" s="29"/>
      <c r="H60" s="29"/>
      <c r="I60" s="31"/>
      <c r="K60" s="1"/>
      <c r="M60" s="77"/>
    </row>
    <row r="61" spans="1:13">
      <c r="C61" s="29"/>
      <c r="D61" s="29"/>
      <c r="E61" s="30"/>
      <c r="F61" s="29"/>
      <c r="G61" s="29"/>
      <c r="H61" s="29"/>
      <c r="I61" s="31"/>
      <c r="K61" s="1"/>
      <c r="M61" s="77"/>
    </row>
    <row r="62" spans="1:13">
      <c r="C62" s="29"/>
      <c r="D62" s="29"/>
      <c r="E62" s="30"/>
      <c r="F62" s="29"/>
      <c r="G62" s="29"/>
      <c r="H62" s="29"/>
      <c r="I62" s="31"/>
      <c r="J62" s="77"/>
      <c r="K62" s="1"/>
      <c r="M62" s="77"/>
    </row>
    <row r="63" spans="1:13">
      <c r="C63" s="29" t="s">
        <v>11</v>
      </c>
      <c r="D63" s="29"/>
      <c r="E63" s="30"/>
      <c r="F63" s="29"/>
      <c r="G63" s="29"/>
      <c r="H63" s="29"/>
      <c r="I63" s="31"/>
      <c r="J63" s="92" t="str">
        <f>J7</f>
        <v>For the 12 months ended: 12/31/2015</v>
      </c>
      <c r="K63" s="5"/>
      <c r="M63" s="77"/>
    </row>
    <row r="64" spans="1:13">
      <c r="A64" s="277" t="str">
        <f>A8</f>
        <v>Rate Formula Template</v>
      </c>
      <c r="B64" s="279"/>
      <c r="C64" s="279"/>
      <c r="D64" s="277"/>
      <c r="E64" s="279"/>
      <c r="F64" s="277"/>
      <c r="G64" s="277"/>
      <c r="H64" s="277"/>
      <c r="I64" s="277"/>
      <c r="J64" s="279"/>
      <c r="K64" s="5"/>
      <c r="L64" s="279"/>
      <c r="M64" s="1"/>
    </row>
    <row r="65" spans="1:13">
      <c r="A65" s="280" t="s">
        <v>331</v>
      </c>
      <c r="B65" s="279"/>
      <c r="C65" s="277"/>
      <c r="D65" s="280"/>
      <c r="E65" s="279"/>
      <c r="F65" s="280"/>
      <c r="G65" s="280"/>
      <c r="H65" s="280"/>
      <c r="I65" s="277"/>
      <c r="J65" s="277"/>
      <c r="K65" s="5"/>
      <c r="L65" s="273"/>
      <c r="M65" s="1"/>
    </row>
    <row r="66" spans="1:13">
      <c r="A66" s="273"/>
      <c r="B66" s="279"/>
      <c r="C66" s="273"/>
      <c r="D66" s="273"/>
      <c r="E66" s="279"/>
      <c r="F66" s="273"/>
      <c r="G66" s="273"/>
      <c r="H66" s="273"/>
      <c r="I66" s="273"/>
      <c r="J66" s="273"/>
      <c r="K66" s="5"/>
      <c r="L66" s="273"/>
      <c r="M66" s="1"/>
    </row>
    <row r="67" spans="1:13" ht="15.75">
      <c r="A67" s="276" t="s">
        <v>216</v>
      </c>
      <c r="B67" s="279"/>
      <c r="C67" s="273"/>
      <c r="D67" s="273"/>
      <c r="E67" s="279"/>
      <c r="F67" s="273"/>
      <c r="G67" s="273"/>
      <c r="H67" s="273"/>
      <c r="I67" s="273"/>
      <c r="J67" s="273"/>
      <c r="K67" s="5"/>
      <c r="L67" s="273"/>
      <c r="M67" s="5"/>
    </row>
    <row r="68" spans="1:13">
      <c r="B68" s="279"/>
      <c r="C68" s="273"/>
      <c r="D68" s="273"/>
      <c r="E68" s="279"/>
      <c r="F68" s="273"/>
      <c r="G68" s="273"/>
      <c r="H68" s="273"/>
      <c r="I68" s="273"/>
      <c r="J68" s="273"/>
      <c r="K68" s="5"/>
      <c r="L68" s="273"/>
      <c r="M68" s="5"/>
    </row>
    <row r="69" spans="1:13">
      <c r="C69" s="4" t="s">
        <v>24</v>
      </c>
      <c r="D69" s="4" t="s">
        <v>25</v>
      </c>
      <c r="E69" s="4" t="s">
        <v>26</v>
      </c>
      <c r="F69" s="5" t="s">
        <v>12</v>
      </c>
      <c r="G69" s="5"/>
      <c r="H69" s="7" t="s">
        <v>27</v>
      </c>
      <c r="I69" s="5"/>
      <c r="J69" s="8" t="s">
        <v>28</v>
      </c>
      <c r="K69" s="5"/>
      <c r="L69" s="4"/>
      <c r="M69" s="5"/>
    </row>
    <row r="70" spans="1:13" ht="15.75">
      <c r="A70" s="33" t="s">
        <v>13</v>
      </c>
      <c r="B70" s="381"/>
      <c r="C70" s="13"/>
      <c r="D70" s="26" t="s">
        <v>29</v>
      </c>
      <c r="E70" s="436"/>
      <c r="F70" s="436"/>
      <c r="G70" s="436"/>
      <c r="H70" s="33"/>
      <c r="I70" s="436"/>
      <c r="J70" s="33" t="s">
        <v>30</v>
      </c>
      <c r="K70" s="5"/>
      <c r="L70" s="4"/>
      <c r="M70" s="5"/>
    </row>
    <row r="71" spans="1:13" ht="16.5" thickBot="1">
      <c r="A71" s="300" t="s">
        <v>15</v>
      </c>
      <c r="B71" s="381"/>
      <c r="C71" s="291" t="s">
        <v>335</v>
      </c>
      <c r="D71" s="438" t="s">
        <v>31</v>
      </c>
      <c r="E71" s="439" t="s">
        <v>32</v>
      </c>
      <c r="F71" s="10"/>
      <c r="G71" s="440" t="s">
        <v>18</v>
      </c>
      <c r="H71" s="440"/>
      <c r="I71" s="10"/>
      <c r="J71" s="437" t="s">
        <v>424</v>
      </c>
      <c r="K71" s="5"/>
      <c r="L71" s="4"/>
      <c r="M71" s="1"/>
    </row>
    <row r="72" spans="1:13">
      <c r="D72" s="5"/>
      <c r="E72" s="5"/>
      <c r="F72" s="5"/>
      <c r="G72" s="5"/>
      <c r="H72" s="5"/>
      <c r="I72" s="5"/>
      <c r="J72" s="5"/>
      <c r="K72" s="5"/>
      <c r="L72" s="5"/>
      <c r="M72" s="1"/>
    </row>
    <row r="73" spans="1:13">
      <c r="A73" s="32"/>
      <c r="C73" s="3"/>
      <c r="D73" s="5"/>
      <c r="E73" s="5"/>
      <c r="F73" s="5"/>
      <c r="G73" s="5"/>
      <c r="H73" s="5"/>
      <c r="I73" s="5"/>
      <c r="J73" s="5"/>
      <c r="K73" s="5"/>
      <c r="L73" s="5"/>
      <c r="M73" s="1"/>
    </row>
    <row r="74" spans="1:13">
      <c r="A74" s="32"/>
      <c r="C74" s="787" t="s">
        <v>34</v>
      </c>
      <c r="D74" s="5"/>
      <c r="E74" s="5"/>
      <c r="F74" s="5"/>
      <c r="G74" s="5"/>
      <c r="H74" s="5"/>
      <c r="I74" s="5"/>
      <c r="J74" s="5"/>
      <c r="K74" s="5"/>
      <c r="L74" s="5"/>
      <c r="M74" s="1"/>
    </row>
    <row r="75" spans="1:13">
      <c r="A75" s="32">
        <v>1</v>
      </c>
      <c r="C75" s="787" t="s">
        <v>35</v>
      </c>
      <c r="D75" s="956" t="str">
        <f>'DE Ohio &amp; Kentucky'!D76</f>
        <v>205.46.g</v>
      </c>
      <c r="E75" s="494">
        <f>INPUT!D9</f>
        <v>1061538257</v>
      </c>
      <c r="F75" s="5"/>
      <c r="G75" s="5" t="s">
        <v>36</v>
      </c>
      <c r="H75" s="14" t="s">
        <v>12</v>
      </c>
      <c r="I75" s="5"/>
      <c r="J75" s="227" t="s">
        <v>12</v>
      </c>
      <c r="K75" s="5"/>
      <c r="L75" s="5"/>
      <c r="M75" s="1"/>
    </row>
    <row r="76" spans="1:13">
      <c r="A76" s="32">
        <v>2</v>
      </c>
      <c r="C76" s="787" t="s">
        <v>37</v>
      </c>
      <c r="D76" s="956" t="str">
        <f>'DE Ohio &amp; Kentucky'!D77</f>
        <v>207.58.g</v>
      </c>
      <c r="E76" s="368">
        <f>INPUT!D10</f>
        <v>55729127</v>
      </c>
      <c r="F76" s="5"/>
      <c r="G76" s="5" t="s">
        <v>19</v>
      </c>
      <c r="H76" s="14">
        <f>J207</f>
        <v>0.70516451836756744</v>
      </c>
      <c r="I76" s="5"/>
      <c r="J76" s="84">
        <f>ROUND(H76*E76,0)</f>
        <v>39298203</v>
      </c>
      <c r="K76" s="5"/>
      <c r="L76" s="5"/>
      <c r="M76" s="1"/>
    </row>
    <row r="77" spans="1:13">
      <c r="A77" s="32">
        <v>3</v>
      </c>
      <c r="C77" s="787" t="s">
        <v>38</v>
      </c>
      <c r="D77" s="956" t="str">
        <f>'DE Ohio &amp; Kentucky'!D78</f>
        <v>207.75.g</v>
      </c>
      <c r="E77" s="368">
        <f>INPUT!D11</f>
        <v>414569190</v>
      </c>
      <c r="F77" s="5"/>
      <c r="G77" s="5" t="s">
        <v>36</v>
      </c>
      <c r="H77" s="14" t="s">
        <v>12</v>
      </c>
      <c r="I77" s="5"/>
      <c r="J77" s="227" t="s">
        <v>12</v>
      </c>
      <c r="K77" s="5"/>
      <c r="L77" s="5"/>
      <c r="M77" s="1"/>
    </row>
    <row r="78" spans="1:13">
      <c r="A78" s="32">
        <v>4</v>
      </c>
      <c r="C78" s="787" t="s">
        <v>39</v>
      </c>
      <c r="D78" s="956" t="str">
        <f>'DE Ohio &amp; Kentucky'!D79</f>
        <v>205.5.g &amp; 207.99.g</v>
      </c>
      <c r="E78" s="368">
        <f>INPUT!D12</f>
        <v>15867187</v>
      </c>
      <c r="F78" s="5"/>
      <c r="G78" s="5" t="s">
        <v>40</v>
      </c>
      <c r="H78" s="14">
        <f>J225</f>
        <v>3.2566545079763351E-2</v>
      </c>
      <c r="I78" s="5"/>
      <c r="J78" s="227">
        <f t="shared" ref="J78:J79" si="4">ROUND(H78*E78,0)</f>
        <v>516739</v>
      </c>
      <c r="K78" s="5"/>
      <c r="L78" s="5"/>
      <c r="M78" s="5"/>
    </row>
    <row r="79" spans="1:13" ht="15.75" thickBot="1">
      <c r="A79" s="32">
        <v>5</v>
      </c>
      <c r="C79" s="787" t="s">
        <v>41</v>
      </c>
      <c r="D79" s="956" t="str">
        <f>'DE Ohio &amp; Kentucky'!D80</f>
        <v>356.1</v>
      </c>
      <c r="E79" s="492">
        <f>INPUT!D13</f>
        <v>30771889</v>
      </c>
      <c r="F79" s="5"/>
      <c r="G79" s="5" t="s">
        <v>93</v>
      </c>
      <c r="H79" s="14">
        <f>L229</f>
        <v>2.6239518039466572E-2</v>
      </c>
      <c r="I79" s="5"/>
      <c r="J79" s="228">
        <f t="shared" si="4"/>
        <v>807440</v>
      </c>
      <c r="K79" s="5"/>
      <c r="L79" s="5"/>
      <c r="M79" s="5"/>
    </row>
    <row r="80" spans="1:13">
      <c r="A80" s="32">
        <v>6</v>
      </c>
      <c r="C80" s="789" t="s">
        <v>43</v>
      </c>
      <c r="D80" s="5"/>
      <c r="E80" s="610">
        <f>SUM(E75:E79)</f>
        <v>1578475650</v>
      </c>
      <c r="F80" s="5"/>
      <c r="G80" s="5" t="s">
        <v>44</v>
      </c>
      <c r="H80" s="441">
        <f>IF(J80&gt;0,J80/E80,0)</f>
        <v>2.5735197118815233E-2</v>
      </c>
      <c r="I80" s="5"/>
      <c r="J80" s="84">
        <f>SUM(J75:J79)</f>
        <v>40622382</v>
      </c>
      <c r="K80" s="5"/>
      <c r="L80" s="18"/>
      <c r="M80" s="1"/>
    </row>
    <row r="81" spans="1:13">
      <c r="C81" s="787"/>
      <c r="D81" s="5"/>
      <c r="E81" s="225"/>
      <c r="F81" s="5"/>
      <c r="G81" s="5"/>
      <c r="H81" s="18"/>
      <c r="I81" s="5"/>
      <c r="J81" s="227"/>
      <c r="K81" s="5"/>
      <c r="L81" s="18"/>
      <c r="M81" s="1"/>
    </row>
    <row r="82" spans="1:13">
      <c r="C82" s="787" t="s">
        <v>45</v>
      </c>
      <c r="D82" s="5"/>
      <c r="E82" s="225"/>
      <c r="F82" s="5"/>
      <c r="G82" s="5"/>
      <c r="H82" s="5"/>
      <c r="I82" s="5"/>
      <c r="J82" s="227"/>
      <c r="K82" s="5"/>
      <c r="L82" s="5"/>
      <c r="M82" s="1"/>
    </row>
    <row r="83" spans="1:13">
      <c r="A83" s="32">
        <v>7</v>
      </c>
      <c r="C83" s="787" t="s">
        <v>35</v>
      </c>
      <c r="D83" s="729" t="str">
        <f>'DE Ohio &amp; Kentucky'!D84</f>
        <v>219.20-24.c</v>
      </c>
      <c r="E83" s="494">
        <f>INPUT!D17</f>
        <v>606342770</v>
      </c>
      <c r="F83" s="5"/>
      <c r="G83" s="5" t="str">
        <f t="shared" ref="G83:H87" si="5">G75</f>
        <v>NA</v>
      </c>
      <c r="H83" s="14" t="str">
        <f t="shared" si="5"/>
        <v xml:space="preserve"> </v>
      </c>
      <c r="I83" s="5"/>
      <c r="J83" s="227" t="s">
        <v>12</v>
      </c>
      <c r="K83" s="5"/>
      <c r="L83" s="5"/>
      <c r="M83" s="1"/>
    </row>
    <row r="84" spans="1:13">
      <c r="A84" s="32">
        <v>8</v>
      </c>
      <c r="C84" s="787" t="s">
        <v>37</v>
      </c>
      <c r="D84" s="729" t="str">
        <f>'DE Ohio &amp; Kentucky'!D85</f>
        <v>219.25.c</v>
      </c>
      <c r="E84" s="368">
        <f>INPUT!D18</f>
        <v>18558458</v>
      </c>
      <c r="F84" s="5"/>
      <c r="G84" s="5" t="str">
        <f t="shared" si="5"/>
        <v>TP</v>
      </c>
      <c r="H84" s="14">
        <f t="shared" si="5"/>
        <v>0.70516451836756744</v>
      </c>
      <c r="I84" s="5"/>
      <c r="J84" s="84">
        <f>ROUND(H84*E84,0)</f>
        <v>13086766</v>
      </c>
      <c r="K84" s="5"/>
      <c r="L84" s="5"/>
      <c r="M84" s="1"/>
    </row>
    <row r="85" spans="1:13">
      <c r="A85" s="32">
        <v>9</v>
      </c>
      <c r="C85" s="787" t="s">
        <v>38</v>
      </c>
      <c r="D85" s="729" t="str">
        <f>'DE Ohio &amp; Kentucky'!D86</f>
        <v>219.26.c</v>
      </c>
      <c r="E85" s="368">
        <f>INPUT!D19</f>
        <v>156076143</v>
      </c>
      <c r="F85" s="5"/>
      <c r="G85" s="5" t="str">
        <f t="shared" si="5"/>
        <v>NA</v>
      </c>
      <c r="H85" s="14" t="str">
        <f t="shared" si="5"/>
        <v xml:space="preserve"> </v>
      </c>
      <c r="I85" s="5"/>
      <c r="J85" s="227" t="s">
        <v>12</v>
      </c>
      <c r="K85" s="5"/>
      <c r="L85" s="5"/>
      <c r="M85" s="1"/>
    </row>
    <row r="86" spans="1:13">
      <c r="A86" s="32">
        <v>10</v>
      </c>
      <c r="C86" s="787" t="s">
        <v>39</v>
      </c>
      <c r="D86" s="729" t="str">
        <f>'DE Ohio &amp; Kentucky'!D87</f>
        <v xml:space="preserve">219.28.c </v>
      </c>
      <c r="E86" s="368">
        <f>INPUT!D20</f>
        <v>9490048</v>
      </c>
      <c r="F86" s="5"/>
      <c r="G86" s="5" t="str">
        <f t="shared" si="5"/>
        <v>W/S</v>
      </c>
      <c r="H86" s="14">
        <f t="shared" si="5"/>
        <v>3.2566545079763351E-2</v>
      </c>
      <c r="I86" s="5"/>
      <c r="J86" s="227">
        <f t="shared" ref="J86:J87" si="6">ROUND(H86*E86,0)</f>
        <v>309058</v>
      </c>
      <c r="K86" s="5"/>
      <c r="L86" s="5"/>
      <c r="M86" s="1"/>
    </row>
    <row r="87" spans="1:13" ht="15.75" thickBot="1">
      <c r="A87" s="32">
        <v>11</v>
      </c>
      <c r="C87" s="787" t="s">
        <v>41</v>
      </c>
      <c r="D87" s="729" t="str">
        <f>'DE Ohio &amp; Kentucky'!D88</f>
        <v>356.1</v>
      </c>
      <c r="E87" s="492">
        <f>INPUT!D21</f>
        <v>25412389</v>
      </c>
      <c r="F87" s="5"/>
      <c r="G87" s="5" t="str">
        <f t="shared" si="5"/>
        <v>CE</v>
      </c>
      <c r="H87" s="14">
        <f t="shared" si="5"/>
        <v>2.6239518039466572E-2</v>
      </c>
      <c r="I87" s="5"/>
      <c r="J87" s="228">
        <f t="shared" si="6"/>
        <v>666809</v>
      </c>
      <c r="K87" s="5"/>
      <c r="L87" s="5"/>
      <c r="M87" s="1"/>
    </row>
    <row r="88" spans="1:13">
      <c r="A88" s="32">
        <v>12</v>
      </c>
      <c r="C88" s="787" t="s">
        <v>46</v>
      </c>
      <c r="D88" s="5"/>
      <c r="E88" s="610">
        <f>SUM(E83:E87)</f>
        <v>815879808</v>
      </c>
      <c r="F88" s="5"/>
      <c r="G88" s="5"/>
      <c r="H88" s="5"/>
      <c r="I88" s="5"/>
      <c r="J88" s="84">
        <f>SUM(J83:J87)</f>
        <v>14062633</v>
      </c>
      <c r="K88" s="5"/>
      <c r="L88" s="5"/>
      <c r="M88" s="1"/>
    </row>
    <row r="89" spans="1:13">
      <c r="A89" s="32"/>
      <c r="C89" s="786"/>
      <c r="D89" s="5" t="s">
        <v>12</v>
      </c>
      <c r="E89" s="225"/>
      <c r="F89" s="5"/>
      <c r="G89" s="5"/>
      <c r="H89" s="18"/>
      <c r="I89" s="5"/>
      <c r="J89" s="227"/>
      <c r="K89" s="5"/>
      <c r="L89" s="18"/>
      <c r="M89" s="1"/>
    </row>
    <row r="90" spans="1:13">
      <c r="A90" s="32"/>
      <c r="C90" s="787" t="s">
        <v>47</v>
      </c>
      <c r="D90" s="5"/>
      <c r="E90" s="225"/>
      <c r="F90" s="5"/>
      <c r="G90" s="5"/>
      <c r="H90" s="5"/>
      <c r="I90" s="5"/>
      <c r="J90" s="227"/>
      <c r="K90" s="5"/>
      <c r="L90" s="5"/>
      <c r="M90" s="1"/>
    </row>
    <row r="91" spans="1:13">
      <c r="A91" s="32">
        <v>13</v>
      </c>
      <c r="C91" s="787" t="s">
        <v>35</v>
      </c>
      <c r="D91" s="729" t="str">
        <f>'DE Ohio &amp; Kentucky'!D92</f>
        <v xml:space="preserve"> (line 1 - line 7)</v>
      </c>
      <c r="E91" s="84">
        <f>E75-E83</f>
        <v>455195487</v>
      </c>
      <c r="F91" s="5"/>
      <c r="G91" s="5"/>
      <c r="H91" s="18"/>
      <c r="I91" s="5"/>
      <c r="J91" s="227" t="s">
        <v>12</v>
      </c>
      <c r="K91" s="5"/>
      <c r="L91" s="18"/>
      <c r="M91" s="1"/>
    </row>
    <row r="92" spans="1:13">
      <c r="A92" s="32">
        <v>14</v>
      </c>
      <c r="C92" s="787" t="s">
        <v>37</v>
      </c>
      <c r="D92" s="729" t="str">
        <f>'DE Ohio &amp; Kentucky'!D93</f>
        <v xml:space="preserve"> (line 2 - line 8)</v>
      </c>
      <c r="E92" s="225">
        <f>E76-E84</f>
        <v>37170669</v>
      </c>
      <c r="F92" s="5"/>
      <c r="G92" s="5"/>
      <c r="H92" s="14"/>
      <c r="I92" s="5"/>
      <c r="J92" s="84">
        <f>J76-J84</f>
        <v>26211437</v>
      </c>
      <c r="K92" s="5"/>
      <c r="L92" s="18"/>
      <c r="M92" s="1"/>
    </row>
    <row r="93" spans="1:13">
      <c r="A93" s="32">
        <v>15</v>
      </c>
      <c r="C93" s="787" t="s">
        <v>38</v>
      </c>
      <c r="D93" s="729" t="str">
        <f>'DE Ohio &amp; Kentucky'!D94</f>
        <v xml:space="preserve"> (line 3 - line 9)</v>
      </c>
      <c r="E93" s="225">
        <f>E77-E85</f>
        <v>258493047</v>
      </c>
      <c r="F93" s="5"/>
      <c r="G93" s="5"/>
      <c r="H93" s="18"/>
      <c r="I93" s="5"/>
      <c r="J93" s="227" t="s">
        <v>12</v>
      </c>
      <c r="K93" s="5"/>
      <c r="L93" s="18"/>
      <c r="M93" s="1"/>
    </row>
    <row r="94" spans="1:13">
      <c r="A94" s="32">
        <v>16</v>
      </c>
      <c r="C94" s="787" t="s">
        <v>39</v>
      </c>
      <c r="D94" s="729" t="str">
        <f>'DE Ohio &amp; Kentucky'!D95</f>
        <v xml:space="preserve"> (line 4 - line 10)</v>
      </c>
      <c r="E94" s="225">
        <f>E78-E86</f>
        <v>6377139</v>
      </c>
      <c r="F94" s="5"/>
      <c r="G94" s="5"/>
      <c r="H94" s="18"/>
      <c r="I94" s="5"/>
      <c r="J94" s="227">
        <f>J78-J86</f>
        <v>207681</v>
      </c>
      <c r="K94" s="5"/>
      <c r="L94" s="18"/>
      <c r="M94" s="1"/>
    </row>
    <row r="95" spans="1:13" ht="15.75" thickBot="1">
      <c r="A95" s="32">
        <v>17</v>
      </c>
      <c r="C95" s="787" t="s">
        <v>41</v>
      </c>
      <c r="D95" s="729" t="str">
        <f>'DE Ohio &amp; Kentucky'!D96</f>
        <v xml:space="preserve"> (line 5 - line 11)</v>
      </c>
      <c r="E95" s="226">
        <f>E79-E87</f>
        <v>5359500</v>
      </c>
      <c r="F95" s="5"/>
      <c r="G95" s="5"/>
      <c r="H95" s="18"/>
      <c r="I95" s="5"/>
      <c r="J95" s="228">
        <f>J79-J87</f>
        <v>140631</v>
      </c>
      <c r="K95" s="5"/>
      <c r="L95" s="18"/>
      <c r="M95" s="1"/>
    </row>
    <row r="96" spans="1:13">
      <c r="A96" s="32">
        <v>18</v>
      </c>
      <c r="C96" s="787" t="s">
        <v>51</v>
      </c>
      <c r="D96" s="5"/>
      <c r="E96" s="84">
        <f>SUM(E91:E95)</f>
        <v>762595842</v>
      </c>
      <c r="F96" s="5"/>
      <c r="G96" s="5" t="s">
        <v>52</v>
      </c>
      <c r="H96" s="18">
        <f>IF(J96&gt;0,J96/E96,0)</f>
        <v>3.4828080009384581E-2</v>
      </c>
      <c r="I96" s="5"/>
      <c r="J96" s="84">
        <f>SUM(J91:J95)</f>
        <v>26559749</v>
      </c>
      <c r="K96" s="5"/>
      <c r="L96" s="5"/>
      <c r="M96" s="1"/>
    </row>
    <row r="97" spans="1:13">
      <c r="A97" s="32"/>
      <c r="C97" s="786"/>
      <c r="D97" s="5"/>
      <c r="E97" s="225"/>
      <c r="F97" s="5"/>
      <c r="I97" s="5"/>
      <c r="J97" s="227"/>
      <c r="K97" s="5"/>
      <c r="L97" s="18"/>
      <c r="M97" s="1"/>
    </row>
    <row r="98" spans="1:13">
      <c r="A98" s="32"/>
      <c r="C98" s="790" t="s">
        <v>455</v>
      </c>
      <c r="D98" s="5"/>
      <c r="E98" s="225"/>
      <c r="F98" s="5"/>
      <c r="G98" s="5"/>
      <c r="H98" s="5"/>
      <c r="I98" s="5"/>
      <c r="J98" s="227"/>
      <c r="K98" s="5"/>
      <c r="L98" s="5"/>
      <c r="M98" s="1"/>
    </row>
    <row r="99" spans="1:13">
      <c r="A99" s="32">
        <v>19</v>
      </c>
      <c r="C99" s="787" t="s">
        <v>142</v>
      </c>
      <c r="D99" s="729" t="str">
        <f>'DE Ohio &amp; Kentucky'!D100</f>
        <v>273.8.k</v>
      </c>
      <c r="E99" s="494">
        <f>INPUT!D33</f>
        <v>-190426</v>
      </c>
      <c r="F99" s="37"/>
      <c r="G99" s="37" t="str">
        <f>G83</f>
        <v>NA</v>
      </c>
      <c r="H99" s="81" t="s">
        <v>176</v>
      </c>
      <c r="I99" s="5"/>
      <c r="J99" s="84">
        <v>0</v>
      </c>
      <c r="K99" s="5"/>
      <c r="L99" s="18"/>
      <c r="M99" s="1"/>
    </row>
    <row r="100" spans="1:13">
      <c r="A100" s="32">
        <v>20</v>
      </c>
      <c r="C100" s="787" t="s">
        <v>143</v>
      </c>
      <c r="D100" s="729" t="str">
        <f>'DE Ohio &amp; Kentucky'!D101</f>
        <v>275.2.k</v>
      </c>
      <c r="E100" s="618">
        <f>INPUT!D34</f>
        <v>-239272249</v>
      </c>
      <c r="F100" s="5"/>
      <c r="G100" s="5" t="s">
        <v>54</v>
      </c>
      <c r="H100" s="14">
        <f>H96</f>
        <v>3.4828080009384581E-2</v>
      </c>
      <c r="I100" s="5"/>
      <c r="J100" s="227">
        <f>ROUND(H100*E100,0)</f>
        <v>-8333393</v>
      </c>
      <c r="K100" s="5"/>
      <c r="L100" s="18"/>
      <c r="M100" s="1"/>
    </row>
    <row r="101" spans="1:13">
      <c r="A101" s="32">
        <v>21</v>
      </c>
      <c r="C101" s="787" t="s">
        <v>144</v>
      </c>
      <c r="D101" s="729" t="str">
        <f>'DE Ohio &amp; Kentucky'!D102</f>
        <v>277.9.k</v>
      </c>
      <c r="E101" s="618">
        <f>INPUT!D35</f>
        <v>-7657117</v>
      </c>
      <c r="F101" s="5"/>
      <c r="G101" s="5" t="s">
        <v>54</v>
      </c>
      <c r="H101" s="14">
        <f>H100</f>
        <v>3.4828080009384581E-2</v>
      </c>
      <c r="I101" s="5"/>
      <c r="J101" s="227">
        <f t="shared" ref="J101:J103" si="7">ROUND(H101*E101,0)</f>
        <v>-266683</v>
      </c>
      <c r="K101" s="5"/>
      <c r="L101" s="18"/>
      <c r="M101" s="1"/>
    </row>
    <row r="102" spans="1:13">
      <c r="A102" s="32">
        <v>22</v>
      </c>
      <c r="C102" s="787" t="s">
        <v>146</v>
      </c>
      <c r="D102" s="729" t="str">
        <f>'DE Ohio &amp; Kentucky'!D103</f>
        <v>234.8.c</v>
      </c>
      <c r="E102" s="618">
        <f>INPUT!D36</f>
        <v>37023708</v>
      </c>
      <c r="F102" s="5"/>
      <c r="G102" s="5" t="str">
        <f>G101</f>
        <v>NP</v>
      </c>
      <c r="H102" s="14">
        <f>H101</f>
        <v>3.4828080009384581E-2</v>
      </c>
      <c r="I102" s="5"/>
      <c r="J102" s="227">
        <f t="shared" si="7"/>
        <v>1289465</v>
      </c>
      <c r="K102" s="5"/>
      <c r="L102" s="18"/>
      <c r="M102" s="1"/>
    </row>
    <row r="103" spans="1:13" ht="15.75" thickBot="1">
      <c r="A103" s="32">
        <v>23</v>
      </c>
      <c r="C103" s="788" t="s">
        <v>145</v>
      </c>
      <c r="D103" s="729" t="str">
        <f>'DE Ohio &amp; Kentucky'!D104</f>
        <v>267.8.h</v>
      </c>
      <c r="E103" s="619">
        <f>INPUT!D37</f>
        <v>0</v>
      </c>
      <c r="F103" s="5"/>
      <c r="G103" s="5" t="s">
        <v>54</v>
      </c>
      <c r="H103" s="14">
        <f>H101</f>
        <v>3.4828080009384581E-2</v>
      </c>
      <c r="I103" s="5"/>
      <c r="J103" s="228">
        <f t="shared" si="7"/>
        <v>0</v>
      </c>
      <c r="K103" s="5"/>
      <c r="L103" s="18"/>
      <c r="M103" s="1"/>
    </row>
    <row r="104" spans="1:13">
      <c r="A104" s="32">
        <v>24</v>
      </c>
      <c r="C104" s="787" t="s">
        <v>714</v>
      </c>
      <c r="D104" s="729"/>
      <c r="E104" s="610">
        <f>SUM(E99:E103)</f>
        <v>-210096084</v>
      </c>
      <c r="F104" s="5"/>
      <c r="G104" s="5"/>
      <c r="H104" s="5"/>
      <c r="I104" s="5"/>
      <c r="J104" s="84">
        <f>SUM(J99:J103)</f>
        <v>-7310611</v>
      </c>
      <c r="K104" s="5"/>
      <c r="L104" s="5"/>
      <c r="M104" s="1"/>
    </row>
    <row r="105" spans="1:13">
      <c r="A105" s="32"/>
      <c r="C105" s="786"/>
      <c r="D105" s="5"/>
      <c r="E105" s="225"/>
      <c r="F105" s="5"/>
      <c r="G105" s="5"/>
      <c r="H105" s="18"/>
      <c r="I105" s="5"/>
      <c r="J105" s="227"/>
      <c r="K105" s="5"/>
      <c r="L105" s="18"/>
      <c r="M105" s="1"/>
    </row>
    <row r="106" spans="1:13">
      <c r="A106" s="32">
        <v>25</v>
      </c>
      <c r="C106" s="790" t="s">
        <v>436</v>
      </c>
      <c r="D106" s="729" t="str">
        <f>'DE Ohio &amp; Kentucky'!D107</f>
        <v xml:space="preserve">214.x.d  </v>
      </c>
      <c r="E106" s="494">
        <f>INPUT!D40</f>
        <v>0</v>
      </c>
      <c r="F106" s="5"/>
      <c r="G106" s="37" t="s">
        <v>12</v>
      </c>
      <c r="H106" s="493">
        <v>1</v>
      </c>
      <c r="I106" s="5"/>
      <c r="J106" s="84">
        <f>ROUND(H106*E106,0)</f>
        <v>0</v>
      </c>
      <c r="K106" s="5"/>
      <c r="L106" s="5"/>
      <c r="M106" s="1"/>
    </row>
    <row r="107" spans="1:13">
      <c r="A107" s="32"/>
      <c r="C107" s="787"/>
      <c r="D107" s="5"/>
      <c r="E107" s="225"/>
      <c r="F107" s="5"/>
      <c r="G107" s="5"/>
      <c r="H107" s="5"/>
      <c r="I107" s="5"/>
      <c r="J107" s="227"/>
      <c r="K107" s="5"/>
      <c r="L107" s="5"/>
      <c r="M107" s="1"/>
    </row>
    <row r="108" spans="1:13">
      <c r="A108" s="32"/>
      <c r="C108" s="791" t="s">
        <v>456</v>
      </c>
      <c r="D108" s="5" t="s">
        <v>12</v>
      </c>
      <c r="E108" s="225"/>
      <c r="F108" s="5"/>
      <c r="G108" s="5"/>
      <c r="H108" s="5"/>
      <c r="I108" s="5"/>
      <c r="J108" s="227"/>
      <c r="K108" s="5"/>
      <c r="L108" s="5"/>
      <c r="M108" s="1"/>
    </row>
    <row r="109" spans="1:13">
      <c r="A109" s="32">
        <v>26</v>
      </c>
      <c r="C109" s="787" t="s">
        <v>170</v>
      </c>
      <c r="D109" s="729" t="str">
        <f>'DE Ohio &amp; Kentucky'!D110</f>
        <v>calculated</v>
      </c>
      <c r="E109" s="610">
        <f>ROUND(E148/8,0)</f>
        <v>2680012</v>
      </c>
      <c r="F109" s="5"/>
      <c r="G109" s="5"/>
      <c r="H109" s="18"/>
      <c r="I109" s="5"/>
      <c r="J109" s="227">
        <f>ROUND(J148/8,0)</f>
        <v>254642</v>
      </c>
      <c r="K109" s="1"/>
      <c r="L109" s="18"/>
      <c r="M109" s="1"/>
    </row>
    <row r="110" spans="1:13">
      <c r="A110" s="32">
        <v>27</v>
      </c>
      <c r="C110" s="791" t="s">
        <v>457</v>
      </c>
      <c r="D110" s="729" t="str">
        <f>'DE Ohio &amp; Kentucky'!D111</f>
        <v>227.8.c &amp; 227.16.c</v>
      </c>
      <c r="E110" s="368">
        <f>INPUT!D44</f>
        <v>30180</v>
      </c>
      <c r="F110" s="5"/>
      <c r="G110" s="5" t="s">
        <v>55</v>
      </c>
      <c r="H110" s="14">
        <f>J217</f>
        <v>0.68063782561983655</v>
      </c>
      <c r="I110" s="5"/>
      <c r="J110" s="227">
        <f>ROUND(H110*E110,0)</f>
        <v>20542</v>
      </c>
      <c r="K110" s="5" t="s">
        <v>12</v>
      </c>
      <c r="L110" s="18"/>
      <c r="M110" s="1"/>
    </row>
    <row r="111" spans="1:13" ht="15.75" thickBot="1">
      <c r="A111" s="32">
        <v>28</v>
      </c>
      <c r="C111" s="787" t="s">
        <v>148</v>
      </c>
      <c r="D111" s="729" t="str">
        <f>'DE Ohio &amp; Kentucky'!D112</f>
        <v>111.57.c</v>
      </c>
      <c r="E111" s="492">
        <f>INPUT!D45</f>
        <v>856973</v>
      </c>
      <c r="F111" s="5"/>
      <c r="G111" s="5" t="s">
        <v>56</v>
      </c>
      <c r="H111" s="14">
        <f>H80</f>
        <v>2.5735197118815233E-2</v>
      </c>
      <c r="I111" s="5"/>
      <c r="J111" s="228">
        <f>ROUND(H111*E111,0)</f>
        <v>22054</v>
      </c>
      <c r="K111" s="5"/>
      <c r="L111" s="18"/>
      <c r="M111" s="1"/>
    </row>
    <row r="112" spans="1:13">
      <c r="A112" s="32">
        <v>29</v>
      </c>
      <c r="C112" s="787" t="s">
        <v>57</v>
      </c>
      <c r="D112" s="1"/>
      <c r="E112" s="366">
        <f>E109+E110+E111</f>
        <v>3567165</v>
      </c>
      <c r="F112" s="1"/>
      <c r="G112" s="1"/>
      <c r="H112" s="1"/>
      <c r="I112" s="1"/>
      <c r="J112" s="366">
        <f>J109+J110+J111</f>
        <v>297238</v>
      </c>
      <c r="K112" s="1"/>
      <c r="L112" s="1"/>
      <c r="M112" s="1"/>
    </row>
    <row r="113" spans="1:13" ht="15.75" thickBot="1">
      <c r="C113" s="786"/>
      <c r="D113" s="5"/>
      <c r="E113" s="228"/>
      <c r="F113" s="5"/>
      <c r="G113" s="5"/>
      <c r="H113" s="5"/>
      <c r="I113" s="5"/>
      <c r="J113" s="228"/>
      <c r="K113" s="5"/>
      <c r="L113" s="5"/>
      <c r="M113" s="1"/>
    </row>
    <row r="114" spans="1:13" ht="15.75" thickBot="1">
      <c r="A114" s="32">
        <v>30</v>
      </c>
      <c r="C114" s="787" t="s">
        <v>147</v>
      </c>
      <c r="D114" s="5"/>
      <c r="E114" s="367">
        <f>E112+E106+E104+E96</f>
        <v>556066923</v>
      </c>
      <c r="F114" s="5"/>
      <c r="G114" s="5"/>
      <c r="H114" s="18"/>
      <c r="I114" s="5"/>
      <c r="J114" s="367">
        <f>J112+J106+J104+J96</f>
        <v>19546376</v>
      </c>
      <c r="K114" s="5"/>
      <c r="L114" s="18"/>
      <c r="M114" s="5"/>
    </row>
    <row r="115" spans="1:13" ht="15.75" thickTop="1">
      <c r="A115" s="32"/>
      <c r="C115" s="3"/>
      <c r="D115" s="5"/>
      <c r="E115" s="5"/>
      <c r="F115" s="5"/>
      <c r="G115" s="5"/>
      <c r="H115" s="5"/>
      <c r="I115" s="5"/>
      <c r="J115" s="5"/>
      <c r="K115" s="5"/>
      <c r="L115" s="5"/>
      <c r="M115" s="5"/>
    </row>
    <row r="116" spans="1:13">
      <c r="A116" s="32"/>
      <c r="C116" s="29"/>
      <c r="D116" s="29"/>
      <c r="E116" s="30"/>
      <c r="F116" s="29"/>
      <c r="G116" s="29"/>
      <c r="H116" s="29"/>
      <c r="I116" s="31"/>
      <c r="K116" s="32"/>
      <c r="L116" s="92"/>
      <c r="M116" s="32"/>
    </row>
    <row r="117" spans="1:13" ht="18">
      <c r="A117" s="244"/>
      <c r="C117" s="29"/>
      <c r="D117" s="29"/>
      <c r="E117" s="30"/>
      <c r="F117" s="29"/>
      <c r="G117" s="29"/>
      <c r="H117" s="29"/>
      <c r="I117" s="31"/>
      <c r="J117" s="77" t="s">
        <v>369</v>
      </c>
      <c r="K117" s="91"/>
      <c r="M117" s="91"/>
    </row>
    <row r="118" spans="1:13">
      <c r="C118" s="29"/>
      <c r="D118" s="29"/>
      <c r="E118" s="30"/>
      <c r="F118" s="29"/>
      <c r="G118" s="29"/>
      <c r="H118" s="29"/>
      <c r="I118" s="31"/>
      <c r="J118" s="77" t="s">
        <v>572</v>
      </c>
      <c r="M118" s="77"/>
    </row>
    <row r="119" spans="1:13">
      <c r="C119" s="29"/>
      <c r="D119" s="29"/>
      <c r="E119" s="30"/>
      <c r="F119" s="29"/>
      <c r="G119" s="29"/>
      <c r="H119" s="29"/>
      <c r="I119" s="31"/>
      <c r="J119" s="77"/>
      <c r="M119" s="77"/>
    </row>
    <row r="120" spans="1:13">
      <c r="C120" s="29"/>
      <c r="D120" s="29"/>
      <c r="E120" s="30"/>
      <c r="F120" s="29"/>
      <c r="G120" s="29"/>
      <c r="H120" s="29"/>
      <c r="I120" s="31"/>
      <c r="M120" s="77"/>
    </row>
    <row r="121" spans="1:13">
      <c r="C121" s="29"/>
      <c r="D121" s="29"/>
      <c r="E121" s="30"/>
      <c r="F121" s="29"/>
      <c r="G121" s="29"/>
      <c r="H121" s="29"/>
      <c r="I121" s="31"/>
      <c r="K121" s="1"/>
      <c r="M121" s="77"/>
    </row>
    <row r="122" spans="1:13">
      <c r="C122" s="29"/>
      <c r="D122" s="29"/>
      <c r="E122" s="30"/>
      <c r="F122" s="29"/>
      <c r="G122" s="29"/>
      <c r="H122" s="29"/>
      <c r="I122" s="31"/>
      <c r="J122" s="77"/>
      <c r="K122" s="1"/>
      <c r="M122" s="77"/>
    </row>
    <row r="123" spans="1:13">
      <c r="C123" s="29" t="s">
        <v>11</v>
      </c>
      <c r="D123" s="29"/>
      <c r="E123" s="30"/>
      <c r="F123" s="29"/>
      <c r="G123" s="29"/>
      <c r="H123" s="29"/>
      <c r="I123" s="31"/>
      <c r="J123" s="92" t="str">
        <f>J7</f>
        <v>For the 12 months ended: 12/31/2015</v>
      </c>
      <c r="K123" s="1"/>
      <c r="M123" s="77"/>
    </row>
    <row r="124" spans="1:13">
      <c r="A124" s="277" t="str">
        <f>A8</f>
        <v>Rate Formula Template</v>
      </c>
      <c r="B124" s="279"/>
      <c r="C124" s="279"/>
      <c r="D124" s="277"/>
      <c r="E124" s="279"/>
      <c r="F124" s="277"/>
      <c r="G124" s="277"/>
      <c r="H124" s="277"/>
      <c r="I124" s="277"/>
      <c r="J124" s="279"/>
      <c r="K124" s="5"/>
      <c r="L124" s="279"/>
      <c r="M124" s="1"/>
    </row>
    <row r="125" spans="1:13">
      <c r="A125" s="280" t="s">
        <v>331</v>
      </c>
      <c r="B125" s="279"/>
      <c r="C125" s="277"/>
      <c r="D125" s="280"/>
      <c r="E125" s="279"/>
      <c r="F125" s="280"/>
      <c r="G125" s="280"/>
      <c r="H125" s="280"/>
      <c r="I125" s="277"/>
      <c r="J125" s="277"/>
      <c r="K125" s="5"/>
      <c r="L125" s="273"/>
      <c r="M125" s="1"/>
    </row>
    <row r="126" spans="1:13">
      <c r="A126" s="273"/>
      <c r="B126" s="279"/>
      <c r="C126" s="273"/>
      <c r="D126" s="273"/>
      <c r="E126" s="279"/>
      <c r="F126" s="273"/>
      <c r="G126" s="273"/>
      <c r="H126" s="273"/>
      <c r="I126" s="273"/>
      <c r="J126" s="273"/>
      <c r="K126" s="5"/>
      <c r="L126" s="273"/>
      <c r="M126" s="1"/>
    </row>
    <row r="127" spans="1:13" ht="15.75">
      <c r="A127" s="276" t="s">
        <v>216</v>
      </c>
      <c r="B127" s="279"/>
      <c r="C127" s="273"/>
      <c r="D127" s="273"/>
      <c r="E127" s="279"/>
      <c r="F127" s="273"/>
      <c r="G127" s="273"/>
      <c r="H127" s="273"/>
      <c r="I127" s="273"/>
      <c r="J127" s="273"/>
      <c r="K127" s="5"/>
      <c r="L127" s="273"/>
      <c r="M127" s="5"/>
    </row>
    <row r="128" spans="1:13">
      <c r="A128" s="32"/>
      <c r="K128" s="5"/>
      <c r="L128" s="5"/>
      <c r="M128" s="5"/>
    </row>
    <row r="129" spans="1:13" ht="15.75">
      <c r="A129" s="32"/>
      <c r="C129" s="4" t="s">
        <v>24</v>
      </c>
      <c r="D129" s="4" t="s">
        <v>25</v>
      </c>
      <c r="E129" s="4" t="s">
        <v>26</v>
      </c>
      <c r="F129" s="5" t="s">
        <v>12</v>
      </c>
      <c r="G129" s="5"/>
      <c r="H129" s="7" t="s">
        <v>27</v>
      </c>
      <c r="I129" s="5"/>
      <c r="J129" s="8" t="s">
        <v>28</v>
      </c>
      <c r="K129" s="5"/>
      <c r="L129" s="33"/>
      <c r="M129" s="31"/>
    </row>
    <row r="130" spans="1:13" ht="15.75">
      <c r="A130" s="58" t="s">
        <v>13</v>
      </c>
      <c r="C130" s="3"/>
      <c r="D130" s="6" t="s">
        <v>29</v>
      </c>
      <c r="E130" s="5"/>
      <c r="F130" s="5"/>
      <c r="G130" s="5"/>
      <c r="H130" s="32"/>
      <c r="I130" s="5"/>
      <c r="J130" s="32" t="s">
        <v>30</v>
      </c>
      <c r="K130" s="5"/>
      <c r="L130" s="33"/>
      <c r="M130" s="5"/>
    </row>
    <row r="131" spans="1:13" ht="15.75">
      <c r="A131" s="290" t="s">
        <v>15</v>
      </c>
      <c r="B131" s="292"/>
      <c r="C131" s="295"/>
      <c r="D131" s="405" t="s">
        <v>31</v>
      </c>
      <c r="E131" s="406" t="s">
        <v>32</v>
      </c>
      <c r="F131" s="407"/>
      <c r="G131" s="408" t="s">
        <v>18</v>
      </c>
      <c r="H131" s="294"/>
      <c r="I131" s="407"/>
      <c r="J131" s="293" t="s">
        <v>424</v>
      </c>
      <c r="K131" s="5"/>
      <c r="L131" s="33"/>
      <c r="M131" s="51"/>
    </row>
    <row r="132" spans="1:13" ht="15.75">
      <c r="C132" s="3"/>
      <c r="D132" s="5"/>
      <c r="E132" s="9"/>
      <c r="F132" s="10"/>
      <c r="G132" s="11"/>
      <c r="I132" s="10"/>
      <c r="J132" s="9"/>
      <c r="K132" s="5"/>
      <c r="L132" s="5"/>
      <c r="M132" s="5"/>
    </row>
    <row r="133" spans="1:13">
      <c r="A133" s="32"/>
      <c r="C133" s="817" t="s">
        <v>58</v>
      </c>
      <c r="D133" s="5"/>
      <c r="E133" s="5"/>
      <c r="F133" s="5"/>
      <c r="G133" s="5"/>
      <c r="H133" s="5"/>
      <c r="I133" s="5"/>
      <c r="J133" s="5"/>
      <c r="K133" s="5"/>
      <c r="L133" s="5"/>
      <c r="M133" s="5"/>
    </row>
    <row r="134" spans="1:13">
      <c r="A134" s="32">
        <v>1</v>
      </c>
      <c r="C134" s="817" t="s">
        <v>59</v>
      </c>
      <c r="D134" s="729" t="str">
        <f>'DE Ohio &amp; Kentucky'!D135</f>
        <v>321.112.b</v>
      </c>
      <c r="E134" s="610">
        <f>INPUT!D51</f>
        <v>16183911</v>
      </c>
      <c r="F134" s="5"/>
      <c r="G134" s="5" t="s">
        <v>55</v>
      </c>
      <c r="H134" s="14">
        <f>J217</f>
        <v>0.68063782561983655</v>
      </c>
      <c r="I134" s="5"/>
      <c r="J134" s="366">
        <f>ROUND(H134*E134,0)</f>
        <v>11015382</v>
      </c>
      <c r="K134" s="1"/>
      <c r="L134" s="5"/>
      <c r="M134" s="5"/>
    </row>
    <row r="135" spans="1:13">
      <c r="A135" s="235" t="s">
        <v>3</v>
      </c>
      <c r="B135" s="67"/>
      <c r="C135" s="824" t="s">
        <v>446</v>
      </c>
      <c r="D135" s="729" t="str">
        <f>'DE Ohio &amp; Kentucky'!D136</f>
        <v>321.88.b, 92.b; 322.121.b</v>
      </c>
      <c r="E135" s="368">
        <f>INPUT!D52</f>
        <v>0</v>
      </c>
      <c r="F135" s="37"/>
      <c r="G135" s="37"/>
      <c r="H135" s="64">
        <v>1</v>
      </c>
      <c r="I135" s="37"/>
      <c r="J135" s="227">
        <f>ROUND(H135*E135,0)</f>
        <v>0</v>
      </c>
      <c r="K135" s="1"/>
      <c r="L135" s="5"/>
      <c r="M135" s="5"/>
    </row>
    <row r="136" spans="1:13">
      <c r="A136" s="235" t="s">
        <v>296</v>
      </c>
      <c r="B136" s="67"/>
      <c r="C136" s="822" t="s">
        <v>772</v>
      </c>
      <c r="D136" s="729" t="str">
        <f>'DE Ohio &amp; Kentucky'!D137</f>
        <v>(Note X)</v>
      </c>
      <c r="E136" s="368">
        <f>INPUT!D53</f>
        <v>0</v>
      </c>
      <c r="F136" s="37"/>
      <c r="G136" s="5" t="s">
        <v>55</v>
      </c>
      <c r="H136" s="14">
        <f>J$217</f>
        <v>0.68063782561983655</v>
      </c>
      <c r="I136" s="37"/>
      <c r="J136" s="227">
        <f t="shared" ref="J136" si="8">ROUND(H136*E136,0)</f>
        <v>0</v>
      </c>
      <c r="K136" s="1"/>
      <c r="L136" s="5"/>
      <c r="M136" s="5"/>
    </row>
    <row r="137" spans="1:13">
      <c r="A137" s="32">
        <v>2</v>
      </c>
      <c r="C137" s="822" t="s">
        <v>4</v>
      </c>
      <c r="D137" s="729" t="str">
        <f>'DE Ohio &amp; Kentucky'!D138</f>
        <v>321.96.b</v>
      </c>
      <c r="E137" s="368">
        <f>INPUT!D54</f>
        <v>14117924</v>
      </c>
      <c r="F137" s="5"/>
      <c r="G137" s="5" t="s">
        <v>55</v>
      </c>
      <c r="H137" s="14">
        <f>J$217</f>
        <v>0.68063782561983655</v>
      </c>
      <c r="I137" s="5"/>
      <c r="J137" s="227">
        <f t="shared" ref="J137:J147" si="9">ROUND(H137*E137,0)</f>
        <v>9609193</v>
      </c>
      <c r="K137" s="1"/>
      <c r="L137" s="5"/>
      <c r="M137" s="5"/>
    </row>
    <row r="138" spans="1:13">
      <c r="A138" s="235">
        <v>3</v>
      </c>
      <c r="B138" s="67"/>
      <c r="C138" s="827" t="s">
        <v>60</v>
      </c>
      <c r="D138" s="729" t="str">
        <f>'DE Ohio &amp; Kentucky'!D139</f>
        <v>323.197.b</v>
      </c>
      <c r="E138" s="225">
        <f>'P5 Schedule 1 Charges acct 561'!D23</f>
        <v>19838304</v>
      </c>
      <c r="F138" s="37"/>
      <c r="G138" s="37" t="s">
        <v>40</v>
      </c>
      <c r="H138" s="64">
        <f t="shared" ref="H138:H144" si="10">$J$225</f>
        <v>3.2566545079763351E-2</v>
      </c>
      <c r="I138" s="37"/>
      <c r="J138" s="227">
        <f t="shared" si="9"/>
        <v>646065</v>
      </c>
      <c r="K138" s="5"/>
      <c r="L138" s="5" t="s">
        <v>12</v>
      </c>
      <c r="M138" s="5"/>
    </row>
    <row r="139" spans="1:13">
      <c r="A139" s="235" t="s">
        <v>469</v>
      </c>
      <c r="B139" s="67"/>
      <c r="C139" s="826" t="s">
        <v>471</v>
      </c>
      <c r="D139" s="729" t="str">
        <f>'DE Ohio &amp; Kentucky'!D140</f>
        <v>(Note E)</v>
      </c>
      <c r="E139" s="368">
        <f>INPUT!D56</f>
        <v>149087</v>
      </c>
      <c r="F139" s="37"/>
      <c r="G139" s="37" t="s">
        <v>40</v>
      </c>
      <c r="H139" s="64">
        <f t="shared" si="10"/>
        <v>3.2566545079763351E-2</v>
      </c>
      <c r="I139" s="37"/>
      <c r="J139" s="227">
        <f t="shared" si="9"/>
        <v>4855</v>
      </c>
      <c r="K139" s="5"/>
      <c r="L139" s="5"/>
      <c r="M139" s="5"/>
    </row>
    <row r="140" spans="1:13">
      <c r="A140" s="235" t="s">
        <v>470</v>
      </c>
      <c r="B140" s="67"/>
      <c r="C140" s="826" t="s">
        <v>472</v>
      </c>
      <c r="D140" s="729" t="str">
        <f>'DE Ohio &amp; Kentucky'!D141</f>
        <v>(Note E)</v>
      </c>
      <c r="E140" s="368">
        <f>INPUT!D57</f>
        <v>575908</v>
      </c>
      <c r="F140" s="37"/>
      <c r="G140" s="37" t="s">
        <v>40</v>
      </c>
      <c r="H140" s="64">
        <f t="shared" si="10"/>
        <v>3.2566545079763351E-2</v>
      </c>
      <c r="I140" s="37"/>
      <c r="J140" s="227">
        <f t="shared" si="9"/>
        <v>18755</v>
      </c>
      <c r="K140" s="5"/>
      <c r="L140" s="5"/>
      <c r="M140" s="5"/>
    </row>
    <row r="141" spans="1:13">
      <c r="A141" s="235" t="s">
        <v>642</v>
      </c>
      <c r="B141" s="67"/>
      <c r="C141" s="822" t="s">
        <v>778</v>
      </c>
      <c r="D141" s="729" t="str">
        <f>'DE Ohio &amp; Kentucky'!D142</f>
        <v>(Note Y)</v>
      </c>
      <c r="E141" s="368">
        <f>INPUT!D58</f>
        <v>0</v>
      </c>
      <c r="F141" s="37"/>
      <c r="G141" s="37" t="s">
        <v>40</v>
      </c>
      <c r="H141" s="64">
        <f t="shared" si="10"/>
        <v>3.2566545079763351E-2</v>
      </c>
      <c r="I141" s="37"/>
      <c r="J141" s="227">
        <f t="shared" si="9"/>
        <v>0</v>
      </c>
      <c r="K141" s="5"/>
      <c r="L141" s="5"/>
      <c r="M141" s="5"/>
    </row>
    <row r="142" spans="1:13" s="863" customFormat="1">
      <c r="A142" s="833"/>
      <c r="C142" s="826" t="s">
        <v>779</v>
      </c>
      <c r="D142" s="831"/>
      <c r="E142" s="225"/>
      <c r="F142" s="831"/>
      <c r="G142" s="831"/>
      <c r="H142" s="64"/>
      <c r="I142" s="831"/>
      <c r="J142" s="225"/>
      <c r="K142" s="831"/>
      <c r="L142" s="831"/>
      <c r="M142" s="831"/>
    </row>
    <row r="143" spans="1:13">
      <c r="A143" s="235">
        <v>4</v>
      </c>
      <c r="B143" s="67"/>
      <c r="C143" s="826" t="s">
        <v>431</v>
      </c>
      <c r="D143" s="780" t="s">
        <v>690</v>
      </c>
      <c r="E143" s="368">
        <f>INPUT!D60</f>
        <v>0</v>
      </c>
      <c r="F143" s="37"/>
      <c r="G143" s="37" t="s">
        <v>40</v>
      </c>
      <c r="H143" s="64">
        <f t="shared" si="10"/>
        <v>3.2566545079763351E-2</v>
      </c>
      <c r="I143" s="37"/>
      <c r="J143" s="227">
        <f t="shared" si="9"/>
        <v>0</v>
      </c>
      <c r="K143" s="5"/>
      <c r="L143" s="5"/>
      <c r="M143" s="5"/>
    </row>
    <row r="144" spans="1:13">
      <c r="A144" s="235">
        <v>5</v>
      </c>
      <c r="B144" s="67"/>
      <c r="C144" s="824" t="s">
        <v>447</v>
      </c>
      <c r="D144" s="37"/>
      <c r="E144" s="368">
        <f>INPUT!D61</f>
        <v>891013</v>
      </c>
      <c r="F144" s="37"/>
      <c r="G144" s="37" t="s">
        <v>40</v>
      </c>
      <c r="H144" s="64">
        <f t="shared" si="10"/>
        <v>3.2566545079763351E-2</v>
      </c>
      <c r="I144" s="37"/>
      <c r="J144" s="227">
        <f t="shared" si="9"/>
        <v>29017</v>
      </c>
      <c r="K144" s="5"/>
      <c r="L144" s="5"/>
      <c r="M144" s="5"/>
    </row>
    <row r="145" spans="1:13">
      <c r="A145" s="449" t="s">
        <v>175</v>
      </c>
      <c r="B145" s="67"/>
      <c r="C145" s="824" t="s">
        <v>448</v>
      </c>
      <c r="D145" s="37"/>
      <c r="E145" s="368">
        <f>INPUT!D62</f>
        <v>0</v>
      </c>
      <c r="F145" s="37"/>
      <c r="G145" s="63" t="str">
        <f>G134</f>
        <v>TE</v>
      </c>
      <c r="H145" s="64">
        <f>H134</f>
        <v>0.68063782561983655</v>
      </c>
      <c r="I145" s="37"/>
      <c r="J145" s="227">
        <f t="shared" si="9"/>
        <v>0</v>
      </c>
      <c r="K145" s="5"/>
      <c r="L145" s="5"/>
      <c r="M145" s="5"/>
    </row>
    <row r="146" spans="1:13">
      <c r="A146" s="235">
        <v>6</v>
      </c>
      <c r="B146" s="67"/>
      <c r="C146" s="827" t="s">
        <v>41</v>
      </c>
      <c r="D146" s="729" t="str">
        <f>'DE Ohio &amp; Kentucky'!D147</f>
        <v>356.1</v>
      </c>
      <c r="E146" s="368">
        <f>INPUT!D63</f>
        <v>0</v>
      </c>
      <c r="F146" s="37"/>
      <c r="G146" s="37" t="s">
        <v>93</v>
      </c>
      <c r="H146" s="64">
        <f>H87</f>
        <v>2.6239518039466572E-2</v>
      </c>
      <c r="I146" s="37"/>
      <c r="J146" s="227">
        <f t="shared" si="9"/>
        <v>0</v>
      </c>
      <c r="K146" s="5"/>
      <c r="L146" s="5"/>
      <c r="M146" s="5"/>
    </row>
    <row r="147" spans="1:13" ht="15.75" thickBot="1">
      <c r="A147" s="235">
        <v>7</v>
      </c>
      <c r="B147" s="67"/>
      <c r="C147" s="827" t="s">
        <v>61</v>
      </c>
      <c r="D147" s="37"/>
      <c r="E147" s="492">
        <f>INPUT!D64</f>
        <v>0</v>
      </c>
      <c r="F147" s="37"/>
      <c r="G147" s="37" t="s">
        <v>12</v>
      </c>
      <c r="H147" s="493">
        <v>1</v>
      </c>
      <c r="I147" s="37"/>
      <c r="J147" s="228">
        <f t="shared" si="9"/>
        <v>0</v>
      </c>
      <c r="K147" s="5"/>
      <c r="L147" s="5"/>
      <c r="M147" s="5"/>
    </row>
    <row r="148" spans="1:13" s="863" customFormat="1">
      <c r="A148" s="833">
        <v>8</v>
      </c>
      <c r="C148" s="827" t="s">
        <v>792</v>
      </c>
      <c r="D148" s="831"/>
      <c r="E148" s="610">
        <f>E134-E135-E136-E137+E138-E139+E140-E141-E143-E144+E145+E146+E147</f>
        <v>21440099</v>
      </c>
      <c r="F148" s="831"/>
      <c r="G148" s="831"/>
      <c r="H148" s="831"/>
      <c r="I148" s="831"/>
      <c r="J148" s="610">
        <f>J134-J135-J136-J137+J138-J139+J140-J141-J143-J144+J145+J146+J147</f>
        <v>2037137</v>
      </c>
      <c r="K148" s="831"/>
      <c r="L148" s="831"/>
      <c r="M148" s="831"/>
    </row>
    <row r="149" spans="1:13">
      <c r="A149" s="235"/>
      <c r="B149" s="67"/>
      <c r="C149" s="821"/>
      <c r="D149" s="37"/>
      <c r="E149" s="225"/>
      <c r="F149" s="37"/>
      <c r="G149" s="37"/>
      <c r="H149" s="37"/>
      <c r="I149" s="37"/>
      <c r="J149" s="225"/>
      <c r="K149" s="5"/>
      <c r="L149" s="5"/>
      <c r="M149" s="5"/>
    </row>
    <row r="150" spans="1:13">
      <c r="A150" s="32"/>
      <c r="C150" s="817" t="s">
        <v>62</v>
      </c>
      <c r="D150" s="5"/>
      <c r="E150" s="227"/>
      <c r="F150" s="5"/>
      <c r="G150" s="5"/>
      <c r="H150" s="5"/>
      <c r="I150" s="5"/>
      <c r="J150" s="227"/>
      <c r="K150" s="5"/>
      <c r="L150" s="5"/>
      <c r="M150" s="5"/>
    </row>
    <row r="151" spans="1:13">
      <c r="A151" s="32">
        <v>9</v>
      </c>
      <c r="C151" s="817" t="s">
        <v>59</v>
      </c>
      <c r="D151" s="729" t="str">
        <f>'DE Ohio &amp; Kentucky'!D152</f>
        <v>336.7.b</v>
      </c>
      <c r="E151" s="494">
        <f>INPUT!D68</f>
        <v>1029591</v>
      </c>
      <c r="F151" s="5"/>
      <c r="G151" s="5" t="s">
        <v>19</v>
      </c>
      <c r="H151" s="14">
        <f>J207</f>
        <v>0.70516451836756744</v>
      </c>
      <c r="I151" s="5"/>
      <c r="J151" s="366">
        <f>ROUND(H151*E151,0)</f>
        <v>726031</v>
      </c>
      <c r="K151" s="5"/>
      <c r="L151" s="18"/>
      <c r="M151" s="5"/>
    </row>
    <row r="152" spans="1:13">
      <c r="A152" s="32">
        <v>10</v>
      </c>
      <c r="C152" s="817" t="s">
        <v>689</v>
      </c>
      <c r="D152" s="729" t="str">
        <f>'DE Ohio &amp; Kentucky'!D153</f>
        <v xml:space="preserve">336.10.b </v>
      </c>
      <c r="E152" s="368">
        <f>INPUT!D69</f>
        <v>1592816</v>
      </c>
      <c r="F152" s="5"/>
      <c r="G152" s="5" t="s">
        <v>40</v>
      </c>
      <c r="H152" s="14">
        <f>H138</f>
        <v>3.2566545079763351E-2</v>
      </c>
      <c r="I152" s="5"/>
      <c r="J152" s="227">
        <f t="shared" ref="J152:J153" si="11">ROUND(H152*E152,0)</f>
        <v>51873</v>
      </c>
      <c r="K152" s="5"/>
      <c r="L152" s="18"/>
      <c r="M152" s="5"/>
    </row>
    <row r="153" spans="1:13" ht="15.75" thickBot="1">
      <c r="A153" s="32">
        <v>11</v>
      </c>
      <c r="C153" s="817" t="s">
        <v>41</v>
      </c>
      <c r="D153" s="729" t="str">
        <f>'DE Ohio &amp; Kentucky'!D154</f>
        <v>336.11.b</v>
      </c>
      <c r="E153" s="492">
        <f>INPUT!D70</f>
        <v>1401869</v>
      </c>
      <c r="F153" s="5"/>
      <c r="G153" s="5" t="s">
        <v>93</v>
      </c>
      <c r="H153" s="14">
        <f>H146</f>
        <v>2.6239518039466572E-2</v>
      </c>
      <c r="I153" s="5"/>
      <c r="J153" s="228">
        <f t="shared" si="11"/>
        <v>36784</v>
      </c>
      <c r="K153" s="5"/>
      <c r="L153" s="18"/>
      <c r="M153" s="5"/>
    </row>
    <row r="154" spans="1:13">
      <c r="A154" s="32">
        <v>12</v>
      </c>
      <c r="C154" s="817" t="s">
        <v>64</v>
      </c>
      <c r="D154" s="5"/>
      <c r="E154" s="611">
        <f>SUM(E151:E153)</f>
        <v>4024276</v>
      </c>
      <c r="F154" s="5"/>
      <c r="G154" s="5"/>
      <c r="H154" s="5"/>
      <c r="I154" s="5"/>
      <c r="J154" s="366">
        <f>SUM(J151:J153)</f>
        <v>814688</v>
      </c>
      <c r="K154" s="5"/>
      <c r="L154" s="5"/>
      <c r="M154" s="5"/>
    </row>
    <row r="155" spans="1:13">
      <c r="A155" s="32"/>
      <c r="C155" s="817"/>
      <c r="D155" s="5"/>
      <c r="E155" s="227"/>
      <c r="F155" s="5"/>
      <c r="G155" s="5"/>
      <c r="H155" s="5"/>
      <c r="I155" s="5"/>
      <c r="J155" s="227"/>
      <c r="K155" s="5"/>
      <c r="L155" s="5"/>
      <c r="M155" s="5"/>
    </row>
    <row r="156" spans="1:13">
      <c r="A156" s="32" t="s">
        <v>12</v>
      </c>
      <c r="C156" s="825" t="s">
        <v>449</v>
      </c>
      <c r="E156" s="227"/>
      <c r="F156" s="5"/>
      <c r="G156" s="5"/>
      <c r="H156" s="5"/>
      <c r="I156" s="5"/>
      <c r="J156" s="227"/>
      <c r="K156" s="5"/>
      <c r="L156" s="5"/>
      <c r="M156" s="5"/>
    </row>
    <row r="157" spans="1:13">
      <c r="A157" s="32"/>
      <c r="C157" s="817" t="s">
        <v>65</v>
      </c>
      <c r="E157" s="227"/>
      <c r="F157" s="5"/>
      <c r="G157" s="5"/>
      <c r="I157" s="5"/>
      <c r="J157" s="227"/>
      <c r="K157" s="5"/>
      <c r="L157" s="18"/>
      <c r="M157" s="5"/>
    </row>
    <row r="158" spans="1:13">
      <c r="A158" s="32">
        <v>13</v>
      </c>
      <c r="C158" s="823" t="s">
        <v>432</v>
      </c>
      <c r="D158" s="780" t="s">
        <v>339</v>
      </c>
      <c r="E158" s="494">
        <f>INPUT!D75</f>
        <v>2125528</v>
      </c>
      <c r="F158" s="5"/>
      <c r="G158" s="5" t="s">
        <v>40</v>
      </c>
      <c r="H158" s="14">
        <f>$J$225</f>
        <v>3.2566545079763351E-2</v>
      </c>
      <c r="I158" s="5"/>
      <c r="J158" s="366">
        <f>ROUND(H158*E158,0)</f>
        <v>69221</v>
      </c>
      <c r="K158" s="5"/>
      <c r="L158" s="18"/>
      <c r="M158" s="5"/>
    </row>
    <row r="159" spans="1:13">
      <c r="A159" s="32">
        <v>14</v>
      </c>
      <c r="C159" s="823" t="s">
        <v>433</v>
      </c>
      <c r="D159" s="780" t="s">
        <v>340</v>
      </c>
      <c r="E159" s="368">
        <f>INPUT!D76</f>
        <v>1723</v>
      </c>
      <c r="F159" s="5"/>
      <c r="G159" s="5" t="s">
        <v>40</v>
      </c>
      <c r="H159" s="14">
        <f>$J$225</f>
        <v>3.2566545079763351E-2</v>
      </c>
      <c r="I159" s="5"/>
      <c r="J159" s="227">
        <f t="shared" ref="J159" si="12">ROUND(H159*E159,0)</f>
        <v>56</v>
      </c>
      <c r="K159" s="5"/>
      <c r="L159" s="18"/>
      <c r="M159" s="5"/>
    </row>
    <row r="160" spans="1:13">
      <c r="A160" s="32">
        <v>15</v>
      </c>
      <c r="C160" s="817" t="s">
        <v>66</v>
      </c>
      <c r="D160" s="780" t="s">
        <v>12</v>
      </c>
      <c r="E160" s="368"/>
      <c r="F160" s="5"/>
      <c r="G160" s="5"/>
      <c r="I160" s="5"/>
      <c r="J160" s="227"/>
      <c r="K160" s="5"/>
      <c r="L160" s="18"/>
      <c r="M160" s="5"/>
    </row>
    <row r="161" spans="1:13">
      <c r="A161" s="32">
        <v>16</v>
      </c>
      <c r="C161" s="817" t="s">
        <v>67</v>
      </c>
      <c r="D161" s="780" t="s">
        <v>341</v>
      </c>
      <c r="E161" s="368">
        <f>INPUT!D78</f>
        <v>6917734</v>
      </c>
      <c r="F161" s="5"/>
      <c r="G161" s="5" t="s">
        <v>56</v>
      </c>
      <c r="H161" s="19">
        <f>H80</f>
        <v>2.5735197118815233E-2</v>
      </c>
      <c r="I161" s="5"/>
      <c r="J161" s="227">
        <f t="shared" ref="J161" si="13">ROUND(H161*E161,0)</f>
        <v>178029</v>
      </c>
      <c r="K161" s="5"/>
      <c r="L161" s="18"/>
      <c r="M161" s="5"/>
    </row>
    <row r="162" spans="1:13">
      <c r="A162" s="32">
        <v>17</v>
      </c>
      <c r="C162" s="817" t="s">
        <v>68</v>
      </c>
      <c r="D162" s="780" t="s">
        <v>199</v>
      </c>
      <c r="E162" s="368">
        <f>INPUT!D79</f>
        <v>0</v>
      </c>
      <c r="F162" s="5"/>
      <c r="G162" s="37" t="str">
        <f>G99</f>
        <v>NA</v>
      </c>
      <c r="H162" s="82" t="s">
        <v>176</v>
      </c>
      <c r="I162" s="5"/>
      <c r="J162" s="229">
        <v>0</v>
      </c>
      <c r="K162" s="5"/>
      <c r="L162" s="18"/>
      <c r="M162" s="5"/>
    </row>
    <row r="163" spans="1:13">
      <c r="A163" s="32">
        <v>18</v>
      </c>
      <c r="C163" s="817" t="s">
        <v>69</v>
      </c>
      <c r="D163" s="780" t="str">
        <f>D162</f>
        <v>263.i</v>
      </c>
      <c r="E163" s="368">
        <f>INPUT!D80</f>
        <v>0</v>
      </c>
      <c r="F163" s="5"/>
      <c r="G163" s="5" t="str">
        <f>G161</f>
        <v>GP</v>
      </c>
      <c r="H163" s="19">
        <f>H161</f>
        <v>2.5735197118815233E-2</v>
      </c>
      <c r="I163" s="5"/>
      <c r="J163" s="227">
        <f t="shared" ref="J163:J164" si="14">ROUND(H163*E163,0)</f>
        <v>0</v>
      </c>
      <c r="K163" s="5"/>
      <c r="L163" s="18"/>
      <c r="M163" s="5"/>
    </row>
    <row r="164" spans="1:13" ht="15.75" thickBot="1">
      <c r="A164" s="32">
        <v>19</v>
      </c>
      <c r="C164" s="817" t="s">
        <v>70</v>
      </c>
      <c r="D164" s="5"/>
      <c r="E164" s="492">
        <f>INPUT!D81</f>
        <v>0</v>
      </c>
      <c r="F164" s="5"/>
      <c r="G164" s="5" t="s">
        <v>56</v>
      </c>
      <c r="H164" s="19">
        <f>H161</f>
        <v>2.5735197118815233E-2</v>
      </c>
      <c r="I164" s="5"/>
      <c r="J164" s="228">
        <f t="shared" si="14"/>
        <v>0</v>
      </c>
      <c r="K164" s="5"/>
      <c r="L164" s="18"/>
      <c r="M164" s="5"/>
    </row>
    <row r="165" spans="1:13">
      <c r="A165" s="32">
        <v>20</v>
      </c>
      <c r="C165" s="817" t="s">
        <v>71</v>
      </c>
      <c r="D165" s="5"/>
      <c r="E165" s="366">
        <f>E158+E159+E161+E162+E163+E164</f>
        <v>9044985</v>
      </c>
      <c r="F165" s="5"/>
      <c r="G165" s="5"/>
      <c r="H165" s="19"/>
      <c r="I165" s="5"/>
      <c r="J165" s="366">
        <f>J158+J159+J161+J162+J163+J164</f>
        <v>247306</v>
      </c>
      <c r="K165" s="5"/>
      <c r="L165" s="5"/>
      <c r="M165" s="5"/>
    </row>
    <row r="166" spans="1:13">
      <c r="A166" s="32"/>
      <c r="C166" s="817"/>
      <c r="D166" s="5"/>
      <c r="E166" s="227"/>
      <c r="F166" s="5"/>
      <c r="G166" s="5"/>
      <c r="H166" s="19"/>
      <c r="I166" s="5"/>
      <c r="J166" s="5"/>
      <c r="K166" s="5"/>
      <c r="L166" s="5"/>
      <c r="M166" s="5"/>
    </row>
    <row r="167" spans="1:13">
      <c r="A167" s="32" t="s">
        <v>72</v>
      </c>
      <c r="C167" s="817"/>
      <c r="D167" s="5"/>
      <c r="E167" s="5"/>
      <c r="F167" s="5"/>
      <c r="G167" s="5"/>
      <c r="H167" s="19"/>
      <c r="I167" s="5"/>
      <c r="J167" s="5"/>
      <c r="K167" s="5"/>
      <c r="L167" s="5"/>
      <c r="M167" s="5"/>
    </row>
    <row r="168" spans="1:13">
      <c r="A168" s="32" t="s">
        <v>12</v>
      </c>
      <c r="C168" s="825" t="s">
        <v>458</v>
      </c>
      <c r="D168" s="5"/>
      <c r="E168" s="5"/>
      <c r="F168" s="5"/>
      <c r="H168" s="16"/>
      <c r="I168" s="5"/>
      <c r="K168" s="5"/>
      <c r="M168" s="5"/>
    </row>
    <row r="169" spans="1:13">
      <c r="A169" s="32">
        <v>21</v>
      </c>
      <c r="C169" s="819" t="s">
        <v>160</v>
      </c>
      <c r="D169" s="5"/>
      <c r="E169" s="608">
        <f>IF(E304&gt;0,1-(((1-E305)*(1-E304))/(1-E305*E304*E306)),0)</f>
        <v>0.38900000000000001</v>
      </c>
      <c r="F169" s="5"/>
      <c r="H169" s="16"/>
      <c r="I169" s="5"/>
      <c r="K169" s="5"/>
      <c r="M169" s="5"/>
    </row>
    <row r="170" spans="1:13">
      <c r="A170" s="32">
        <v>22</v>
      </c>
      <c r="C170" s="818" t="s">
        <v>161</v>
      </c>
      <c r="D170" s="5"/>
      <c r="E170" s="410">
        <f>IF(J249&gt;0,(E169/(1-E169))*(1-J246/J249),0)</f>
        <v>0.49595830610560565</v>
      </c>
      <c r="F170" s="5"/>
      <c r="H170" s="16"/>
      <c r="I170" s="5"/>
      <c r="K170" s="5"/>
      <c r="M170" s="5"/>
    </row>
    <row r="171" spans="1:13">
      <c r="A171" s="32"/>
      <c r="C171" s="817" t="s">
        <v>407</v>
      </c>
      <c r="D171" s="5"/>
      <c r="E171" s="5"/>
      <c r="F171" s="5"/>
      <c r="H171" s="16"/>
      <c r="I171" s="5"/>
      <c r="K171" s="5"/>
      <c r="M171" s="5"/>
    </row>
    <row r="172" spans="1:13">
      <c r="A172" s="32"/>
      <c r="C172" s="817" t="s">
        <v>163</v>
      </c>
      <c r="D172" s="5"/>
      <c r="E172" s="5"/>
      <c r="F172" s="5"/>
      <c r="H172" s="16"/>
      <c r="I172" s="5"/>
      <c r="K172" s="5"/>
      <c r="M172" s="5"/>
    </row>
    <row r="173" spans="1:13">
      <c r="A173" s="32">
        <v>23</v>
      </c>
      <c r="C173" s="819" t="s">
        <v>162</v>
      </c>
      <c r="D173" s="5"/>
      <c r="E173" s="778">
        <f>IF(E169&gt;0,1/(1-E169),0)</f>
        <v>1.6366612111292962</v>
      </c>
      <c r="F173" s="5"/>
      <c r="H173" s="16"/>
      <c r="I173" s="5"/>
      <c r="J173" s="227"/>
      <c r="K173" s="5"/>
      <c r="M173" s="5"/>
    </row>
    <row r="174" spans="1:13">
      <c r="A174" s="32">
        <v>24</v>
      </c>
      <c r="C174" s="817" t="s">
        <v>412</v>
      </c>
      <c r="D174" s="729" t="str">
        <f>'DE Ohio &amp; Kentucky'!D175</f>
        <v>266.8.f (enter negative)</v>
      </c>
      <c r="E174" s="618">
        <f>INPUT!D91</f>
        <v>-28061</v>
      </c>
      <c r="F174" s="5"/>
      <c r="H174" s="16"/>
      <c r="I174" s="5"/>
      <c r="J174" s="227"/>
      <c r="K174" s="5"/>
      <c r="M174" s="5"/>
    </row>
    <row r="175" spans="1:13">
      <c r="A175" s="32"/>
      <c r="C175" s="817"/>
      <c r="D175" s="5"/>
      <c r="E175" s="227"/>
      <c r="F175" s="5"/>
      <c r="H175" s="16"/>
      <c r="I175" s="5"/>
      <c r="J175" s="227"/>
      <c r="K175" s="5"/>
      <c r="M175" s="5"/>
    </row>
    <row r="176" spans="1:13">
      <c r="A176" s="32">
        <v>25</v>
      </c>
      <c r="C176" s="819" t="s">
        <v>413</v>
      </c>
      <c r="D176" s="48"/>
      <c r="E176" s="366">
        <f>E170*E180</f>
        <v>22586874.157623067</v>
      </c>
      <c r="F176" s="5"/>
      <c r="G176" s="5" t="s">
        <v>36</v>
      </c>
      <c r="H176" s="19"/>
      <c r="I176" s="5"/>
      <c r="J176" s="366">
        <f>E170*J180</f>
        <v>793953.86241254664</v>
      </c>
      <c r="K176" s="5"/>
      <c r="L176" s="15" t="s">
        <v>12</v>
      </c>
      <c r="M176" s="5"/>
    </row>
    <row r="177" spans="1:13" ht="15.75" thickBot="1">
      <c r="A177" s="32">
        <v>26</v>
      </c>
      <c r="C177" s="818" t="s">
        <v>166</v>
      </c>
      <c r="D177" s="48"/>
      <c r="E177" s="228">
        <f>E173*E174</f>
        <v>-45926.350245499183</v>
      </c>
      <c r="F177" s="5"/>
      <c r="G177" s="12" t="s">
        <v>54</v>
      </c>
      <c r="H177" s="19">
        <f>H96</f>
        <v>3.4828080009384581E-2</v>
      </c>
      <c r="I177" s="5"/>
      <c r="J177" s="228">
        <f>H177*E177</f>
        <v>-1599.5266008892647</v>
      </c>
      <c r="K177" s="5"/>
      <c r="L177" s="15"/>
      <c r="M177" s="5"/>
    </row>
    <row r="178" spans="1:13">
      <c r="A178" s="32">
        <v>27</v>
      </c>
      <c r="C178" s="820" t="s">
        <v>150</v>
      </c>
      <c r="D178" s="729" t="str">
        <f>'DE Ohio &amp; Kentucky'!D179</f>
        <v>(line 25 plus line 26)</v>
      </c>
      <c r="E178" s="369">
        <f>E176+E177</f>
        <v>22540947.807377569</v>
      </c>
      <c r="F178" s="5"/>
      <c r="G178" s="5" t="s">
        <v>12</v>
      </c>
      <c r="H178" s="19" t="s">
        <v>12</v>
      </c>
      <c r="I178" s="5"/>
      <c r="J178" s="369">
        <f>J176+J177</f>
        <v>792354.33581165737</v>
      </c>
      <c r="K178" s="5"/>
      <c r="L178" s="5"/>
      <c r="M178" s="5"/>
    </row>
    <row r="179" spans="1:13">
      <c r="A179" s="32" t="s">
        <v>12</v>
      </c>
      <c r="C179" s="816"/>
      <c r="D179" s="20"/>
      <c r="E179" s="227"/>
      <c r="F179" s="5"/>
      <c r="G179" s="5"/>
      <c r="H179" s="19"/>
      <c r="I179" s="5"/>
      <c r="J179" s="227"/>
      <c r="K179" s="5"/>
      <c r="L179" s="5"/>
      <c r="M179" s="5"/>
    </row>
    <row r="180" spans="1:13">
      <c r="A180" s="32">
        <v>28</v>
      </c>
      <c r="C180" s="817" t="s">
        <v>73</v>
      </c>
      <c r="D180" s="18"/>
      <c r="E180" s="366">
        <f>ROUND($J249*E114,0)</f>
        <v>45541881</v>
      </c>
      <c r="F180" s="5"/>
      <c r="G180" s="5" t="s">
        <v>36</v>
      </c>
      <c r="H180" s="16"/>
      <c r="I180" s="5"/>
      <c r="J180" s="366">
        <f>ROUND($J249*J114,0)</f>
        <v>1600848</v>
      </c>
      <c r="K180" s="5"/>
      <c r="M180" s="5"/>
    </row>
    <row r="181" spans="1:13">
      <c r="A181" s="32"/>
      <c r="C181" s="820" t="s">
        <v>74</v>
      </c>
      <c r="E181" s="227"/>
      <c r="F181" s="5"/>
      <c r="G181" s="5"/>
      <c r="H181" s="16"/>
      <c r="I181" s="5"/>
      <c r="J181" s="227"/>
      <c r="K181" s="5"/>
      <c r="L181" s="18"/>
      <c r="M181" s="5"/>
    </row>
    <row r="182" spans="1:13">
      <c r="A182" s="32"/>
      <c r="C182" s="817"/>
      <c r="E182" s="230"/>
      <c r="F182" s="5"/>
      <c r="G182" s="5"/>
      <c r="H182" s="16"/>
      <c r="I182" s="5"/>
      <c r="J182" s="230"/>
      <c r="K182" s="5"/>
      <c r="L182" s="18"/>
      <c r="M182" s="5"/>
    </row>
    <row r="183" spans="1:13" ht="15.75" thickBot="1">
      <c r="A183" s="32">
        <v>29</v>
      </c>
      <c r="C183" s="817" t="s">
        <v>164</v>
      </c>
      <c r="D183" s="5"/>
      <c r="E183" s="370">
        <f>E180+E178+E165+E154+E148</f>
        <v>102592188.80737758</v>
      </c>
      <c r="F183" s="94"/>
      <c r="G183" s="94"/>
      <c r="H183" s="94"/>
      <c r="I183" s="94"/>
      <c r="J183" s="370">
        <f>J180+J178+J165+J154+J148</f>
        <v>5492333.3358116578</v>
      </c>
      <c r="K183" s="1"/>
      <c r="L183" s="1"/>
      <c r="M183" s="1"/>
    </row>
    <row r="184" spans="1:13" ht="15.75" thickTop="1">
      <c r="A184" s="32"/>
      <c r="C184" s="3"/>
      <c r="D184" s="5"/>
      <c r="E184" s="94"/>
      <c r="F184" s="5"/>
      <c r="G184" s="5"/>
      <c r="H184" s="5"/>
      <c r="I184" s="5"/>
      <c r="J184" s="94"/>
      <c r="K184" s="1"/>
      <c r="L184" s="1"/>
      <c r="M184" s="1"/>
    </row>
    <row r="185" spans="1:13">
      <c r="A185" s="32"/>
      <c r="C185" s="3"/>
      <c r="D185" s="5"/>
      <c r="E185" s="94"/>
      <c r="F185" s="5"/>
      <c r="G185" s="5"/>
      <c r="H185" s="5"/>
      <c r="I185" s="5"/>
      <c r="J185" s="94"/>
      <c r="K185" s="1"/>
      <c r="L185" s="1"/>
      <c r="M185" s="1"/>
    </row>
    <row r="186" spans="1:13">
      <c r="A186" s="32"/>
      <c r="C186" s="29"/>
      <c r="D186" s="29"/>
      <c r="E186" s="30"/>
      <c r="F186" s="29"/>
      <c r="G186" s="29"/>
      <c r="H186" s="29"/>
      <c r="I186" s="31"/>
      <c r="K186" s="32"/>
      <c r="L186" s="92"/>
      <c r="M186" s="32"/>
    </row>
    <row r="187" spans="1:13" ht="18">
      <c r="A187" s="244"/>
      <c r="C187" s="29"/>
      <c r="D187" s="29"/>
      <c r="E187" s="30"/>
      <c r="F187" s="29"/>
      <c r="G187" s="29"/>
      <c r="H187" s="29"/>
      <c r="I187" s="31"/>
      <c r="J187" s="77" t="s">
        <v>369</v>
      </c>
      <c r="M187" s="91"/>
    </row>
    <row r="188" spans="1:13">
      <c r="C188" s="29"/>
      <c r="D188" s="29"/>
      <c r="E188" s="30"/>
      <c r="F188" s="29"/>
      <c r="G188" s="29"/>
      <c r="H188" s="29"/>
      <c r="I188" s="31"/>
      <c r="J188" s="77" t="s">
        <v>574</v>
      </c>
      <c r="M188" s="77"/>
    </row>
    <row r="189" spans="1:13">
      <c r="C189" s="29"/>
      <c r="D189" s="29"/>
      <c r="E189" s="30"/>
      <c r="F189" s="29"/>
      <c r="G189" s="29"/>
      <c r="H189" s="29"/>
      <c r="I189" s="31"/>
      <c r="M189" s="77"/>
    </row>
    <row r="190" spans="1:13">
      <c r="C190" s="29"/>
      <c r="D190" s="29"/>
      <c r="E190" s="30"/>
      <c r="F190" s="29"/>
      <c r="G190" s="29"/>
      <c r="H190" s="29"/>
      <c r="I190" s="31"/>
      <c r="M190" s="77"/>
    </row>
    <row r="191" spans="1:13">
      <c r="C191" s="29"/>
      <c r="D191" s="29"/>
      <c r="E191" s="30"/>
      <c r="F191" s="29"/>
      <c r="G191" s="29"/>
      <c r="H191" s="29"/>
      <c r="I191" s="31"/>
      <c r="M191" s="77"/>
    </row>
    <row r="192" spans="1:13">
      <c r="C192" s="29"/>
      <c r="D192" s="29"/>
      <c r="E192" s="30"/>
      <c r="F192" s="29"/>
      <c r="G192" s="29"/>
      <c r="H192" s="29"/>
      <c r="I192" s="31"/>
      <c r="J192" s="77"/>
      <c r="M192" s="77"/>
    </row>
    <row r="193" spans="1:13">
      <c r="C193" s="29" t="s">
        <v>11</v>
      </c>
      <c r="D193" s="29"/>
      <c r="E193" s="30"/>
      <c r="F193" s="29"/>
      <c r="G193" s="29"/>
      <c r="H193" s="29"/>
      <c r="I193" s="31"/>
      <c r="J193" s="92" t="str">
        <f>J7</f>
        <v>For the 12 months ended: 12/31/2015</v>
      </c>
      <c r="M193" s="77"/>
    </row>
    <row r="194" spans="1:13">
      <c r="A194" s="277" t="str">
        <f>A8</f>
        <v>Rate Formula Template</v>
      </c>
      <c r="B194" s="279"/>
      <c r="C194" s="279"/>
      <c r="D194" s="277"/>
      <c r="E194" s="279"/>
      <c r="F194" s="277"/>
      <c r="G194" s="277"/>
      <c r="H194" s="277"/>
      <c r="I194" s="277"/>
      <c r="J194" s="279"/>
      <c r="K194" s="273"/>
      <c r="L194" s="279"/>
      <c r="M194" s="1"/>
    </row>
    <row r="195" spans="1:13">
      <c r="A195" s="280" t="s">
        <v>331</v>
      </c>
      <c r="B195" s="279"/>
      <c r="C195" s="277"/>
      <c r="D195" s="280"/>
      <c r="E195" s="279"/>
      <c r="F195" s="280"/>
      <c r="G195" s="280"/>
      <c r="H195" s="280"/>
      <c r="I195" s="277"/>
      <c r="J195" s="277"/>
      <c r="K195" s="273"/>
      <c r="L195" s="273"/>
      <c r="M195" s="1"/>
    </row>
    <row r="196" spans="1:13">
      <c r="A196" s="273"/>
      <c r="B196" s="279"/>
      <c r="C196" s="273"/>
      <c r="D196" s="273"/>
      <c r="E196" s="279"/>
      <c r="F196" s="273"/>
      <c r="G196" s="273"/>
      <c r="H196" s="273"/>
      <c r="I196" s="273"/>
      <c r="J196" s="273"/>
      <c r="K196" s="273"/>
      <c r="L196" s="273"/>
      <c r="M196" s="5"/>
    </row>
    <row r="197" spans="1:13" ht="15.75">
      <c r="A197" s="276" t="s">
        <v>216</v>
      </c>
      <c r="B197" s="279"/>
      <c r="C197" s="273"/>
      <c r="D197" s="273"/>
      <c r="E197" s="279"/>
      <c r="F197" s="273"/>
      <c r="G197" s="273"/>
      <c r="H197" s="273"/>
      <c r="I197" s="273"/>
      <c r="J197" s="273"/>
      <c r="K197" s="273"/>
      <c r="L197" s="273"/>
      <c r="M197" s="5"/>
    </row>
    <row r="198" spans="1:13" ht="15.75">
      <c r="A198" s="281" t="s">
        <v>332</v>
      </c>
      <c r="B198" s="118"/>
      <c r="C198" s="118"/>
      <c r="D198" s="118"/>
      <c r="E198" s="118"/>
      <c r="F198" s="275"/>
      <c r="G198" s="275"/>
      <c r="H198" s="275"/>
      <c r="I198" s="275"/>
      <c r="J198" s="275"/>
      <c r="K198" s="274"/>
      <c r="L198" s="274"/>
      <c r="M198" s="5"/>
    </row>
    <row r="199" spans="1:13" ht="15.75">
      <c r="A199" s="32" t="s">
        <v>13</v>
      </c>
      <c r="C199" s="13"/>
      <c r="D199" s="1"/>
      <c r="E199" s="1"/>
      <c r="F199" s="1"/>
      <c r="G199" s="1"/>
      <c r="H199" s="1"/>
      <c r="I199" s="1"/>
      <c r="J199" s="1"/>
      <c r="K199" s="5"/>
      <c r="L199" s="5"/>
      <c r="M199" s="5"/>
    </row>
    <row r="200" spans="1:13" ht="15.75">
      <c r="A200" s="290" t="s">
        <v>15</v>
      </c>
      <c r="B200" s="292"/>
      <c r="C200" s="394" t="s">
        <v>381</v>
      </c>
      <c r="D200" s="66"/>
      <c r="E200" s="66"/>
      <c r="F200" s="66"/>
      <c r="G200" s="66"/>
      <c r="H200" s="66"/>
      <c r="I200" s="67"/>
      <c r="J200" s="67"/>
      <c r="K200" s="37"/>
      <c r="L200" s="5"/>
      <c r="M200" s="5"/>
    </row>
    <row r="201" spans="1:13">
      <c r="A201" s="32"/>
      <c r="C201" s="65"/>
      <c r="D201" s="66"/>
      <c r="E201" s="66"/>
      <c r="F201" s="66"/>
      <c r="G201" s="66"/>
      <c r="H201" s="66"/>
      <c r="I201" s="66"/>
      <c r="J201" s="66"/>
      <c r="K201" s="37"/>
      <c r="L201" s="5"/>
      <c r="M201" s="5"/>
    </row>
    <row r="202" spans="1:13">
      <c r="A202" s="32">
        <v>1</v>
      </c>
      <c r="C202" s="60" t="s">
        <v>382</v>
      </c>
      <c r="D202" s="66"/>
      <c r="E202" s="37"/>
      <c r="F202" s="37"/>
      <c r="G202" s="37"/>
      <c r="H202" s="37"/>
      <c r="I202" s="37"/>
      <c r="J202" s="610">
        <f>E76</f>
        <v>55729127</v>
      </c>
      <c r="K202" s="37"/>
      <c r="L202" s="5"/>
      <c r="M202" s="5"/>
    </row>
    <row r="203" spans="1:13">
      <c r="A203" s="32">
        <v>2</v>
      </c>
      <c r="C203" s="432" t="s">
        <v>450</v>
      </c>
      <c r="D203" s="67"/>
      <c r="E203" s="67"/>
      <c r="F203" s="67"/>
      <c r="G203" s="67"/>
      <c r="H203" s="67"/>
      <c r="I203" s="67"/>
      <c r="J203" s="233">
        <f>INPUT!D95</f>
        <v>0</v>
      </c>
      <c r="K203" s="37"/>
      <c r="L203" s="5"/>
      <c r="M203" s="5"/>
    </row>
    <row r="204" spans="1:13" ht="15.75" thickBot="1">
      <c r="A204" s="32">
        <v>3</v>
      </c>
      <c r="C204" s="433" t="s">
        <v>451</v>
      </c>
      <c r="D204" s="68"/>
      <c r="E204" s="69"/>
      <c r="F204" s="37"/>
      <c r="G204" s="37"/>
      <c r="H204" s="70"/>
      <c r="I204" s="37"/>
      <c r="J204" s="234">
        <f>INPUT!D96</f>
        <v>16430924</v>
      </c>
      <c r="K204" s="37"/>
      <c r="L204" s="5"/>
      <c r="M204" s="5"/>
    </row>
    <row r="205" spans="1:13">
      <c r="A205" s="32">
        <v>4</v>
      </c>
      <c r="C205" s="60" t="s">
        <v>383</v>
      </c>
      <c r="D205" s="66"/>
      <c r="E205" s="37"/>
      <c r="F205" s="37"/>
      <c r="G205" s="37"/>
      <c r="H205" s="70"/>
      <c r="I205" s="37"/>
      <c r="J205" s="610">
        <f>J202-J203-J204</f>
        <v>39298203</v>
      </c>
      <c r="K205" s="37"/>
      <c r="L205" s="5"/>
      <c r="M205" s="5"/>
    </row>
    <row r="206" spans="1:13">
      <c r="A206" s="32"/>
      <c r="C206" s="67"/>
      <c r="D206" s="66"/>
      <c r="E206" s="37"/>
      <c r="F206" s="37"/>
      <c r="G206" s="37"/>
      <c r="H206" s="70"/>
      <c r="I206" s="37"/>
      <c r="J206" s="67"/>
      <c r="K206" s="37"/>
      <c r="L206" s="5"/>
      <c r="M206" s="5"/>
    </row>
    <row r="207" spans="1:13">
      <c r="A207" s="32">
        <v>5</v>
      </c>
      <c r="C207" s="60" t="s">
        <v>384</v>
      </c>
      <c r="D207" s="71"/>
      <c r="E207" s="72"/>
      <c r="F207" s="72"/>
      <c r="G207" s="72"/>
      <c r="H207" s="73"/>
      <c r="I207" s="37" t="s">
        <v>78</v>
      </c>
      <c r="J207" s="62">
        <f>IF(J202&gt;0,J205/J202,0)</f>
        <v>0.70516451836756744</v>
      </c>
      <c r="K207" s="37"/>
      <c r="L207" s="5"/>
      <c r="M207" s="5"/>
    </row>
    <row r="208" spans="1:13">
      <c r="A208" s="32"/>
      <c r="C208" s="67"/>
      <c r="D208" s="67"/>
      <c r="E208" s="67"/>
      <c r="F208" s="67"/>
      <c r="G208" s="67"/>
      <c r="H208" s="67"/>
      <c r="I208" s="67"/>
      <c r="J208" s="67"/>
      <c r="K208" s="37"/>
      <c r="L208" s="5"/>
      <c r="M208" s="5"/>
    </row>
    <row r="209" spans="1:13" ht="15.75">
      <c r="A209" s="32"/>
      <c r="C209" s="393" t="s">
        <v>75</v>
      </c>
      <c r="D209" s="67"/>
      <c r="E209" s="67"/>
      <c r="F209" s="67"/>
      <c r="G209" s="67"/>
      <c r="H209" s="67"/>
      <c r="I209" s="67"/>
      <c r="J209" s="67"/>
      <c r="K209" s="37"/>
      <c r="L209" s="5"/>
      <c r="M209" s="5"/>
    </row>
    <row r="210" spans="1:13">
      <c r="A210" s="32"/>
      <c r="C210" s="67"/>
      <c r="D210" s="67"/>
      <c r="E210" s="67"/>
      <c r="F210" s="67"/>
      <c r="G210" s="67"/>
      <c r="H210" s="67"/>
      <c r="I210" s="67"/>
      <c r="J210" s="67"/>
      <c r="K210" s="37"/>
      <c r="L210" s="5"/>
      <c r="M210" s="5"/>
    </row>
    <row r="211" spans="1:13">
      <c r="A211" s="32">
        <v>6</v>
      </c>
      <c r="C211" s="67" t="s">
        <v>76</v>
      </c>
      <c r="D211" s="67"/>
      <c r="E211" s="66"/>
      <c r="F211" s="66"/>
      <c r="G211" s="66"/>
      <c r="H211" s="74"/>
      <c r="I211" s="66"/>
      <c r="J211" s="610">
        <f>E134</f>
        <v>16183911</v>
      </c>
      <c r="K211" s="37"/>
      <c r="L211" s="5"/>
      <c r="M211" s="5"/>
    </row>
    <row r="212" spans="1:13" ht="15.75" thickBot="1">
      <c r="A212" s="32">
        <v>7</v>
      </c>
      <c r="C212" s="433" t="s">
        <v>452</v>
      </c>
      <c r="D212" s="68"/>
      <c r="E212" s="69"/>
      <c r="F212" s="69"/>
      <c r="G212" s="37"/>
      <c r="H212" s="37"/>
      <c r="I212" s="37"/>
      <c r="J212" s="234">
        <f>'P5 Schedule 1 Charges acct 561'!D41</f>
        <v>562901</v>
      </c>
      <c r="K212" s="37"/>
      <c r="L212" s="5"/>
      <c r="M212" s="5"/>
    </row>
    <row r="213" spans="1:13">
      <c r="A213" s="32">
        <v>8</v>
      </c>
      <c r="C213" s="60" t="s">
        <v>180</v>
      </c>
      <c r="D213" s="71"/>
      <c r="E213" s="72"/>
      <c r="F213" s="72"/>
      <c r="G213" s="72"/>
      <c r="H213" s="73"/>
      <c r="I213" s="72"/>
      <c r="J213" s="610">
        <f>J211-J212</f>
        <v>15621010</v>
      </c>
      <c r="K213" s="67"/>
      <c r="M213" s="5"/>
    </row>
    <row r="214" spans="1:13">
      <c r="A214" s="32"/>
      <c r="C214" s="60"/>
      <c r="D214" s="66"/>
      <c r="E214" s="37"/>
      <c r="F214" s="37"/>
      <c r="G214" s="37"/>
      <c r="H214" s="37"/>
      <c r="I214" s="67"/>
      <c r="J214" s="67"/>
      <c r="K214" s="67"/>
      <c r="M214" s="5"/>
    </row>
    <row r="215" spans="1:13">
      <c r="A215" s="32">
        <v>9</v>
      </c>
      <c r="C215" s="60" t="s">
        <v>179</v>
      </c>
      <c r="D215" s="66"/>
      <c r="E215" s="37"/>
      <c r="F215" s="37"/>
      <c r="G215" s="37"/>
      <c r="H215" s="37"/>
      <c r="I215" s="37"/>
      <c r="J215" s="64">
        <f>IF(J211&gt;0,J213/J211,0)</f>
        <v>0.9652184814906607</v>
      </c>
      <c r="K215" s="67"/>
      <c r="M215" s="5"/>
    </row>
    <row r="216" spans="1:13">
      <c r="A216" s="32">
        <v>10</v>
      </c>
      <c r="C216" s="60" t="s">
        <v>385</v>
      </c>
      <c r="D216" s="66"/>
      <c r="E216" s="37"/>
      <c r="F216" s="37"/>
      <c r="G216" s="37"/>
      <c r="H216" s="37"/>
      <c r="I216" s="66" t="s">
        <v>19</v>
      </c>
      <c r="J216" s="75">
        <f>J207</f>
        <v>0.70516451836756744</v>
      </c>
      <c r="K216" s="67"/>
      <c r="M216" s="5"/>
    </row>
    <row r="217" spans="1:13">
      <c r="A217" s="32">
        <v>11</v>
      </c>
      <c r="C217" s="60" t="s">
        <v>386</v>
      </c>
      <c r="D217" s="66"/>
      <c r="E217" s="66"/>
      <c r="F217" s="66"/>
      <c r="G217" s="66"/>
      <c r="H217" s="66"/>
      <c r="I217" s="66" t="s">
        <v>77</v>
      </c>
      <c r="J217" s="76">
        <f>J216*J215</f>
        <v>0.68063782561983655</v>
      </c>
      <c r="K217" s="67"/>
      <c r="M217" s="5"/>
    </row>
    <row r="218" spans="1:13">
      <c r="A218" s="32"/>
      <c r="D218" s="1"/>
      <c r="E218" s="5"/>
      <c r="F218" s="5"/>
      <c r="G218" s="5"/>
      <c r="H218" s="6"/>
      <c r="I218" s="5"/>
      <c r="M218" s="5"/>
    </row>
    <row r="219" spans="1:13" ht="15.75">
      <c r="A219" s="32" t="s">
        <v>12</v>
      </c>
      <c r="C219" s="13" t="s">
        <v>79</v>
      </c>
      <c r="D219" s="5"/>
      <c r="E219" s="5"/>
      <c r="F219" s="5"/>
      <c r="G219" s="5"/>
      <c r="H219" s="5"/>
      <c r="I219" s="5"/>
      <c r="J219" s="5"/>
      <c r="K219" s="5"/>
      <c r="L219" s="5"/>
      <c r="M219" s="5"/>
    </row>
    <row r="220" spans="1:13" ht="15.75" thickBot="1">
      <c r="A220" s="32" t="s">
        <v>12</v>
      </c>
      <c r="C220" s="3"/>
      <c r="D220" s="44" t="s">
        <v>80</v>
      </c>
      <c r="E220" s="45" t="s">
        <v>81</v>
      </c>
      <c r="F220" s="45" t="s">
        <v>19</v>
      </c>
      <c r="G220" s="5"/>
      <c r="H220" s="45" t="s">
        <v>82</v>
      </c>
      <c r="I220" s="5"/>
      <c r="J220" s="5"/>
      <c r="K220" s="5"/>
      <c r="L220" s="5"/>
      <c r="M220" s="5"/>
    </row>
    <row r="221" spans="1:13">
      <c r="A221" s="32">
        <v>12</v>
      </c>
      <c r="C221" s="3" t="s">
        <v>35</v>
      </c>
      <c r="D221" s="729" t="str">
        <f>'DE Ohio &amp; Kentucky'!D222</f>
        <v>354.20.b</v>
      </c>
      <c r="E221" s="618">
        <f>INPUT!D105</f>
        <v>13330798</v>
      </c>
      <c r="F221" s="83">
        <v>0</v>
      </c>
      <c r="G221" s="22"/>
      <c r="H221" s="227">
        <f>E221*F221</f>
        <v>0</v>
      </c>
      <c r="I221" s="5"/>
      <c r="J221" s="5"/>
      <c r="K221" s="5"/>
      <c r="L221" s="5"/>
      <c r="M221" s="5"/>
    </row>
    <row r="222" spans="1:13">
      <c r="A222" s="32">
        <v>13</v>
      </c>
      <c r="C222" s="3" t="s">
        <v>37</v>
      </c>
      <c r="D222" s="729" t="str">
        <f>'DE Ohio &amp; Kentucky'!D223</f>
        <v>354.21.b</v>
      </c>
      <c r="E222" s="618">
        <f>INPUT!D106</f>
        <v>1047631</v>
      </c>
      <c r="F222" s="22">
        <f>J207</f>
        <v>0.70516451836756744</v>
      </c>
      <c r="G222" s="22"/>
      <c r="H222" s="227">
        <f>E222*F222</f>
        <v>738752.20954193303</v>
      </c>
      <c r="I222" s="5"/>
      <c r="J222" s="5"/>
      <c r="K222" s="5"/>
      <c r="L222" s="5"/>
      <c r="M222" s="1"/>
    </row>
    <row r="223" spans="1:13">
      <c r="A223" s="32">
        <v>14</v>
      </c>
      <c r="C223" s="3" t="s">
        <v>38</v>
      </c>
      <c r="D223" s="729" t="str">
        <f>'DE Ohio &amp; Kentucky'!D224</f>
        <v>354.23.b</v>
      </c>
      <c r="E223" s="618">
        <f>INPUT!D107</f>
        <v>5098233</v>
      </c>
      <c r="F223" s="83">
        <v>0</v>
      </c>
      <c r="G223" s="22"/>
      <c r="H223" s="227">
        <f>E223*F223</f>
        <v>0</v>
      </c>
      <c r="I223" s="5"/>
      <c r="J223" s="47" t="s">
        <v>84</v>
      </c>
      <c r="K223" s="5"/>
      <c r="L223" s="5"/>
      <c r="M223" s="5"/>
    </row>
    <row r="224" spans="1:13" ht="15.75" thickBot="1">
      <c r="A224" s="32">
        <v>15</v>
      </c>
      <c r="C224" s="3" t="s">
        <v>85</v>
      </c>
      <c r="D224" s="859" t="s">
        <v>699</v>
      </c>
      <c r="E224" s="617">
        <f>INPUT!D108</f>
        <v>3207728</v>
      </c>
      <c r="F224" s="83">
        <v>0</v>
      </c>
      <c r="G224" s="22"/>
      <c r="H224" s="228">
        <f>E224*F224</f>
        <v>0</v>
      </c>
      <c r="I224" s="5"/>
      <c r="J224" s="40" t="s">
        <v>86</v>
      </c>
      <c r="K224" s="5"/>
      <c r="L224" s="5"/>
      <c r="M224" s="5"/>
    </row>
    <row r="225" spans="1:13">
      <c r="A225" s="32">
        <v>16</v>
      </c>
      <c r="C225" s="3" t="s">
        <v>172</v>
      </c>
      <c r="D225" s="5"/>
      <c r="E225" s="616">
        <f>SUM(E221:E224)</f>
        <v>22684390</v>
      </c>
      <c r="F225" s="5"/>
      <c r="G225" s="5"/>
      <c r="H225" s="227">
        <f>SUM(H221:H224)</f>
        <v>738752.20954193303</v>
      </c>
      <c r="I225" s="4" t="s">
        <v>87</v>
      </c>
      <c r="J225" s="14">
        <f>IF(H225&gt;0,H225/E225,0)</f>
        <v>3.2566545079763351E-2</v>
      </c>
      <c r="K225" s="6" t="s">
        <v>87</v>
      </c>
      <c r="L225" s="5" t="s">
        <v>169</v>
      </c>
      <c r="M225" s="5"/>
    </row>
    <row r="226" spans="1:13">
      <c r="A226" s="32"/>
      <c r="C226" s="3"/>
      <c r="D226" s="5"/>
      <c r="E226" s="613"/>
      <c r="F226" s="5"/>
      <c r="G226" s="5"/>
      <c r="H226" s="5"/>
      <c r="I226" s="5"/>
      <c r="J226" s="5"/>
      <c r="K226" s="5"/>
      <c r="L226" s="5"/>
      <c r="M226" s="5" t="s">
        <v>12</v>
      </c>
    </row>
    <row r="227" spans="1:13" ht="15.75">
      <c r="A227" s="32"/>
      <c r="C227" s="13" t="s">
        <v>410</v>
      </c>
      <c r="D227" s="5"/>
      <c r="E227" s="613"/>
      <c r="F227" s="5"/>
      <c r="G227" s="5"/>
      <c r="H227" s="6" t="s">
        <v>88</v>
      </c>
      <c r="I227" s="16" t="s">
        <v>12</v>
      </c>
      <c r="J227" s="18" t="str">
        <f>J223</f>
        <v>W&amp;S Allocator</v>
      </c>
      <c r="M227" s="5"/>
    </row>
    <row r="228" spans="1:13" ht="15.75" thickBot="1">
      <c r="A228" s="32"/>
      <c r="C228" s="3"/>
      <c r="D228" s="5"/>
      <c r="E228" s="614" t="s">
        <v>81</v>
      </c>
      <c r="F228" s="5"/>
      <c r="G228" s="5"/>
      <c r="H228" s="32" t="s">
        <v>91</v>
      </c>
      <c r="I228" s="34"/>
      <c r="J228" s="32" t="s">
        <v>92</v>
      </c>
      <c r="K228" s="5"/>
      <c r="L228" s="519" t="s">
        <v>93</v>
      </c>
      <c r="M228" s="5"/>
    </row>
    <row r="229" spans="1:13">
      <c r="A229" s="32">
        <v>17</v>
      </c>
      <c r="C229" s="3" t="s">
        <v>89</v>
      </c>
      <c r="D229" s="729" t="str">
        <f>'DE Ohio &amp; Kentucky'!D230</f>
        <v>200.3.c</v>
      </c>
      <c r="E229" s="618">
        <f>INPUT!D113</f>
        <v>1457784689</v>
      </c>
      <c r="F229" s="5"/>
      <c r="H229" s="19">
        <f>IF(E232&gt;0,E229/E232,0)</f>
        <v>0.80572004107895512</v>
      </c>
      <c r="I229" s="6" t="s">
        <v>95</v>
      </c>
      <c r="J229" s="19">
        <f>J225</f>
        <v>3.2566545079763351E-2</v>
      </c>
      <c r="K229" s="16" t="s">
        <v>87</v>
      </c>
      <c r="L229" s="520">
        <f>J229*H229</f>
        <v>2.6239518039466572E-2</v>
      </c>
      <c r="M229" s="5"/>
    </row>
    <row r="230" spans="1:13">
      <c r="A230" s="32">
        <v>18</v>
      </c>
      <c r="C230" s="3" t="s">
        <v>94</v>
      </c>
      <c r="D230" s="729" t="str">
        <f>'DE Ohio &amp; Kentucky'!D231</f>
        <v>201.3.d</v>
      </c>
      <c r="E230" s="618">
        <f>INPUT!D114</f>
        <v>351509625</v>
      </c>
      <c r="F230" s="5"/>
      <c r="M230" s="5"/>
    </row>
    <row r="231" spans="1:13" ht="15.75" thickBot="1">
      <c r="A231" s="32">
        <v>19</v>
      </c>
      <c r="C231" s="54" t="s">
        <v>96</v>
      </c>
      <c r="D231" s="54" t="str">
        <f>'DE Ohio &amp; Kentucky'!D232</f>
        <v>201.3.e</v>
      </c>
      <c r="E231" s="617">
        <f>INPUT!D115</f>
        <v>0</v>
      </c>
      <c r="F231" s="5"/>
      <c r="G231" s="5"/>
      <c r="H231" s="5" t="s">
        <v>12</v>
      </c>
      <c r="I231" s="5"/>
      <c r="J231" s="5"/>
      <c r="K231" s="5"/>
      <c r="L231" s="5"/>
      <c r="M231" s="5"/>
    </row>
    <row r="232" spans="1:13">
      <c r="A232" s="32">
        <v>20</v>
      </c>
      <c r="C232" s="3" t="s">
        <v>151</v>
      </c>
      <c r="D232" s="5"/>
      <c r="E232" s="227">
        <f>E229+E230+E231</f>
        <v>1809294314</v>
      </c>
      <c r="F232" s="5"/>
      <c r="G232" s="5"/>
      <c r="H232" s="5"/>
      <c r="I232" s="5"/>
      <c r="J232" s="5"/>
      <c r="K232" s="5"/>
      <c r="L232" s="5"/>
      <c r="M232" s="5"/>
    </row>
    <row r="233" spans="1:13">
      <c r="A233" s="32"/>
      <c r="C233" s="3"/>
      <c r="D233" s="5"/>
      <c r="F233" s="5"/>
      <c r="G233" s="5"/>
      <c r="H233" s="5"/>
      <c r="I233" s="5"/>
      <c r="J233" s="5"/>
      <c r="K233" s="5"/>
      <c r="L233" s="5"/>
      <c r="M233" s="5"/>
    </row>
    <row r="234" spans="1:13" ht="16.5" thickBot="1">
      <c r="A234" s="32"/>
      <c r="B234" s="31"/>
      <c r="C234" s="392" t="s">
        <v>97</v>
      </c>
      <c r="D234" s="5"/>
      <c r="E234" s="5"/>
      <c r="F234" s="5"/>
      <c r="G234" s="5"/>
      <c r="H234" s="5"/>
      <c r="I234" s="5"/>
      <c r="J234" s="45" t="s">
        <v>81</v>
      </c>
      <c r="K234" s="5"/>
      <c r="L234" s="5"/>
      <c r="M234" s="5"/>
    </row>
    <row r="235" spans="1:13">
      <c r="A235" s="32">
        <v>21</v>
      </c>
      <c r="B235" s="31"/>
      <c r="C235" s="31"/>
      <c r="D235" s="729" t="str">
        <f>'DE Ohio &amp; Kentucky'!D236</f>
        <v>Long Term Interest (117, sum of 62.c through 67.c)</v>
      </c>
      <c r="E235" s="5"/>
      <c r="F235" s="5"/>
      <c r="G235" s="5"/>
      <c r="H235" s="5"/>
      <c r="I235" s="5"/>
      <c r="J235" s="607">
        <f>INPUT!D119</f>
        <v>13042086</v>
      </c>
      <c r="K235" s="5"/>
      <c r="L235" s="5"/>
      <c r="M235" s="5"/>
    </row>
    <row r="236" spans="1:13">
      <c r="A236" s="32"/>
      <c r="C236" s="3"/>
      <c r="D236" s="5"/>
      <c r="E236" s="5"/>
      <c r="F236" s="5"/>
      <c r="G236" s="5"/>
      <c r="H236" s="5"/>
      <c r="I236" s="5"/>
      <c r="J236" s="616"/>
      <c r="K236" s="5"/>
      <c r="L236" s="5"/>
      <c r="M236" s="5"/>
    </row>
    <row r="237" spans="1:13">
      <c r="A237" s="32">
        <v>22</v>
      </c>
      <c r="B237" s="31"/>
      <c r="C237" s="29"/>
      <c r="D237" s="729" t="str">
        <f>'DE Ohio &amp; Kentucky'!D238</f>
        <v>Preferred Dividends (118.29c) (positive number)</v>
      </c>
      <c r="E237" s="5"/>
      <c r="F237" s="5"/>
      <c r="G237" s="5"/>
      <c r="H237" s="5"/>
      <c r="I237" s="37"/>
      <c r="J237" s="606">
        <f>INPUT!D121</f>
        <v>0</v>
      </c>
      <c r="K237" s="5"/>
      <c r="L237" s="5"/>
      <c r="M237" s="5"/>
    </row>
    <row r="238" spans="1:13">
      <c r="A238" s="32"/>
      <c r="B238" s="31"/>
      <c r="C238" s="29"/>
      <c r="D238" s="5"/>
      <c r="E238" s="5"/>
      <c r="F238" s="5"/>
      <c r="G238" s="5"/>
      <c r="H238" s="5"/>
      <c r="I238" s="5"/>
      <c r="J238" s="616"/>
      <c r="K238" s="5"/>
      <c r="L238" s="5"/>
      <c r="M238" s="5"/>
    </row>
    <row r="239" spans="1:13">
      <c r="A239" s="32"/>
      <c r="B239" s="31"/>
      <c r="C239" s="29" t="s">
        <v>99</v>
      </c>
      <c r="D239" s="5"/>
      <c r="E239" s="5"/>
      <c r="F239" s="5"/>
      <c r="G239" s="5"/>
      <c r="H239" s="5"/>
      <c r="I239" s="5"/>
      <c r="J239" s="616"/>
      <c r="K239" s="5"/>
      <c r="L239" s="5"/>
      <c r="M239" s="5"/>
    </row>
    <row r="240" spans="1:13">
      <c r="A240" s="32">
        <v>23</v>
      </c>
      <c r="B240" s="31"/>
      <c r="C240" s="29"/>
      <c r="D240" s="729" t="str">
        <f>'DE Ohio &amp; Kentucky'!D241</f>
        <v>Proprietary Capital (112.16.c)</v>
      </c>
      <c r="E240" s="31"/>
      <c r="F240" s="5"/>
      <c r="G240" s="5"/>
      <c r="H240" s="5"/>
      <c r="I240" s="5"/>
      <c r="J240" s="618">
        <f>INPUT!D124</f>
        <v>404431559</v>
      </c>
      <c r="K240" s="5"/>
      <c r="L240" s="5"/>
      <c r="M240" s="5"/>
    </row>
    <row r="241" spans="1:13">
      <c r="A241" s="32">
        <v>24</v>
      </c>
      <c r="B241" s="31"/>
      <c r="C241" s="29"/>
      <c r="D241" s="729" t="str">
        <f>'DE Ohio &amp; Kentucky'!D242</f>
        <v xml:space="preserve">Less Preferred Stock (line 28) </v>
      </c>
      <c r="E241" s="5"/>
      <c r="F241" s="5"/>
      <c r="G241" s="5"/>
      <c r="H241" s="5"/>
      <c r="I241" s="5"/>
      <c r="J241" s="612">
        <f>INPUT!D125</f>
        <v>0</v>
      </c>
      <c r="K241" s="5"/>
      <c r="L241" s="5"/>
      <c r="M241" s="5"/>
    </row>
    <row r="242" spans="1:13" ht="15.75" thickBot="1">
      <c r="A242" s="32">
        <v>25</v>
      </c>
      <c r="B242" s="31"/>
      <c r="C242" s="29"/>
      <c r="D242" s="729" t="str">
        <f>'DE Ohio &amp; Kentucky'!D243</f>
        <v>Less Account 216.1 (112.12.c)  (enter negative)</v>
      </c>
      <c r="E242" s="5"/>
      <c r="F242" s="5"/>
      <c r="G242" s="5"/>
      <c r="H242" s="5"/>
      <c r="I242" s="5"/>
      <c r="J242" s="617">
        <f>INPUT!D126</f>
        <v>0</v>
      </c>
      <c r="K242" s="5"/>
      <c r="L242" s="5"/>
      <c r="M242" s="5"/>
    </row>
    <row r="243" spans="1:13">
      <c r="A243" s="32">
        <v>26</v>
      </c>
      <c r="B243" s="31"/>
      <c r="C243" s="31"/>
      <c r="D243" s="729" t="str">
        <f>'DE Ohio &amp; Kentucky'!D244</f>
        <v>Common Stock (sum lines 23-25)</v>
      </c>
      <c r="E243" s="31"/>
      <c r="F243" s="31"/>
      <c r="G243" s="31"/>
      <c r="H243" s="31"/>
      <c r="I243" s="31"/>
      <c r="J243" s="227">
        <f>J240+J241+J242</f>
        <v>404431559</v>
      </c>
      <c r="K243" s="5"/>
      <c r="L243" s="5"/>
      <c r="M243" s="5"/>
    </row>
    <row r="244" spans="1:13">
      <c r="A244" s="32"/>
      <c r="C244" s="3"/>
      <c r="D244" s="5"/>
      <c r="E244" s="5"/>
      <c r="F244" s="5"/>
      <c r="G244" s="5"/>
      <c r="H244" s="6"/>
      <c r="I244" s="5"/>
      <c r="J244" s="5"/>
      <c r="K244" s="5"/>
      <c r="L244" s="5"/>
      <c r="M244" s="5"/>
    </row>
    <row r="245" spans="1:13" ht="15.75" thickBot="1">
      <c r="A245" s="32"/>
      <c r="C245" s="3"/>
      <c r="D245" s="6" t="str">
        <f>'DE Ohio &amp; Kentucky'!D246</f>
        <v>(Note P)</v>
      </c>
      <c r="E245" s="40" t="s">
        <v>81</v>
      </c>
      <c r="F245" s="40" t="s">
        <v>102</v>
      </c>
      <c r="G245" s="5"/>
      <c r="H245" s="40" t="s">
        <v>101</v>
      </c>
      <c r="I245" s="5"/>
      <c r="J245" s="40" t="s">
        <v>103</v>
      </c>
      <c r="K245" s="5"/>
      <c r="L245" s="5"/>
      <c r="M245" s="5"/>
    </row>
    <row r="246" spans="1:13">
      <c r="A246" s="32">
        <v>27</v>
      </c>
      <c r="C246" s="65" t="s">
        <v>209</v>
      </c>
      <c r="E246" s="618">
        <f>INPUT!D130</f>
        <v>316720000</v>
      </c>
      <c r="F246" s="55">
        <f>IF($E$249&gt;0,E246/$E$249,0)</f>
        <v>0.43918645955530689</v>
      </c>
      <c r="G246" s="23"/>
      <c r="H246" s="23">
        <f>IF(E246&gt;0,J235/E246,0)</f>
        <v>4.1178599393786312E-2</v>
      </c>
      <c r="J246" s="23">
        <f>ROUND(H246*F246,4)</f>
        <v>1.8100000000000002E-2</v>
      </c>
      <c r="K246" s="24" t="s">
        <v>104</v>
      </c>
      <c r="M246" s="5"/>
    </row>
    <row r="247" spans="1:13">
      <c r="A247" s="32">
        <v>28</v>
      </c>
      <c r="C247" s="65" t="s">
        <v>210</v>
      </c>
      <c r="E247" s="618">
        <f>INPUT!D131</f>
        <v>0</v>
      </c>
      <c r="F247" s="55">
        <f>IF($E$249&gt;0,E247/$E$249,0)</f>
        <v>0</v>
      </c>
      <c r="G247" s="23"/>
      <c r="H247" s="23">
        <f>IF(E247&gt;0,J237/E247,0)</f>
        <v>0</v>
      </c>
      <c r="J247" s="23">
        <f>ROUND(H247*F247,4)</f>
        <v>0</v>
      </c>
      <c r="K247" s="5"/>
      <c r="M247" s="5"/>
    </row>
    <row r="248" spans="1:13" ht="16.5" thickBot="1">
      <c r="A248" s="32">
        <v>29</v>
      </c>
      <c r="C248" s="29" t="s">
        <v>105</v>
      </c>
      <c r="E248" s="228">
        <f>J243</f>
        <v>404431559</v>
      </c>
      <c r="F248" s="55">
        <f>IF($E$249&gt;0,E248/$E$249,0)</f>
        <v>0.56081354044469311</v>
      </c>
      <c r="G248" s="23"/>
      <c r="H248" s="213">
        <f>ROE</f>
        <v>0.1138</v>
      </c>
      <c r="J248" s="61">
        <f>ROUND(H248*F248,4)</f>
        <v>6.3799999999999996E-2</v>
      </c>
      <c r="K248" s="5"/>
      <c r="M248" s="5"/>
    </row>
    <row r="249" spans="1:13">
      <c r="A249" s="32">
        <v>30</v>
      </c>
      <c r="C249" s="3" t="s">
        <v>171</v>
      </c>
      <c r="E249" s="227">
        <f>E248+E247+E246</f>
        <v>721151559</v>
      </c>
      <c r="F249" s="5" t="s">
        <v>12</v>
      </c>
      <c r="G249" s="5"/>
      <c r="H249" s="5"/>
      <c r="I249" s="5"/>
      <c r="J249" s="23">
        <f>SUM(J246:J248)</f>
        <v>8.1900000000000001E-2</v>
      </c>
      <c r="K249" s="24" t="s">
        <v>106</v>
      </c>
      <c r="M249" s="5"/>
    </row>
    <row r="250" spans="1:13">
      <c r="F250" s="5"/>
      <c r="G250" s="5"/>
      <c r="H250" s="5"/>
      <c r="I250" s="5"/>
      <c r="M250" s="5"/>
    </row>
    <row r="251" spans="1:13" ht="15.75">
      <c r="C251" s="392"/>
      <c r="L251" s="5"/>
      <c r="M251" s="5"/>
    </row>
    <row r="252" spans="1:13" ht="15.75">
      <c r="A252" s="32"/>
      <c r="C252" s="392" t="s">
        <v>107</v>
      </c>
      <c r="D252" s="31"/>
      <c r="E252" s="31"/>
      <c r="F252" s="31"/>
      <c r="G252" s="31"/>
      <c r="H252" s="31"/>
      <c r="I252" s="31"/>
      <c r="J252" s="31"/>
      <c r="K252" s="31"/>
      <c r="L252" s="31"/>
      <c r="M252" s="5"/>
    </row>
    <row r="253" spans="1:13" ht="15.75" thickBot="1">
      <c r="A253" s="32"/>
      <c r="C253" s="29"/>
      <c r="D253" s="29"/>
      <c r="E253" s="29"/>
      <c r="F253" s="29"/>
      <c r="G253" s="29"/>
      <c r="H253" s="29"/>
      <c r="I253" s="29"/>
      <c r="J253" s="40" t="s">
        <v>152</v>
      </c>
      <c r="K253" s="58"/>
    </row>
    <row r="254" spans="1:13">
      <c r="A254" s="32"/>
      <c r="C254" s="430" t="s">
        <v>453</v>
      </c>
      <c r="D254" s="31"/>
      <c r="E254" s="31" t="s">
        <v>108</v>
      </c>
      <c r="F254" s="31"/>
      <c r="G254" s="31"/>
      <c r="H254" s="35" t="s">
        <v>12</v>
      </c>
      <c r="I254" s="28"/>
      <c r="J254" s="237"/>
      <c r="K254" s="237"/>
    </row>
    <row r="255" spans="1:13">
      <c r="A255" s="32">
        <v>31</v>
      </c>
      <c r="C255" s="12" t="s">
        <v>149</v>
      </c>
      <c r="D255" s="31"/>
      <c r="E255" s="31"/>
      <c r="G255" s="31"/>
      <c r="I255" s="28"/>
      <c r="J255" s="412">
        <v>0</v>
      </c>
      <c r="K255" s="238"/>
    </row>
    <row r="256" spans="1:13" ht="15.75" thickBot="1">
      <c r="A256" s="32">
        <v>32</v>
      </c>
      <c r="C256" s="56" t="s">
        <v>414</v>
      </c>
      <c r="D256" s="53"/>
      <c r="E256" s="56"/>
      <c r="F256" s="52"/>
      <c r="G256" s="52"/>
      <c r="H256" s="52"/>
      <c r="I256" s="31"/>
      <c r="J256" s="413">
        <v>0</v>
      </c>
      <c r="K256" s="239"/>
    </row>
    <row r="257" spans="1:13">
      <c r="A257" s="32">
        <v>33</v>
      </c>
      <c r="C257" s="12" t="s">
        <v>109</v>
      </c>
      <c r="D257" s="1"/>
      <c r="F257" s="31"/>
      <c r="G257" s="31"/>
      <c r="H257" s="31"/>
      <c r="I257" s="31"/>
      <c r="J257" s="248">
        <f>J255-J256</f>
        <v>0</v>
      </c>
      <c r="K257" s="238"/>
    </row>
    <row r="258" spans="1:13">
      <c r="A258" s="32"/>
      <c r="C258" s="12" t="s">
        <v>12</v>
      </c>
      <c r="D258" s="1"/>
      <c r="F258" s="31"/>
      <c r="G258" s="31"/>
      <c r="H258" s="46"/>
      <c r="I258" s="31"/>
      <c r="J258" s="41" t="s">
        <v>12</v>
      </c>
      <c r="K258" s="237"/>
      <c r="L258" s="42"/>
      <c r="M258" s="5"/>
    </row>
    <row r="259" spans="1:13">
      <c r="A259" s="32">
        <v>34</v>
      </c>
      <c r="C259" s="430" t="s">
        <v>443</v>
      </c>
      <c r="D259" s="1"/>
      <c r="F259" s="31"/>
      <c r="G259" s="31"/>
      <c r="H259" s="57"/>
      <c r="I259" s="31"/>
      <c r="J259" s="116">
        <f>ROUND('P8 Rev Cred Support'!E20,0)</f>
        <v>18823</v>
      </c>
      <c r="K259" s="237"/>
      <c r="L259" s="42"/>
      <c r="M259" s="5"/>
    </row>
    <row r="260" spans="1:13">
      <c r="A260" s="32"/>
      <c r="D260" s="31"/>
      <c r="E260" s="31"/>
      <c r="F260" s="31"/>
      <c r="G260" s="31"/>
      <c r="H260" s="31"/>
      <c r="I260" s="31"/>
      <c r="J260" s="79"/>
      <c r="K260" s="237"/>
      <c r="L260" s="42"/>
      <c r="M260" s="5"/>
    </row>
    <row r="261" spans="1:13">
      <c r="A261" s="32">
        <v>35</v>
      </c>
      <c r="C261" s="430" t="s">
        <v>466</v>
      </c>
      <c r="D261" s="31"/>
      <c r="E261" s="31" t="s">
        <v>110</v>
      </c>
      <c r="F261" s="31"/>
      <c r="G261" s="31"/>
      <c r="H261" s="31"/>
      <c r="I261" s="31"/>
      <c r="J261" s="116">
        <f>'P8 Rev Cred Support'!E50</f>
        <v>40934</v>
      </c>
      <c r="L261" s="43"/>
      <c r="M261" s="5"/>
    </row>
    <row r="262" spans="1:13">
      <c r="A262" s="32"/>
      <c r="C262" s="29"/>
      <c r="D262" s="29"/>
      <c r="E262" s="30"/>
      <c r="F262" s="29"/>
      <c r="G262" s="29"/>
      <c r="H262" s="29"/>
      <c r="I262" s="31"/>
      <c r="K262" s="32"/>
      <c r="L262" s="92"/>
      <c r="M262" s="32"/>
    </row>
    <row r="263" spans="1:13" ht="18">
      <c r="A263" s="244"/>
      <c r="C263" s="29"/>
      <c r="D263" s="29"/>
      <c r="E263" s="30"/>
      <c r="F263" s="29"/>
      <c r="G263" s="29"/>
      <c r="H263" s="29"/>
      <c r="I263" s="31"/>
      <c r="J263" s="77" t="s">
        <v>369</v>
      </c>
      <c r="K263" s="91"/>
      <c r="M263" s="91"/>
    </row>
    <row r="264" spans="1:13">
      <c r="C264" s="29"/>
      <c r="D264" s="29"/>
      <c r="E264" s="30"/>
      <c r="F264" s="29"/>
      <c r="G264" s="29"/>
      <c r="H264" s="29"/>
      <c r="I264" s="31"/>
      <c r="J264" s="77" t="s">
        <v>573</v>
      </c>
      <c r="M264" s="77"/>
    </row>
    <row r="265" spans="1:13">
      <c r="C265" s="29"/>
      <c r="D265" s="29"/>
      <c r="E265" s="30"/>
      <c r="F265" s="29"/>
      <c r="G265" s="29"/>
      <c r="H265" s="29"/>
      <c r="I265" s="31"/>
      <c r="J265" s="77"/>
      <c r="M265" s="77"/>
    </row>
    <row r="266" spans="1:13">
      <c r="C266" s="29"/>
      <c r="D266" s="29"/>
      <c r="E266" s="30"/>
      <c r="F266" s="29"/>
      <c r="G266" s="29"/>
      <c r="H266" s="29"/>
      <c r="I266" s="31"/>
      <c r="M266" s="77"/>
    </row>
    <row r="267" spans="1:13">
      <c r="C267" s="29"/>
      <c r="D267" s="29"/>
      <c r="E267" s="30"/>
      <c r="F267" s="29"/>
      <c r="G267" s="29"/>
      <c r="H267" s="29"/>
      <c r="I267" s="31"/>
      <c r="K267" s="1"/>
      <c r="M267" s="77"/>
    </row>
    <row r="268" spans="1:13">
      <c r="C268" s="29" t="s">
        <v>11</v>
      </c>
      <c r="D268" s="29"/>
      <c r="E268" s="30"/>
      <c r="F268" s="29"/>
      <c r="G268" s="29"/>
      <c r="H268" s="29"/>
      <c r="I268" s="31"/>
      <c r="J268" s="77"/>
      <c r="K268" s="1"/>
      <c r="M268" s="77"/>
    </row>
    <row r="269" spans="1:13">
      <c r="C269" s="29"/>
      <c r="D269" s="29"/>
      <c r="E269" s="30"/>
      <c r="F269" s="29"/>
      <c r="G269" s="29"/>
      <c r="H269" s="29"/>
      <c r="I269" s="31"/>
      <c r="J269" s="92" t="str">
        <f>$J$7</f>
        <v>For the 12 months ended: 12/31/2015</v>
      </c>
      <c r="K269" s="1"/>
      <c r="M269" s="77"/>
    </row>
    <row r="270" spans="1:13">
      <c r="A270" s="12" t="str">
        <f>$A$8</f>
        <v>Rate Formula Template</v>
      </c>
      <c r="B270" s="279"/>
      <c r="C270" s="279"/>
      <c r="D270" s="277"/>
      <c r="E270" s="279"/>
      <c r="F270" s="277"/>
      <c r="G270" s="277"/>
      <c r="H270" s="277"/>
      <c r="I270" s="277"/>
      <c r="J270" s="279"/>
      <c r="K270" s="60"/>
      <c r="L270" s="279"/>
      <c r="M270" s="1"/>
    </row>
    <row r="271" spans="1:13">
      <c r="A271" s="305" t="s">
        <v>331</v>
      </c>
      <c r="B271" s="279"/>
      <c r="C271" s="277"/>
      <c r="D271" s="280"/>
      <c r="E271" s="279"/>
      <c r="F271" s="280"/>
      <c r="G271" s="280"/>
      <c r="H271" s="280"/>
      <c r="I271" s="277"/>
      <c r="J271" s="277"/>
      <c r="K271" s="60"/>
      <c r="L271" s="273"/>
      <c r="M271" s="1"/>
    </row>
    <row r="272" spans="1:13">
      <c r="A272" s="280"/>
      <c r="B272" s="279"/>
      <c r="C272" s="273"/>
      <c r="D272" s="273"/>
      <c r="E272" s="279"/>
      <c r="F272" s="273"/>
      <c r="G272" s="273"/>
      <c r="H272" s="273"/>
      <c r="I272" s="273"/>
      <c r="J272" s="273"/>
      <c r="K272" s="60"/>
      <c r="L272" s="273"/>
      <c r="M272" s="31"/>
    </row>
    <row r="273" spans="1:13">
      <c r="A273" s="273" t="s">
        <v>216</v>
      </c>
      <c r="B273" s="279"/>
      <c r="C273" s="273"/>
      <c r="D273" s="273"/>
      <c r="E273" s="279"/>
      <c r="F273" s="273"/>
      <c r="G273" s="273"/>
      <c r="H273" s="273"/>
      <c r="I273" s="273"/>
      <c r="J273" s="273"/>
      <c r="K273" s="60"/>
      <c r="L273" s="273"/>
      <c r="M273" s="31"/>
    </row>
    <row r="274" spans="1:13" ht="15.75">
      <c r="A274" s="276"/>
      <c r="B274" s="31"/>
      <c r="C274" s="39"/>
      <c r="D274" s="32"/>
      <c r="E274" s="5"/>
      <c r="F274" s="5"/>
      <c r="G274" s="5"/>
      <c r="H274" s="5"/>
      <c r="I274" s="31"/>
      <c r="J274" s="241"/>
      <c r="K274" s="60"/>
      <c r="L274" s="240"/>
      <c r="M274" s="31"/>
    </row>
    <row r="275" spans="1:13" ht="20.25">
      <c r="A275" s="32"/>
      <c r="B275" s="31"/>
      <c r="C275" s="29" t="s">
        <v>111</v>
      </c>
      <c r="D275" s="32"/>
      <c r="E275" s="5"/>
      <c r="F275" s="5"/>
      <c r="G275" s="5"/>
      <c r="H275" s="5"/>
      <c r="I275" s="31"/>
      <c r="J275" s="5"/>
      <c r="K275" s="60"/>
      <c r="L275" s="5"/>
      <c r="M275" s="242"/>
    </row>
    <row r="276" spans="1:13" ht="20.25">
      <c r="A276" s="32" t="s">
        <v>113</v>
      </c>
      <c r="B276" s="31"/>
      <c r="C276" s="29" t="s">
        <v>112</v>
      </c>
      <c r="D276" s="31"/>
      <c r="E276" s="5"/>
      <c r="F276" s="5"/>
      <c r="G276" s="5"/>
      <c r="H276" s="5"/>
      <c r="I276" s="31"/>
      <c r="J276" s="5"/>
      <c r="K276" s="60"/>
      <c r="L276" s="5"/>
      <c r="M276" s="242"/>
    </row>
    <row r="277" spans="1:13" ht="20.25">
      <c r="A277" s="290" t="s">
        <v>114</v>
      </c>
      <c r="B277" s="31"/>
      <c r="C277" s="29"/>
      <c r="D277" s="31"/>
      <c r="E277" s="5"/>
      <c r="F277" s="5"/>
      <c r="G277" s="5"/>
      <c r="H277" s="5"/>
      <c r="I277" s="31"/>
      <c r="J277" s="5"/>
      <c r="K277" s="60"/>
      <c r="L277" s="5"/>
      <c r="M277" s="242"/>
    </row>
    <row r="278" spans="1:13" ht="20.25">
      <c r="A278" s="830" t="s">
        <v>115</v>
      </c>
      <c r="B278" s="829"/>
      <c r="C278" s="905" t="s">
        <v>692</v>
      </c>
      <c r="D278" s="60"/>
      <c r="E278" s="37"/>
      <c r="F278" s="37"/>
      <c r="G278" s="37"/>
      <c r="H278" s="37"/>
      <c r="I278" s="60"/>
      <c r="J278" s="37"/>
      <c r="K278" s="60"/>
      <c r="L278" s="37"/>
      <c r="M278" s="243"/>
    </row>
    <row r="279" spans="1:13" s="892" customFormat="1" ht="20.45" customHeight="1">
      <c r="A279" s="830"/>
      <c r="B279" s="829"/>
      <c r="C279" s="905" t="s">
        <v>693</v>
      </c>
      <c r="D279" s="847"/>
      <c r="E279" s="831"/>
      <c r="F279" s="831"/>
      <c r="G279" s="831"/>
      <c r="H279" s="831"/>
      <c r="I279" s="847"/>
      <c r="J279" s="831"/>
      <c r="K279" s="847"/>
      <c r="L279" s="831"/>
      <c r="M279" s="834"/>
    </row>
    <row r="280" spans="1:13" s="892" customFormat="1" ht="20.45" customHeight="1">
      <c r="A280" s="830"/>
      <c r="B280" s="829"/>
      <c r="C280" s="905" t="s">
        <v>705</v>
      </c>
      <c r="D280" s="847"/>
      <c r="E280" s="831"/>
      <c r="F280" s="831"/>
      <c r="G280" s="831"/>
      <c r="H280" s="831"/>
      <c r="I280" s="847"/>
      <c r="J280" s="831"/>
      <c r="K280" s="847"/>
      <c r="L280" s="831"/>
      <c r="M280" s="834"/>
    </row>
    <row r="281" spans="1:13" ht="20.25">
      <c r="A281" s="833" t="s">
        <v>116</v>
      </c>
      <c r="B281" s="847"/>
      <c r="C281" s="897" t="s">
        <v>695</v>
      </c>
      <c r="D281" s="60"/>
      <c r="E281" s="37"/>
      <c r="F281" s="37"/>
      <c r="G281" s="37"/>
      <c r="H281" s="37"/>
      <c r="I281" s="60"/>
      <c r="J281" s="37"/>
      <c r="K281" s="60"/>
      <c r="L281" s="37"/>
      <c r="M281" s="243"/>
    </row>
    <row r="282" spans="1:13" s="828" customFormat="1" ht="20.25">
      <c r="A282" s="833"/>
      <c r="B282" s="847"/>
      <c r="C282" s="896" t="s">
        <v>696</v>
      </c>
      <c r="D282" s="832"/>
      <c r="E282" s="831"/>
      <c r="F282" s="831"/>
      <c r="G282" s="831"/>
      <c r="H282" s="831"/>
      <c r="I282" s="832"/>
      <c r="J282" s="831"/>
      <c r="K282" s="832"/>
      <c r="L282" s="831"/>
      <c r="M282" s="834"/>
    </row>
    <row r="283" spans="1:13" s="828" customFormat="1" ht="20.25">
      <c r="A283" s="833"/>
      <c r="B283" s="847"/>
      <c r="C283" s="897" t="s">
        <v>706</v>
      </c>
      <c r="D283" s="832"/>
      <c r="E283" s="831"/>
      <c r="F283" s="831"/>
      <c r="G283" s="831"/>
      <c r="H283" s="831"/>
      <c r="I283" s="832"/>
      <c r="J283" s="831"/>
      <c r="K283" s="832"/>
      <c r="L283" s="831"/>
      <c r="M283" s="834"/>
    </row>
    <row r="284" spans="1:13" ht="20.25">
      <c r="A284" s="833" t="s">
        <v>117</v>
      </c>
      <c r="B284" s="847"/>
      <c r="C284" s="861" t="s">
        <v>364</v>
      </c>
      <c r="D284" s="60"/>
      <c r="E284" s="60"/>
      <c r="F284" s="60"/>
      <c r="G284" s="60"/>
      <c r="H284" s="60"/>
      <c r="I284" s="60"/>
      <c r="J284" s="37"/>
      <c r="K284" s="60"/>
      <c r="L284" s="60"/>
      <c r="M284" s="243"/>
    </row>
    <row r="285" spans="1:13" s="828" customFormat="1" ht="20.25">
      <c r="A285" s="833" t="s">
        <v>118</v>
      </c>
      <c r="B285" s="847"/>
      <c r="C285" s="861" t="s">
        <v>364</v>
      </c>
      <c r="D285" s="832"/>
      <c r="E285" s="832"/>
      <c r="F285" s="832"/>
      <c r="G285" s="832"/>
      <c r="H285" s="832"/>
      <c r="I285" s="832"/>
      <c r="J285" s="831"/>
      <c r="K285" s="832"/>
      <c r="L285" s="832"/>
      <c r="M285" s="834"/>
    </row>
    <row r="286" spans="1:13" s="828" customFormat="1" ht="20.25">
      <c r="A286" s="833" t="s">
        <v>119</v>
      </c>
      <c r="B286" s="847"/>
      <c r="C286" s="847" t="s">
        <v>473</v>
      </c>
      <c r="D286" s="832"/>
      <c r="E286" s="832"/>
      <c r="F286" s="832"/>
      <c r="G286" s="832"/>
      <c r="H286" s="832"/>
      <c r="I286" s="832"/>
      <c r="J286" s="831"/>
      <c r="K286" s="832"/>
      <c r="L286" s="832"/>
      <c r="M286" s="834"/>
    </row>
    <row r="287" spans="1:13" ht="20.25">
      <c r="A287" s="833"/>
      <c r="B287" s="847"/>
      <c r="C287" s="847" t="s">
        <v>541</v>
      </c>
      <c r="D287" s="60"/>
      <c r="E287" s="60"/>
      <c r="F287" s="60"/>
      <c r="G287" s="60"/>
      <c r="H287" s="60"/>
      <c r="I287" s="60"/>
      <c r="J287" s="37"/>
      <c r="K287" s="60"/>
      <c r="L287" s="60"/>
      <c r="M287" s="243"/>
    </row>
    <row r="288" spans="1:13" ht="20.25">
      <c r="A288" s="830" t="s">
        <v>120</v>
      </c>
      <c r="B288" s="829"/>
      <c r="C288" s="847" t="s">
        <v>264</v>
      </c>
      <c r="D288" s="60"/>
      <c r="E288" s="60"/>
      <c r="F288" s="60"/>
      <c r="G288" s="60"/>
      <c r="H288" s="60"/>
      <c r="I288" s="60"/>
      <c r="J288" s="37"/>
      <c r="K288" s="60"/>
      <c r="L288" s="60"/>
      <c r="M288" s="243"/>
    </row>
    <row r="289" spans="1:13" ht="20.25">
      <c r="A289" s="830"/>
      <c r="B289" s="829"/>
      <c r="C289" s="847" t="s">
        <v>265</v>
      </c>
      <c r="D289" s="60"/>
      <c r="E289" s="60"/>
      <c r="F289" s="60"/>
      <c r="G289" s="60"/>
      <c r="H289" s="60"/>
      <c r="I289" s="60"/>
      <c r="J289" s="37"/>
      <c r="K289" s="60"/>
      <c r="L289" s="60"/>
      <c r="M289" s="243"/>
    </row>
    <row r="290" spans="1:13" ht="20.25">
      <c r="A290" s="830"/>
      <c r="B290" s="829"/>
      <c r="C290" s="847" t="s">
        <v>243</v>
      </c>
      <c r="D290" s="60"/>
      <c r="E290" s="60"/>
      <c r="F290" s="60"/>
      <c r="G290" s="60"/>
      <c r="H290" s="60"/>
      <c r="I290" s="60"/>
      <c r="J290" s="60"/>
      <c r="K290" s="60"/>
      <c r="L290" s="60"/>
      <c r="M290" s="243"/>
    </row>
    <row r="291" spans="1:13" ht="20.25">
      <c r="A291" s="830" t="s">
        <v>121</v>
      </c>
      <c r="B291" s="829"/>
      <c r="C291" s="847" t="s">
        <v>122</v>
      </c>
      <c r="D291" s="60"/>
      <c r="E291" s="60"/>
      <c r="F291" s="60"/>
      <c r="G291" s="60"/>
      <c r="H291" s="60"/>
      <c r="I291" s="60"/>
      <c r="J291" s="60"/>
      <c r="K291" s="60"/>
      <c r="L291" s="60"/>
      <c r="M291" s="243"/>
    </row>
    <row r="292" spans="1:13" ht="20.25">
      <c r="A292" s="830" t="s">
        <v>123</v>
      </c>
      <c r="B292" s="829"/>
      <c r="C292" s="847" t="s">
        <v>124</v>
      </c>
      <c r="D292" s="60"/>
      <c r="E292" s="60"/>
      <c r="F292" s="60"/>
      <c r="G292" s="60"/>
      <c r="H292" s="60"/>
      <c r="I292" s="60"/>
      <c r="J292" s="60"/>
      <c r="K292" s="60"/>
      <c r="L292" s="60"/>
      <c r="M292" s="243"/>
    </row>
    <row r="293" spans="1:13" ht="20.25">
      <c r="A293" s="830"/>
      <c r="B293" s="829"/>
      <c r="C293" s="847" t="s">
        <v>372</v>
      </c>
      <c r="D293" s="60"/>
      <c r="E293" s="60"/>
      <c r="F293" s="60"/>
      <c r="G293" s="60"/>
      <c r="H293" s="60"/>
      <c r="I293" s="60"/>
      <c r="J293" s="60"/>
      <c r="K293" s="60"/>
      <c r="L293" s="60"/>
      <c r="M293" s="243"/>
    </row>
    <row r="294" spans="1:13" ht="20.25">
      <c r="A294" s="830" t="s">
        <v>125</v>
      </c>
      <c r="B294" s="829"/>
      <c r="C294" s="847" t="s">
        <v>397</v>
      </c>
      <c r="D294" s="60"/>
      <c r="E294" s="60"/>
      <c r="F294" s="60"/>
      <c r="G294" s="60"/>
      <c r="H294" s="60"/>
      <c r="I294" s="60"/>
      <c r="J294" s="60"/>
      <c r="K294" s="60"/>
      <c r="L294" s="60"/>
      <c r="M294" s="243"/>
    </row>
    <row r="295" spans="1:13" ht="20.25">
      <c r="A295" s="830"/>
      <c r="B295" s="829"/>
      <c r="C295" s="863" t="s">
        <v>398</v>
      </c>
      <c r="D295" s="60"/>
      <c r="E295" s="60"/>
      <c r="F295" s="60"/>
      <c r="G295" s="60"/>
      <c r="H295" s="60"/>
      <c r="I295" s="60"/>
      <c r="J295" s="60"/>
      <c r="K295" s="60"/>
      <c r="L295" s="60"/>
      <c r="M295" s="243"/>
    </row>
    <row r="296" spans="1:13" ht="20.25">
      <c r="A296" s="830" t="s">
        <v>126</v>
      </c>
      <c r="B296" s="829"/>
      <c r="C296" s="847" t="s">
        <v>399</v>
      </c>
      <c r="D296" s="60"/>
      <c r="E296" s="60"/>
      <c r="F296" s="60"/>
      <c r="G296" s="60"/>
      <c r="H296" s="60"/>
      <c r="I296" s="60"/>
      <c r="J296" s="60"/>
      <c r="K296" s="60"/>
      <c r="L296" s="60"/>
      <c r="M296" s="243"/>
    </row>
    <row r="297" spans="1:13" ht="20.25">
      <c r="A297" s="830"/>
      <c r="B297" s="829"/>
      <c r="C297" s="847" t="s">
        <v>400</v>
      </c>
      <c r="D297" s="60"/>
      <c r="E297" s="60"/>
      <c r="F297" s="60"/>
      <c r="G297" s="60"/>
      <c r="H297" s="60"/>
      <c r="I297" s="60"/>
      <c r="J297" s="60"/>
      <c r="K297" s="60"/>
      <c r="L297" s="60"/>
      <c r="M297" s="243"/>
    </row>
    <row r="298" spans="1:13" ht="20.25">
      <c r="A298" s="830" t="s">
        <v>127</v>
      </c>
      <c r="B298" s="829"/>
      <c r="C298" s="847" t="s">
        <v>698</v>
      </c>
      <c r="D298" s="60"/>
      <c r="E298" s="60"/>
      <c r="F298" s="60"/>
      <c r="G298" s="60"/>
      <c r="H298" s="60"/>
      <c r="I298" s="60"/>
      <c r="J298" s="60"/>
      <c r="K298" s="60"/>
      <c r="L298" s="60"/>
      <c r="M298" s="243"/>
    </row>
    <row r="299" spans="1:13" ht="20.25">
      <c r="A299" s="830"/>
      <c r="B299" s="829"/>
      <c r="C299" s="847" t="s">
        <v>401</v>
      </c>
      <c r="D299" s="60"/>
      <c r="E299" s="60"/>
      <c r="F299" s="60"/>
      <c r="G299" s="60"/>
      <c r="H299" s="60"/>
      <c r="I299" s="60"/>
      <c r="J299" s="60"/>
      <c r="K299" s="60"/>
      <c r="L299" s="60"/>
      <c r="M299" s="243"/>
    </row>
    <row r="300" spans="1:13" ht="20.25">
      <c r="A300" s="830"/>
      <c r="B300" s="829"/>
      <c r="C300" s="847" t="s">
        <v>402</v>
      </c>
      <c r="D300" s="60"/>
      <c r="E300" s="60"/>
      <c r="F300" s="60"/>
      <c r="G300" s="60"/>
      <c r="H300" s="60"/>
      <c r="I300" s="60"/>
      <c r="J300" s="60"/>
      <c r="K300" s="60"/>
      <c r="L300" s="60"/>
      <c r="M300" s="243"/>
    </row>
    <row r="301" spans="1:13" ht="20.25">
      <c r="A301" s="830"/>
      <c r="B301" s="829"/>
      <c r="C301" s="847" t="s">
        <v>403</v>
      </c>
      <c r="D301" s="60"/>
      <c r="E301" s="60"/>
      <c r="F301" s="60"/>
      <c r="G301" s="60"/>
      <c r="H301" s="60"/>
      <c r="I301" s="60"/>
      <c r="J301" s="60"/>
      <c r="K301" s="60"/>
      <c r="L301" s="60"/>
      <c r="M301" s="243"/>
    </row>
    <row r="302" spans="1:13" ht="20.25">
      <c r="A302" s="830"/>
      <c r="B302" s="829"/>
      <c r="C302" s="847" t="s">
        <v>404</v>
      </c>
      <c r="D302" s="60"/>
      <c r="E302" s="60"/>
      <c r="F302" s="60"/>
      <c r="G302" s="60"/>
      <c r="H302" s="60"/>
      <c r="I302" s="60"/>
      <c r="J302" s="60"/>
      <c r="K302" s="60"/>
      <c r="L302" s="60"/>
      <c r="M302" s="243"/>
    </row>
    <row r="303" spans="1:13" ht="20.25">
      <c r="A303" s="32"/>
      <c r="B303" s="31"/>
      <c r="C303" s="839"/>
      <c r="D303" s="60"/>
      <c r="E303" s="60"/>
      <c r="F303" s="60"/>
      <c r="G303" s="60"/>
      <c r="H303" s="60"/>
      <c r="I303" s="60"/>
      <c r="J303" s="60"/>
      <c r="K303" s="60"/>
      <c r="L303" s="60"/>
      <c r="M303" s="243"/>
    </row>
    <row r="304" spans="1:13" ht="20.25">
      <c r="A304" s="32" t="s">
        <v>12</v>
      </c>
      <c r="B304" s="31"/>
      <c r="C304" s="60" t="s">
        <v>165</v>
      </c>
      <c r="D304" s="60" t="s">
        <v>155</v>
      </c>
      <c r="E304" s="623">
        <f>INPUT!D86</f>
        <v>0.35</v>
      </c>
      <c r="F304" s="60"/>
      <c r="H304" s="60"/>
      <c r="I304" s="60"/>
      <c r="J304" s="60"/>
      <c r="K304" s="60"/>
      <c r="L304" s="60"/>
      <c r="M304" s="243"/>
    </row>
    <row r="305" spans="1:13" ht="20.25">
      <c r="A305" s="32"/>
      <c r="B305" s="31"/>
      <c r="C305" s="60"/>
      <c r="D305" s="60" t="s">
        <v>156</v>
      </c>
      <c r="E305" s="415">
        <f>INPUT!D87</f>
        <v>0.06</v>
      </c>
      <c r="F305" s="60" t="s">
        <v>157</v>
      </c>
      <c r="H305" s="60"/>
      <c r="I305" s="60"/>
      <c r="J305" s="60"/>
      <c r="K305" s="60"/>
      <c r="L305" s="60"/>
      <c r="M305" s="243"/>
    </row>
    <row r="306" spans="1:13" ht="20.25">
      <c r="A306" s="32"/>
      <c r="B306" s="31"/>
      <c r="C306" s="60"/>
      <c r="D306" s="60" t="s">
        <v>158</v>
      </c>
      <c r="E306" s="414">
        <v>0</v>
      </c>
      <c r="F306" s="60" t="s">
        <v>159</v>
      </c>
      <c r="H306" s="60"/>
      <c r="I306" s="60"/>
      <c r="J306" s="60"/>
      <c r="K306" s="60"/>
      <c r="L306" s="60"/>
      <c r="M306" s="243"/>
    </row>
    <row r="307" spans="1:13" ht="20.25">
      <c r="A307" s="32" t="s">
        <v>128</v>
      </c>
      <c r="B307" s="31"/>
      <c r="C307" s="60" t="s">
        <v>5</v>
      </c>
      <c r="D307" s="60"/>
      <c r="E307" s="60"/>
      <c r="F307" s="60"/>
      <c r="G307" s="60"/>
      <c r="H307" s="60"/>
      <c r="I307" s="60"/>
      <c r="J307" s="60"/>
      <c r="K307" s="60"/>
      <c r="L307" s="60"/>
      <c r="M307" s="243"/>
    </row>
    <row r="308" spans="1:13" ht="20.25">
      <c r="A308" s="32" t="s">
        <v>129</v>
      </c>
      <c r="B308" s="31"/>
      <c r="C308" s="844" t="s">
        <v>5</v>
      </c>
      <c r="D308" s="60"/>
      <c r="E308" s="60"/>
      <c r="F308" s="60"/>
      <c r="G308" s="60"/>
      <c r="H308" s="60"/>
      <c r="I308" s="60"/>
      <c r="J308" s="60"/>
      <c r="K308" s="60"/>
      <c r="L308" s="60"/>
      <c r="M308" s="243"/>
    </row>
    <row r="309" spans="1:13" ht="20.25">
      <c r="A309" s="32"/>
      <c r="B309" s="31"/>
      <c r="C309" s="844" t="s">
        <v>130</v>
      </c>
      <c r="D309" s="60"/>
      <c r="E309" s="60"/>
      <c r="F309" s="60"/>
      <c r="G309" s="60"/>
      <c r="H309" s="60"/>
      <c r="I309" s="60"/>
      <c r="J309" s="60"/>
      <c r="K309" s="60"/>
      <c r="L309" s="60"/>
      <c r="M309" s="243"/>
    </row>
    <row r="310" spans="1:13" ht="20.25">
      <c r="B310" s="31"/>
      <c r="C310" s="844" t="s">
        <v>540</v>
      </c>
      <c r="D310" s="60"/>
      <c r="E310" s="60"/>
      <c r="F310" s="60"/>
      <c r="G310" s="60"/>
      <c r="H310" s="60"/>
      <c r="I310" s="60"/>
      <c r="J310" s="60"/>
      <c r="K310" s="60"/>
      <c r="L310" s="60"/>
      <c r="M310" s="243"/>
    </row>
    <row r="311" spans="1:13" ht="20.25">
      <c r="A311" s="32" t="s">
        <v>131</v>
      </c>
      <c r="B311" s="31"/>
      <c r="C311" s="844" t="s">
        <v>173</v>
      </c>
      <c r="D311" s="60"/>
      <c r="E311" s="60"/>
      <c r="F311" s="60"/>
      <c r="G311" s="60"/>
      <c r="H311" s="60"/>
      <c r="I311" s="60"/>
      <c r="J311" s="60"/>
      <c r="K311" s="60"/>
      <c r="L311" s="60"/>
      <c r="M311" s="243"/>
    </row>
    <row r="312" spans="1:13" ht="20.25">
      <c r="A312" s="32"/>
      <c r="B312" s="31"/>
      <c r="C312" s="844" t="s">
        <v>373</v>
      </c>
      <c r="D312" s="60"/>
      <c r="E312" s="60"/>
      <c r="F312" s="60"/>
      <c r="G312" s="60"/>
      <c r="H312" s="60"/>
      <c r="I312" s="60"/>
      <c r="J312" s="60"/>
      <c r="K312" s="60"/>
      <c r="L312" s="60"/>
      <c r="M312" s="243"/>
    </row>
    <row r="313" spans="1:13" ht="20.25">
      <c r="A313" s="32"/>
      <c r="B313" s="31"/>
      <c r="C313" s="844" t="s">
        <v>374</v>
      </c>
      <c r="D313" s="60"/>
      <c r="E313" s="60"/>
      <c r="F313" s="60"/>
      <c r="G313" s="60"/>
      <c r="H313" s="60"/>
      <c r="I313" s="60"/>
      <c r="J313" s="60"/>
      <c r="K313" s="60"/>
      <c r="L313" s="60"/>
      <c r="M313" s="243"/>
    </row>
    <row r="314" spans="1:13" ht="20.25">
      <c r="A314" s="32" t="s">
        <v>132</v>
      </c>
      <c r="B314" s="31"/>
      <c r="C314" s="844" t="s">
        <v>567</v>
      </c>
      <c r="D314" s="60"/>
      <c r="E314" s="60"/>
      <c r="F314" s="60"/>
      <c r="G314" s="60"/>
      <c r="H314" s="60"/>
      <c r="I314" s="60"/>
      <c r="J314" s="60"/>
      <c r="K314" s="60"/>
      <c r="L314" s="60"/>
      <c r="M314" s="243"/>
    </row>
    <row r="315" spans="1:13" ht="20.25">
      <c r="A315" s="32" t="s">
        <v>133</v>
      </c>
      <c r="B315" s="31"/>
      <c r="C315" s="844" t="s">
        <v>562</v>
      </c>
      <c r="D315" s="60"/>
      <c r="E315" s="60"/>
      <c r="F315" s="60"/>
      <c r="G315" s="60"/>
      <c r="H315" s="60"/>
      <c r="I315" s="60"/>
      <c r="J315" s="60"/>
      <c r="K315" s="60"/>
      <c r="L315" s="60"/>
      <c r="M315" s="243"/>
    </row>
    <row r="316" spans="1:13" ht="20.25">
      <c r="A316" s="32"/>
      <c r="B316" s="31"/>
      <c r="C316" s="844" t="s">
        <v>563</v>
      </c>
      <c r="D316" s="60"/>
      <c r="E316" s="60"/>
      <c r="F316" s="60"/>
      <c r="G316" s="60"/>
      <c r="H316" s="60"/>
      <c r="I316" s="60"/>
      <c r="J316" s="60"/>
      <c r="K316" s="60"/>
      <c r="L316" s="60"/>
      <c r="M316" s="243"/>
    </row>
    <row r="317" spans="1:13" ht="20.25">
      <c r="A317" s="32" t="s">
        <v>134</v>
      </c>
      <c r="B317" s="31"/>
      <c r="C317" s="844" t="s">
        <v>425</v>
      </c>
      <c r="D317" s="60"/>
      <c r="E317" s="60"/>
      <c r="F317" s="60"/>
      <c r="G317" s="60"/>
      <c r="H317" s="60"/>
      <c r="I317" s="60"/>
      <c r="J317" s="60"/>
      <c r="K317" s="60"/>
      <c r="L317" s="60"/>
      <c r="M317" s="243"/>
    </row>
    <row r="318" spans="1:13" ht="20.25">
      <c r="A318" s="32"/>
      <c r="B318" s="31"/>
      <c r="C318" s="844" t="s">
        <v>375</v>
      </c>
      <c r="D318" s="60"/>
      <c r="E318" s="60"/>
      <c r="F318" s="60"/>
      <c r="G318" s="60"/>
      <c r="H318" s="60"/>
      <c r="I318" s="60"/>
      <c r="J318" s="60"/>
      <c r="K318" s="60"/>
      <c r="L318" s="60"/>
      <c r="M318" s="243"/>
    </row>
    <row r="319" spans="1:13">
      <c r="A319" s="32" t="s">
        <v>135</v>
      </c>
      <c r="B319" s="31"/>
      <c r="C319" s="844" t="s">
        <v>141</v>
      </c>
      <c r="D319" s="60"/>
      <c r="E319" s="60"/>
      <c r="F319" s="60"/>
      <c r="G319" s="60"/>
      <c r="H319" s="60"/>
      <c r="I319" s="60"/>
      <c r="J319" s="60"/>
      <c r="K319" s="60"/>
      <c r="L319" s="60"/>
      <c r="M319" s="60"/>
    </row>
    <row r="320" spans="1:13">
      <c r="A320" s="32" t="s">
        <v>177</v>
      </c>
      <c r="C320" s="845" t="s">
        <v>364</v>
      </c>
      <c r="D320" s="66"/>
      <c r="E320" s="66"/>
      <c r="F320" s="66"/>
      <c r="G320" s="66"/>
      <c r="H320" s="66"/>
      <c r="I320" s="66"/>
      <c r="J320" s="66"/>
      <c r="K320" s="66"/>
      <c r="L320" s="66"/>
      <c r="M320" s="66"/>
    </row>
    <row r="321" spans="1:13">
      <c r="A321" s="376" t="s">
        <v>178</v>
      </c>
      <c r="C321" s="846" t="s">
        <v>775</v>
      </c>
      <c r="D321" s="245"/>
      <c r="E321" s="66"/>
      <c r="F321" s="66"/>
      <c r="G321" s="66"/>
      <c r="H321" s="66"/>
      <c r="I321" s="66"/>
      <c r="J321" s="66"/>
      <c r="K321" s="66"/>
      <c r="L321" s="66"/>
      <c r="M321" s="66"/>
    </row>
    <row r="322" spans="1:13">
      <c r="C322" s="846" t="s">
        <v>376</v>
      </c>
      <c r="D322" s="66"/>
      <c r="E322" s="66"/>
      <c r="F322" s="66"/>
      <c r="G322" s="66"/>
      <c r="H322" s="66"/>
      <c r="I322" s="66"/>
      <c r="J322" s="66"/>
      <c r="K322" s="66"/>
      <c r="L322" s="66"/>
      <c r="M322" s="246"/>
    </row>
    <row r="323" spans="1:13">
      <c r="C323" s="846" t="s">
        <v>464</v>
      </c>
      <c r="D323" s="66"/>
      <c r="E323" s="245"/>
      <c r="F323" s="66"/>
      <c r="G323" s="66"/>
      <c r="H323" s="66"/>
      <c r="I323" s="66"/>
      <c r="J323" s="66"/>
      <c r="K323" s="66"/>
      <c r="L323" s="66"/>
      <c r="M323" s="246"/>
    </row>
    <row r="324" spans="1:13">
      <c r="C324" s="846" t="s">
        <v>427</v>
      </c>
      <c r="D324" s="66"/>
      <c r="E324" s="245"/>
      <c r="F324" s="66"/>
      <c r="G324" s="66"/>
      <c r="H324" s="66"/>
      <c r="I324" s="66"/>
      <c r="J324" s="66"/>
      <c r="K324" s="66"/>
      <c r="L324" s="66"/>
      <c r="M324" s="246"/>
    </row>
    <row r="325" spans="1:13" ht="18">
      <c r="A325" s="244"/>
      <c r="C325" s="29"/>
      <c r="D325" s="29"/>
      <c r="E325" s="30"/>
      <c r="F325" s="29"/>
      <c r="G325" s="29"/>
      <c r="H325" s="29"/>
      <c r="I325" s="31"/>
      <c r="J325" s="77" t="s">
        <v>369</v>
      </c>
      <c r="K325" s="91"/>
      <c r="M325" s="91"/>
    </row>
    <row r="326" spans="1:13">
      <c r="C326" s="29"/>
      <c r="D326" s="29"/>
      <c r="E326" s="30"/>
      <c r="F326" s="29"/>
      <c r="G326" s="29"/>
      <c r="H326" s="29"/>
      <c r="I326" s="31"/>
      <c r="J326" s="77" t="s">
        <v>569</v>
      </c>
      <c r="M326" s="77"/>
    </row>
    <row r="327" spans="1:13">
      <c r="C327" s="29"/>
      <c r="D327" s="29"/>
      <c r="E327" s="30"/>
      <c r="F327" s="29"/>
      <c r="G327" s="29"/>
      <c r="H327" s="29"/>
      <c r="I327" s="31"/>
      <c r="J327" s="77"/>
      <c r="M327" s="77"/>
    </row>
    <row r="328" spans="1:13">
      <c r="C328" s="29"/>
      <c r="D328" s="29"/>
      <c r="E328" s="30"/>
      <c r="F328" s="29"/>
      <c r="G328" s="29"/>
      <c r="H328" s="29"/>
      <c r="I328" s="31"/>
      <c r="M328" s="77"/>
    </row>
    <row r="329" spans="1:13">
      <c r="C329" s="29"/>
      <c r="D329" s="29"/>
      <c r="E329" s="30"/>
      <c r="F329" s="29"/>
      <c r="G329" s="29"/>
      <c r="H329" s="29"/>
      <c r="I329" s="31"/>
      <c r="K329" s="1"/>
      <c r="M329" s="77"/>
    </row>
    <row r="330" spans="1:13">
      <c r="C330" s="29" t="s">
        <v>11</v>
      </c>
      <c r="D330" s="29"/>
      <c r="E330" s="30"/>
      <c r="F330" s="29"/>
      <c r="G330" s="29"/>
      <c r="H330" s="29"/>
      <c r="I330" s="31"/>
      <c r="J330" s="77"/>
      <c r="K330" s="1"/>
      <c r="M330" s="77"/>
    </row>
    <row r="331" spans="1:13">
      <c r="C331" s="29"/>
      <c r="D331" s="29"/>
      <c r="E331" s="30"/>
      <c r="F331" s="29"/>
      <c r="G331" s="29"/>
      <c r="H331" s="29"/>
      <c r="I331" s="31"/>
      <c r="J331" s="92" t="str">
        <f>$J$7</f>
        <v>For the 12 months ended: 12/31/2015</v>
      </c>
      <c r="K331" s="1"/>
      <c r="M331" s="77"/>
    </row>
    <row r="332" spans="1:13">
      <c r="A332" s="12" t="str">
        <f>$A$8</f>
        <v>Rate Formula Template</v>
      </c>
      <c r="B332" s="279"/>
      <c r="C332" s="279"/>
      <c r="D332" s="277"/>
      <c r="E332" s="279"/>
      <c r="F332" s="277"/>
      <c r="G332" s="277"/>
      <c r="H332" s="277"/>
      <c r="I332" s="277"/>
      <c r="J332" s="279"/>
      <c r="K332" s="60"/>
      <c r="L332" s="279"/>
      <c r="M332" s="1"/>
    </row>
    <row r="333" spans="1:13">
      <c r="A333" s="305" t="s">
        <v>331</v>
      </c>
      <c r="B333" s="279"/>
      <c r="C333" s="277"/>
      <c r="D333" s="280"/>
      <c r="E333" s="279"/>
      <c r="F333" s="280"/>
      <c r="G333" s="280"/>
      <c r="H333" s="280"/>
      <c r="I333" s="277"/>
      <c r="J333" s="277"/>
      <c r="K333" s="60"/>
      <c r="L333" s="273"/>
      <c r="M333" s="1"/>
    </row>
    <row r="334" spans="1:13">
      <c r="A334" s="280"/>
      <c r="B334" s="279"/>
      <c r="C334" s="273"/>
      <c r="D334" s="273"/>
      <c r="E334" s="279"/>
      <c r="F334" s="273"/>
      <c r="G334" s="273"/>
      <c r="H334" s="273"/>
      <c r="I334" s="273"/>
      <c r="J334" s="273"/>
      <c r="K334" s="60"/>
      <c r="L334" s="273"/>
      <c r="M334" s="31"/>
    </row>
    <row r="335" spans="1:13">
      <c r="A335" s="273" t="s">
        <v>216</v>
      </c>
      <c r="B335" s="279"/>
      <c r="C335" s="273"/>
      <c r="D335" s="273"/>
      <c r="E335" s="279"/>
      <c r="F335" s="273"/>
      <c r="G335" s="273"/>
      <c r="H335" s="273"/>
      <c r="I335" s="273"/>
      <c r="J335" s="273"/>
      <c r="K335" s="60"/>
      <c r="L335" s="273"/>
      <c r="M335" s="31"/>
    </row>
    <row r="336" spans="1:13" ht="15.75">
      <c r="A336" s="276"/>
      <c r="B336" s="31"/>
      <c r="C336" s="39"/>
      <c r="D336" s="32"/>
      <c r="E336" s="5"/>
      <c r="F336" s="5"/>
      <c r="G336" s="5"/>
      <c r="H336" s="5"/>
      <c r="I336" s="31"/>
      <c r="J336" s="241"/>
      <c r="K336" s="60"/>
      <c r="L336" s="240"/>
      <c r="M336" s="31"/>
    </row>
    <row r="337" spans="1:13" ht="20.25">
      <c r="A337" s="32"/>
      <c r="B337" s="31"/>
      <c r="C337" s="29" t="s">
        <v>111</v>
      </c>
      <c r="D337" s="32"/>
      <c r="E337" s="5"/>
      <c r="F337" s="5"/>
      <c r="G337" s="5"/>
      <c r="H337" s="5"/>
      <c r="I337" s="31"/>
      <c r="J337" s="5"/>
      <c r="K337" s="60"/>
      <c r="L337" s="5"/>
      <c r="M337" s="242"/>
    </row>
    <row r="338" spans="1:13" ht="20.25">
      <c r="A338" s="32" t="s">
        <v>113</v>
      </c>
      <c r="B338" s="31"/>
      <c r="C338" s="29" t="s">
        <v>112</v>
      </c>
      <c r="D338" s="31"/>
      <c r="E338" s="5"/>
      <c r="F338" s="5"/>
      <c r="G338" s="5"/>
      <c r="H338" s="5"/>
      <c r="I338" s="31"/>
      <c r="J338" s="5"/>
      <c r="K338" s="60"/>
      <c r="L338" s="5"/>
      <c r="M338" s="242"/>
    </row>
    <row r="339" spans="1:13" ht="20.25">
      <c r="A339" s="290" t="s">
        <v>114</v>
      </c>
      <c r="B339" s="31"/>
      <c r="C339" s="29"/>
      <c r="D339" s="31"/>
      <c r="E339" s="5"/>
      <c r="F339" s="5"/>
      <c r="G339" s="5"/>
      <c r="H339" s="5"/>
      <c r="I339" s="31"/>
      <c r="J339" s="5"/>
      <c r="K339" s="60"/>
      <c r="L339" s="5"/>
      <c r="M339" s="242"/>
    </row>
    <row r="340" spans="1:13">
      <c r="A340" s="376" t="s">
        <v>203</v>
      </c>
      <c r="C340" s="857" t="s">
        <v>564</v>
      </c>
      <c r="D340" s="1"/>
      <c r="E340" s="1"/>
      <c r="F340" s="1"/>
      <c r="G340" s="1"/>
      <c r="H340" s="1"/>
      <c r="I340" s="1"/>
      <c r="J340" s="1"/>
      <c r="K340" s="1"/>
      <c r="L340" s="1"/>
      <c r="M340" s="247"/>
    </row>
    <row r="341" spans="1:13">
      <c r="A341" s="376"/>
      <c r="C341" s="857" t="s">
        <v>565</v>
      </c>
      <c r="D341" s="1"/>
      <c r="E341" s="1"/>
      <c r="F341" s="1"/>
      <c r="G341" s="1"/>
      <c r="H341" s="1"/>
      <c r="I341" s="1"/>
      <c r="J341" s="1"/>
      <c r="K341" s="1"/>
      <c r="L341" s="1"/>
      <c r="M341" s="247"/>
    </row>
    <row r="342" spans="1:13">
      <c r="A342" s="376"/>
      <c r="C342" s="857" t="s">
        <v>566</v>
      </c>
      <c r="D342" s="1"/>
      <c r="E342" s="1"/>
      <c r="F342" s="1"/>
      <c r="G342" s="1"/>
      <c r="H342" s="1"/>
      <c r="I342" s="1"/>
      <c r="J342" s="1"/>
      <c r="K342" s="1"/>
      <c r="L342" s="1"/>
      <c r="M342" s="247"/>
    </row>
    <row r="343" spans="1:13">
      <c r="A343" s="376" t="s">
        <v>6</v>
      </c>
      <c r="C343" s="854" t="s">
        <v>405</v>
      </c>
      <c r="D343" s="247"/>
      <c r="E343" s="247"/>
      <c r="F343" s="247"/>
      <c r="G343" s="247"/>
      <c r="H343" s="247"/>
      <c r="I343" s="247"/>
      <c r="J343" s="247"/>
      <c r="K343" s="247"/>
      <c r="L343" s="247"/>
      <c r="M343" s="247"/>
    </row>
    <row r="344" spans="1:13">
      <c r="A344" s="376" t="s">
        <v>463</v>
      </c>
      <c r="C344" s="856" t="s">
        <v>364</v>
      </c>
    </row>
    <row r="345" spans="1:13">
      <c r="A345" s="376" t="s">
        <v>638</v>
      </c>
      <c r="C345" s="855" t="s">
        <v>770</v>
      </c>
    </row>
    <row r="346" spans="1:13">
      <c r="C346" s="855" t="s">
        <v>771</v>
      </c>
    </row>
    <row r="347" spans="1:13" s="863" customFormat="1">
      <c r="A347" s="779" t="s">
        <v>639</v>
      </c>
      <c r="C347" s="863" t="s">
        <v>776</v>
      </c>
    </row>
    <row r="348" spans="1:13" s="863" customFormat="1">
      <c r="A348" s="779"/>
      <c r="C348" s="863" t="s">
        <v>777</v>
      </c>
    </row>
    <row r="349" spans="1:13" s="898" customFormat="1"/>
    <row r="350" spans="1:13" ht="18">
      <c r="C350" s="12" t="s">
        <v>544</v>
      </c>
    </row>
    <row r="351" spans="1:13" ht="18">
      <c r="C351" s="12" t="s">
        <v>545</v>
      </c>
    </row>
  </sheetData>
  <phoneticPr fontId="0" type="noConversion"/>
  <printOptions horizontalCentered="1"/>
  <pageMargins left="0.75" right="0.75" top="0.75" bottom="0.5" header="0.25" footer="0.25"/>
  <pageSetup scale="44" orientation="portrait" blackAndWhite="1" r:id="rId1"/>
  <headerFooter alignWithMargins="0"/>
  <rowBreaks count="5" manualBreakCount="5">
    <brk id="56" max="11" man="1"/>
    <brk id="116" max="11" man="1"/>
    <brk id="186" max="11" man="1"/>
    <brk id="262" max="11" man="1"/>
    <brk id="324" max="11" man="1"/>
  </rowBreaks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tabColor rgb="FF663300"/>
    <pageSetUpPr fitToPage="1"/>
  </sheetPr>
  <dimension ref="A1:J959"/>
  <sheetViews>
    <sheetView zoomScale="75" zoomScaleNormal="75" workbookViewId="0">
      <selection activeCell="E22" sqref="E22"/>
    </sheetView>
  </sheetViews>
  <sheetFormatPr defaultColWidth="9.33203125" defaultRowHeight="15"/>
  <cols>
    <col min="1" max="1" width="4" style="308" customWidth="1"/>
    <col min="2" max="2" width="4.77734375" style="309" bestFit="1" customWidth="1"/>
    <col min="3" max="3" width="1.6640625" style="308" customWidth="1"/>
    <col min="4" max="4" width="64.109375" style="308" customWidth="1"/>
    <col min="5" max="5" width="28.5546875" style="308" customWidth="1"/>
    <col min="6" max="6" width="2.109375" style="308" customWidth="1"/>
    <col min="7" max="7" width="16" style="308" bestFit="1" customWidth="1"/>
    <col min="8" max="8" width="6.5546875" style="308" customWidth="1"/>
    <col min="9" max="9" width="2.21875" style="308" customWidth="1"/>
    <col min="10" max="10" width="2.33203125" style="308" customWidth="1"/>
    <col min="11" max="16384" width="9.33203125" style="308"/>
  </cols>
  <sheetData>
    <row r="1" spans="1:10">
      <c r="G1" s="308" t="s">
        <v>369</v>
      </c>
    </row>
    <row r="2" spans="1:10">
      <c r="G2" s="308" t="s">
        <v>353</v>
      </c>
    </row>
    <row r="3" spans="1:10">
      <c r="A3" s="314"/>
      <c r="B3" s="314"/>
      <c r="C3" s="314"/>
      <c r="D3" s="314"/>
      <c r="E3" s="314"/>
      <c r="F3" s="314"/>
      <c r="G3" s="308" t="s">
        <v>354</v>
      </c>
      <c r="H3" s="318"/>
      <c r="J3" s="355"/>
    </row>
    <row r="4" spans="1:10">
      <c r="A4" s="314"/>
      <c r="B4" s="314"/>
      <c r="C4" s="314"/>
      <c r="D4" s="314"/>
      <c r="E4" s="314"/>
      <c r="F4" s="314"/>
      <c r="H4" s="318"/>
      <c r="J4" s="355"/>
    </row>
    <row r="5" spans="1:10">
      <c r="A5" s="314"/>
      <c r="B5" s="314"/>
      <c r="C5" s="314"/>
      <c r="D5" s="314"/>
      <c r="E5" s="314"/>
      <c r="F5" s="314"/>
      <c r="G5" s="356" t="str">
        <f>'DE Ohio &amp; Kentucky'!J7</f>
        <v>For the 12 months ended: 12/31/2015</v>
      </c>
      <c r="H5" s="318"/>
      <c r="J5" s="355"/>
    </row>
    <row r="6" spans="1:10" ht="15.75">
      <c r="A6" s="352" t="s">
        <v>528</v>
      </c>
      <c r="B6" s="352"/>
      <c r="C6" s="352"/>
      <c r="D6" s="352"/>
      <c r="E6" s="352"/>
      <c r="F6" s="352"/>
      <c r="G6" s="352"/>
      <c r="H6" s="346"/>
      <c r="I6" s="351"/>
    </row>
    <row r="7" spans="1:10" ht="15.75">
      <c r="A7" s="352" t="s">
        <v>351</v>
      </c>
      <c r="B7" s="352"/>
      <c r="C7" s="352"/>
      <c r="D7" s="352"/>
      <c r="E7" s="352"/>
      <c r="F7" s="352"/>
      <c r="G7" s="352"/>
      <c r="H7" s="346"/>
      <c r="I7" s="351"/>
    </row>
    <row r="8" spans="1:10" ht="15.75">
      <c r="A8" s="354" t="s">
        <v>331</v>
      </c>
      <c r="B8" s="354"/>
      <c r="C8" s="354"/>
      <c r="D8" s="354"/>
      <c r="E8" s="354"/>
      <c r="F8" s="354"/>
      <c r="G8" s="354"/>
      <c r="H8" s="346"/>
      <c r="I8" s="353"/>
    </row>
    <row r="9" spans="1:10" ht="15.75">
      <c r="A9" s="352" t="str">
        <f>"For Rates Effective "&amp;TEXT(INPUT!B2,"mmmm d, yyyy")</f>
        <v>For Rates Effective June 1, 2016</v>
      </c>
      <c r="B9" s="352"/>
      <c r="C9" s="352"/>
      <c r="D9" s="352"/>
      <c r="E9" s="352"/>
      <c r="F9" s="352"/>
      <c r="G9" s="352"/>
      <c r="H9" s="346"/>
      <c r="I9" s="351"/>
    </row>
    <row r="10" spans="1:10" ht="15.75">
      <c r="B10" s="329"/>
      <c r="C10" s="328"/>
      <c r="D10" s="325"/>
      <c r="H10" s="346"/>
    </row>
    <row r="11" spans="1:10" ht="15.75">
      <c r="A11" s="350" t="s">
        <v>365</v>
      </c>
      <c r="B11" s="350"/>
      <c r="C11" s="350"/>
      <c r="D11" s="350"/>
      <c r="E11" s="350"/>
      <c r="F11" s="350"/>
      <c r="G11" s="350"/>
      <c r="H11" s="346"/>
      <c r="I11" s="349"/>
    </row>
    <row r="12" spans="1:10" ht="15.75">
      <c r="A12" s="348"/>
      <c r="B12" s="329"/>
      <c r="C12" s="328"/>
      <c r="D12" s="325"/>
      <c r="H12" s="346"/>
    </row>
    <row r="13" spans="1:10" ht="15.75">
      <c r="B13" s="329"/>
      <c r="C13" s="328"/>
      <c r="D13" s="325"/>
      <c r="E13" s="325"/>
      <c r="F13" s="347"/>
      <c r="G13" s="331"/>
      <c r="H13" s="346"/>
    </row>
    <row r="14" spans="1:10" ht="15.75">
      <c r="B14" s="329" t="s">
        <v>13</v>
      </c>
      <c r="C14" s="328"/>
      <c r="D14" s="325"/>
      <c r="E14" s="325"/>
      <c r="F14" s="325"/>
      <c r="G14" s="361" t="s">
        <v>350</v>
      </c>
      <c r="H14" s="346"/>
    </row>
    <row r="15" spans="1:10" ht="15.75">
      <c r="B15" s="417" t="s">
        <v>15</v>
      </c>
      <c r="C15" s="330"/>
      <c r="D15" s="325"/>
      <c r="E15" s="417" t="s">
        <v>363</v>
      </c>
      <c r="F15" s="325"/>
      <c r="G15" s="417" t="s">
        <v>349</v>
      </c>
      <c r="H15" s="346"/>
    </row>
    <row r="16" spans="1:10">
      <c r="B16" s="345"/>
      <c r="C16" s="330"/>
      <c r="D16" s="334"/>
      <c r="E16" s="330"/>
      <c r="F16" s="325"/>
      <c r="H16" s="325"/>
    </row>
    <row r="17" spans="1:10">
      <c r="A17" s="361" t="s">
        <v>348</v>
      </c>
      <c r="B17" s="416" t="s">
        <v>352</v>
      </c>
      <c r="C17" s="330"/>
      <c r="D17" s="325"/>
      <c r="E17" s="330"/>
      <c r="F17" s="325"/>
      <c r="H17" s="325"/>
    </row>
    <row r="18" spans="1:10">
      <c r="B18" s="329">
        <v>1</v>
      </c>
      <c r="C18" s="328"/>
      <c r="D18" s="334" t="s">
        <v>347</v>
      </c>
      <c r="E18" s="361" t="s">
        <v>355</v>
      </c>
      <c r="F18" s="327"/>
      <c r="G18" s="343">
        <f>'DE Ohio &amp; Kentucky'!J213</f>
        <v>4526428</v>
      </c>
      <c r="H18" s="344"/>
    </row>
    <row r="19" spans="1:10">
      <c r="B19" s="329"/>
      <c r="C19" s="328"/>
      <c r="D19" s="334"/>
      <c r="E19" s="328"/>
      <c r="F19" s="327"/>
      <c r="G19" s="335"/>
      <c r="H19" s="336"/>
    </row>
    <row r="20" spans="1:10">
      <c r="B20" s="329">
        <v>2</v>
      </c>
      <c r="C20" s="328"/>
      <c r="D20" s="334" t="s">
        <v>356</v>
      </c>
      <c r="E20" s="327"/>
      <c r="F20" s="318"/>
      <c r="G20" s="967">
        <v>116954</v>
      </c>
      <c r="H20" s="342"/>
    </row>
    <row r="21" spans="1:10" ht="15.75" thickBot="1">
      <c r="B21" s="329"/>
      <c r="C21" s="328"/>
      <c r="D21" s="334"/>
      <c r="E21" s="325"/>
      <c r="F21" s="327"/>
      <c r="G21" s="341"/>
      <c r="H21" s="336"/>
    </row>
    <row r="22" spans="1:10" ht="15.75" thickBot="1">
      <c r="B22" s="329">
        <v>3</v>
      </c>
      <c r="C22" s="328"/>
      <c r="D22" s="340" t="s">
        <v>346</v>
      </c>
      <c r="E22" s="339"/>
      <c r="F22" s="338"/>
      <c r="G22" s="337">
        <f>G18-G20</f>
        <v>4409474</v>
      </c>
      <c r="H22" s="336"/>
    </row>
    <row r="23" spans="1:10">
      <c r="B23" s="329"/>
      <c r="C23" s="328"/>
      <c r="D23" s="334"/>
      <c r="E23" s="325"/>
      <c r="F23" s="327"/>
      <c r="G23" s="332"/>
      <c r="H23" s="333"/>
    </row>
    <row r="24" spans="1:10">
      <c r="A24" s="361" t="s">
        <v>345</v>
      </c>
      <c r="B24" s="416" t="s">
        <v>344</v>
      </c>
      <c r="C24" s="330"/>
      <c r="D24" s="325"/>
      <c r="E24" s="330"/>
      <c r="F24" s="325"/>
      <c r="G24" s="310"/>
      <c r="H24" s="315"/>
    </row>
    <row r="25" spans="1:10">
      <c r="B25" s="329">
        <f>+B22+1</f>
        <v>4</v>
      </c>
      <c r="C25" s="328"/>
      <c r="D25" s="319" t="str">
        <f>TEXT(INPUT!B1,"yyyy")&amp;" Annual MWh - Note B"</f>
        <v>2015 Annual MWh - Note B</v>
      </c>
      <c r="E25" s="1005" t="s">
        <v>802</v>
      </c>
      <c r="F25" s="327"/>
      <c r="G25" s="707">
        <f>INPUT!C158+INPUT!C159+INPUT!D158+INPUT!D159</f>
        <v>26083149</v>
      </c>
      <c r="H25" s="315" t="s">
        <v>343</v>
      </c>
    </row>
    <row r="26" spans="1:10">
      <c r="B26" s="329"/>
      <c r="C26" s="328"/>
      <c r="D26" s="319"/>
      <c r="E26" s="325"/>
      <c r="F26" s="327"/>
      <c r="G26" s="326"/>
      <c r="H26" s="325"/>
    </row>
    <row r="27" spans="1:10">
      <c r="A27" s="310"/>
      <c r="B27" s="321">
        <f>+B25+1</f>
        <v>5</v>
      </c>
      <c r="C27" s="320"/>
      <c r="D27" s="319" t="s">
        <v>359</v>
      </c>
      <c r="E27" s="324" t="str">
        <f>"(Line "&amp;B22&amp;" / Line "&amp;B25&amp;")"</f>
        <v>(Line 3 / Line 4)</v>
      </c>
      <c r="F27" s="317"/>
      <c r="G27" s="322">
        <f>+G22/G25</f>
        <v>0.16905451101782226</v>
      </c>
      <c r="H27" s="323" t="s">
        <v>342</v>
      </c>
    </row>
    <row r="28" spans="1:10">
      <c r="A28" s="310"/>
      <c r="B28" s="321"/>
      <c r="C28" s="320"/>
      <c r="D28" s="319"/>
      <c r="E28" s="317"/>
      <c r="F28" s="317"/>
      <c r="H28" s="317"/>
    </row>
    <row r="29" spans="1:10">
      <c r="A29" s="310"/>
      <c r="B29" s="321"/>
      <c r="C29" s="320"/>
      <c r="D29" s="319"/>
      <c r="E29" s="317"/>
      <c r="F29" s="320"/>
      <c r="H29" s="317"/>
    </row>
    <row r="30" spans="1:10">
      <c r="B30" s="321"/>
      <c r="C30" s="320"/>
      <c r="D30" s="319"/>
      <c r="E30" s="317"/>
      <c r="F30" s="317"/>
      <c r="H30" s="317"/>
      <c r="I30" s="312"/>
      <c r="J30" s="312"/>
    </row>
    <row r="31" spans="1:10">
      <c r="B31" s="358" t="s">
        <v>357</v>
      </c>
      <c r="C31" s="320"/>
      <c r="D31" s="319"/>
      <c r="E31" s="317"/>
      <c r="F31" s="317"/>
      <c r="H31" s="317"/>
      <c r="I31" s="312"/>
      <c r="J31" s="312"/>
    </row>
    <row r="32" spans="1:10">
      <c r="B32" s="359" t="s">
        <v>115</v>
      </c>
      <c r="C32" s="317"/>
      <c r="D32" s="317" t="s">
        <v>415</v>
      </c>
      <c r="E32" s="317"/>
      <c r="F32" s="317"/>
      <c r="G32" s="312"/>
      <c r="H32" s="317"/>
      <c r="I32" s="312"/>
      <c r="J32" s="312"/>
    </row>
    <row r="33" spans="1:10">
      <c r="B33" s="360"/>
      <c r="C33" s="317"/>
      <c r="D33" s="317" t="s">
        <v>538</v>
      </c>
      <c r="E33" s="317"/>
      <c r="F33" s="317"/>
      <c r="G33" s="312"/>
      <c r="H33" s="317"/>
      <c r="I33" s="312"/>
      <c r="J33" s="312"/>
    </row>
    <row r="34" spans="1:10">
      <c r="B34" s="360"/>
      <c r="C34" s="317"/>
      <c r="D34" s="317" t="s">
        <v>358</v>
      </c>
      <c r="E34" s="317"/>
      <c r="F34" s="317"/>
      <c r="G34" s="312"/>
      <c r="H34" s="317"/>
      <c r="I34" s="312"/>
      <c r="J34" s="312"/>
    </row>
    <row r="35" spans="1:10">
      <c r="B35" s="321"/>
      <c r="C35" s="315"/>
      <c r="D35" s="314"/>
      <c r="E35" s="314"/>
      <c r="F35" s="314"/>
      <c r="G35" s="314" t="s">
        <v>12</v>
      </c>
      <c r="I35" s="314"/>
      <c r="J35" s="312"/>
    </row>
    <row r="36" spans="1:10">
      <c r="B36" s="357" t="s">
        <v>116</v>
      </c>
      <c r="C36" s="315"/>
      <c r="D36" s="317" t="s">
        <v>710</v>
      </c>
      <c r="E36" s="314"/>
      <c r="F36" s="314"/>
      <c r="G36" s="314"/>
      <c r="H36" s="314"/>
      <c r="I36" s="314"/>
      <c r="J36" s="312"/>
    </row>
    <row r="37" spans="1:10">
      <c r="B37" s="321"/>
      <c r="C37" s="315"/>
      <c r="D37" s="317" t="s">
        <v>539</v>
      </c>
      <c r="E37" s="314"/>
      <c r="F37" s="314"/>
      <c r="G37" s="314"/>
      <c r="H37" s="314"/>
      <c r="I37" s="314"/>
      <c r="J37" s="312"/>
    </row>
    <row r="38" spans="1:10">
      <c r="B38" s="321"/>
      <c r="C38" s="315"/>
      <c r="D38" s="317" t="s">
        <v>801</v>
      </c>
      <c r="E38" s="314"/>
      <c r="F38" s="314"/>
      <c r="G38" s="314"/>
      <c r="H38" s="314"/>
      <c r="I38" s="314"/>
      <c r="J38" s="312"/>
    </row>
    <row r="39" spans="1:10">
      <c r="A39" s="372"/>
      <c r="B39" s="321"/>
      <c r="C39" s="315"/>
      <c r="D39" s="320" t="s">
        <v>845</v>
      </c>
      <c r="E39" s="314"/>
      <c r="F39" s="314"/>
      <c r="G39" s="314"/>
      <c r="H39" s="314"/>
      <c r="I39" s="314"/>
      <c r="J39" s="312"/>
    </row>
    <row r="40" spans="1:10">
      <c r="B40" s="316"/>
      <c r="C40" s="315"/>
      <c r="D40" s="320" t="s">
        <v>846</v>
      </c>
      <c r="E40" s="314"/>
      <c r="F40" s="314"/>
      <c r="G40" s="314"/>
      <c r="H40" s="314"/>
      <c r="I40" s="314"/>
      <c r="J40" s="312"/>
    </row>
    <row r="41" spans="1:10">
      <c r="B41" s="316"/>
      <c r="C41" s="315"/>
      <c r="D41" s="314"/>
      <c r="E41" s="314"/>
      <c r="F41" s="314"/>
      <c r="G41" s="314"/>
      <c r="H41" s="314"/>
      <c r="I41" s="314"/>
      <c r="J41" s="312"/>
    </row>
    <row r="42" spans="1:10">
      <c r="B42" s="313"/>
      <c r="C42" s="312"/>
      <c r="D42" s="314"/>
      <c r="E42" s="314"/>
      <c r="F42" s="314"/>
      <c r="G42" s="314"/>
      <c r="H42" s="314"/>
      <c r="I42" s="314"/>
      <c r="J42" s="312"/>
    </row>
    <row r="43" spans="1:10">
      <c r="B43" s="313"/>
      <c r="C43" s="312"/>
      <c r="D43" s="314"/>
      <c r="E43" s="314"/>
      <c r="F43" s="314"/>
      <c r="G43" s="314"/>
      <c r="H43" s="314"/>
      <c r="I43" s="314"/>
      <c r="J43" s="312"/>
    </row>
    <row r="44" spans="1:10">
      <c r="B44" s="313"/>
      <c r="C44" s="312"/>
      <c r="D44" s="314"/>
      <c r="E44" s="314"/>
      <c r="F44" s="314"/>
      <c r="G44" s="314"/>
      <c r="H44" s="314"/>
      <c r="I44" s="314"/>
      <c r="J44" s="312"/>
    </row>
    <row r="45" spans="1:10">
      <c r="B45" s="313"/>
      <c r="C45" s="312"/>
      <c r="D45" s="314"/>
      <c r="E45" s="314"/>
      <c r="F45" s="314"/>
      <c r="G45" s="314"/>
      <c r="H45" s="314"/>
      <c r="I45" s="314"/>
      <c r="J45" s="312"/>
    </row>
    <row r="46" spans="1:10">
      <c r="B46" s="313"/>
      <c r="C46" s="312"/>
      <c r="D46" s="314"/>
      <c r="E46" s="314"/>
      <c r="F46" s="314"/>
      <c r="G46" s="314"/>
      <c r="H46" s="314"/>
      <c r="I46" s="314"/>
      <c r="J46" s="312"/>
    </row>
    <row r="47" spans="1:10">
      <c r="B47" s="313"/>
      <c r="C47" s="312"/>
      <c r="D47" s="314"/>
      <c r="E47" s="314"/>
      <c r="F47" s="314"/>
      <c r="G47" s="314"/>
      <c r="H47" s="314"/>
      <c r="I47" s="314"/>
      <c r="J47" s="312"/>
    </row>
    <row r="48" spans="1:10">
      <c r="B48" s="313"/>
      <c r="C48" s="312"/>
      <c r="D48" s="314"/>
      <c r="E48" s="314"/>
      <c r="F48" s="314"/>
      <c r="G48" s="314"/>
      <c r="H48" s="314"/>
      <c r="I48" s="314"/>
      <c r="J48" s="312"/>
    </row>
    <row r="49" spans="2:10">
      <c r="B49" s="313"/>
      <c r="C49" s="312"/>
      <c r="D49" s="314"/>
      <c r="E49" s="314"/>
      <c r="F49" s="314"/>
      <c r="G49" s="314"/>
      <c r="H49" s="314"/>
      <c r="I49" s="314"/>
      <c r="J49" s="312"/>
    </row>
    <row r="50" spans="2:10">
      <c r="B50" s="313"/>
      <c r="C50" s="312"/>
      <c r="D50" s="314"/>
      <c r="E50" s="314"/>
      <c r="F50" s="314"/>
      <c r="G50" s="314"/>
      <c r="H50" s="314"/>
      <c r="I50" s="314"/>
      <c r="J50" s="312"/>
    </row>
    <row r="51" spans="2:10">
      <c r="B51" s="313"/>
      <c r="C51" s="312"/>
      <c r="D51" s="314"/>
      <c r="E51" s="314"/>
      <c r="F51" s="314"/>
      <c r="G51" s="314"/>
      <c r="H51" s="314"/>
      <c r="I51" s="314"/>
      <c r="J51" s="312"/>
    </row>
    <row r="52" spans="2:10">
      <c r="B52" s="313"/>
      <c r="C52" s="312"/>
      <c r="D52" s="312"/>
      <c r="E52" s="312"/>
      <c r="F52" s="312"/>
      <c r="G52" s="312"/>
      <c r="H52" s="312"/>
      <c r="I52" s="312"/>
      <c r="J52" s="312"/>
    </row>
    <row r="53" spans="2:10">
      <c r="B53" s="313"/>
      <c r="C53" s="312"/>
      <c r="D53" s="312"/>
      <c r="E53" s="312"/>
      <c r="F53" s="312"/>
      <c r="G53" s="312"/>
      <c r="H53" s="312"/>
      <c r="I53" s="312"/>
      <c r="J53" s="312"/>
    </row>
    <row r="54" spans="2:10">
      <c r="B54" s="313"/>
      <c r="C54" s="312"/>
      <c r="D54" s="312"/>
      <c r="E54" s="312"/>
      <c r="F54" s="312"/>
      <c r="G54" s="312"/>
      <c r="H54" s="312"/>
      <c r="I54" s="312"/>
      <c r="J54" s="312"/>
    </row>
    <row r="55" spans="2:10">
      <c r="B55" s="313"/>
      <c r="C55" s="312"/>
      <c r="D55" s="312"/>
      <c r="E55" s="312"/>
      <c r="F55" s="312"/>
      <c r="G55" s="312"/>
      <c r="H55" s="312"/>
      <c r="I55" s="312"/>
      <c r="J55" s="312"/>
    </row>
    <row r="56" spans="2:10">
      <c r="B56" s="313"/>
      <c r="C56" s="312"/>
      <c r="D56" s="312"/>
      <c r="E56" s="312"/>
      <c r="F56" s="312"/>
      <c r="G56" s="312"/>
      <c r="H56" s="312"/>
      <c r="I56" s="312"/>
      <c r="J56" s="312"/>
    </row>
    <row r="57" spans="2:10">
      <c r="B57" s="313"/>
      <c r="C57" s="312"/>
      <c r="D57" s="312"/>
      <c r="E57" s="312"/>
      <c r="F57" s="312"/>
      <c r="G57" s="312"/>
      <c r="H57" s="312"/>
      <c r="I57" s="312"/>
      <c r="J57" s="312"/>
    </row>
    <row r="58" spans="2:10">
      <c r="B58" s="313"/>
      <c r="C58" s="312"/>
      <c r="D58" s="312"/>
      <c r="E58" s="312"/>
      <c r="F58" s="312"/>
      <c r="G58" s="312"/>
      <c r="H58" s="312"/>
      <c r="I58" s="312"/>
      <c r="J58" s="312"/>
    </row>
    <row r="59" spans="2:10">
      <c r="B59" s="313"/>
      <c r="C59" s="312"/>
      <c r="D59" s="312"/>
      <c r="E59" s="312"/>
      <c r="F59" s="312"/>
      <c r="G59" s="312"/>
      <c r="H59" s="312"/>
      <c r="I59" s="312"/>
      <c r="J59" s="312"/>
    </row>
    <row r="60" spans="2:10">
      <c r="B60" s="313"/>
      <c r="C60" s="312"/>
      <c r="D60" s="312"/>
      <c r="E60" s="312"/>
      <c r="F60" s="312"/>
      <c r="G60" s="312"/>
      <c r="H60" s="312"/>
      <c r="I60" s="312"/>
      <c r="J60" s="312"/>
    </row>
    <row r="61" spans="2:10">
      <c r="B61" s="313"/>
      <c r="C61" s="312"/>
      <c r="D61" s="312"/>
      <c r="E61" s="312"/>
      <c r="F61" s="312"/>
      <c r="G61" s="312"/>
      <c r="H61" s="312"/>
      <c r="I61" s="312"/>
      <c r="J61" s="312"/>
    </row>
    <row r="62" spans="2:10">
      <c r="B62" s="313"/>
      <c r="C62" s="312"/>
      <c r="D62" s="312"/>
      <c r="E62" s="312"/>
      <c r="F62" s="312"/>
      <c r="G62" s="312"/>
      <c r="H62" s="312"/>
      <c r="I62" s="312"/>
      <c r="J62" s="312"/>
    </row>
    <row r="63" spans="2:10">
      <c r="B63" s="313"/>
      <c r="C63" s="312"/>
      <c r="D63" s="312"/>
      <c r="E63" s="312"/>
      <c r="F63" s="312"/>
      <c r="G63" s="312"/>
      <c r="H63" s="312"/>
      <c r="I63" s="312"/>
      <c r="J63" s="312"/>
    </row>
    <row r="64" spans="2:10">
      <c r="B64" s="313"/>
      <c r="C64" s="312"/>
      <c r="D64" s="312"/>
      <c r="E64" s="312"/>
      <c r="F64" s="312"/>
      <c r="G64" s="312"/>
      <c r="H64" s="312"/>
      <c r="I64" s="312"/>
      <c r="J64" s="312"/>
    </row>
    <row r="65" spans="2:10">
      <c r="B65" s="313"/>
      <c r="C65" s="312"/>
      <c r="D65" s="312"/>
      <c r="E65" s="312"/>
      <c r="F65" s="312"/>
      <c r="G65" s="312"/>
      <c r="H65" s="312"/>
      <c r="I65" s="312"/>
      <c r="J65" s="312"/>
    </row>
    <row r="66" spans="2:10">
      <c r="B66" s="313"/>
      <c r="C66" s="312"/>
      <c r="D66" s="312"/>
      <c r="E66" s="312"/>
      <c r="F66" s="312"/>
      <c r="G66" s="312"/>
      <c r="H66" s="312"/>
      <c r="I66" s="312"/>
      <c r="J66" s="312"/>
    </row>
    <row r="67" spans="2:10">
      <c r="B67" s="313"/>
      <c r="C67" s="312"/>
      <c r="D67" s="312"/>
      <c r="E67" s="312"/>
      <c r="F67" s="312"/>
      <c r="G67" s="312"/>
      <c r="H67" s="312"/>
      <c r="I67" s="312"/>
      <c r="J67" s="312"/>
    </row>
    <row r="68" spans="2:10">
      <c r="B68" s="313"/>
      <c r="C68" s="312"/>
      <c r="D68" s="312"/>
      <c r="E68" s="312"/>
      <c r="F68" s="312"/>
      <c r="G68" s="312"/>
      <c r="H68" s="312"/>
      <c r="I68" s="312"/>
      <c r="J68" s="312"/>
    </row>
    <row r="69" spans="2:10">
      <c r="B69" s="313"/>
      <c r="C69" s="312"/>
      <c r="D69" s="312"/>
      <c r="E69" s="312"/>
      <c r="F69" s="312"/>
      <c r="G69" s="312"/>
      <c r="H69" s="312"/>
      <c r="I69" s="312"/>
      <c r="J69" s="312"/>
    </row>
    <row r="70" spans="2:10">
      <c r="B70" s="313"/>
      <c r="C70" s="312"/>
      <c r="D70" s="312"/>
      <c r="E70" s="312"/>
      <c r="F70" s="312"/>
      <c r="G70" s="312"/>
      <c r="H70" s="312"/>
      <c r="I70" s="312"/>
      <c r="J70" s="312"/>
    </row>
    <row r="71" spans="2:10">
      <c r="B71" s="313"/>
      <c r="C71" s="312"/>
      <c r="D71" s="312"/>
      <c r="E71" s="312"/>
      <c r="F71" s="312"/>
      <c r="G71" s="312"/>
      <c r="H71" s="312"/>
      <c r="I71" s="312"/>
      <c r="J71" s="312"/>
    </row>
    <row r="72" spans="2:10">
      <c r="B72" s="313"/>
      <c r="C72" s="312"/>
      <c r="D72" s="312"/>
      <c r="E72" s="312"/>
      <c r="F72" s="312"/>
      <c r="G72" s="312"/>
      <c r="H72" s="312"/>
      <c r="I72" s="312"/>
      <c r="J72" s="312"/>
    </row>
    <row r="73" spans="2:10">
      <c r="B73" s="313"/>
      <c r="C73" s="312"/>
      <c r="D73" s="312"/>
      <c r="E73" s="312"/>
      <c r="F73" s="312"/>
      <c r="G73" s="312"/>
      <c r="H73" s="312"/>
      <c r="I73" s="312"/>
      <c r="J73" s="312"/>
    </row>
    <row r="74" spans="2:10">
      <c r="B74" s="313"/>
      <c r="C74" s="312"/>
      <c r="D74" s="312"/>
      <c r="E74" s="312"/>
      <c r="F74" s="312"/>
      <c r="G74" s="312"/>
      <c r="H74" s="312"/>
      <c r="I74" s="312"/>
      <c r="J74" s="312"/>
    </row>
    <row r="75" spans="2:10">
      <c r="B75" s="313"/>
      <c r="C75" s="312"/>
      <c r="D75" s="312"/>
      <c r="E75" s="312"/>
      <c r="F75" s="312"/>
      <c r="G75" s="312"/>
      <c r="H75" s="312"/>
      <c r="I75" s="312"/>
      <c r="J75" s="312"/>
    </row>
    <row r="76" spans="2:10">
      <c r="B76" s="313"/>
      <c r="C76" s="312"/>
      <c r="D76" s="312"/>
      <c r="E76" s="312"/>
      <c r="F76" s="312"/>
      <c r="G76" s="312"/>
      <c r="H76" s="312"/>
      <c r="I76" s="312"/>
      <c r="J76" s="312"/>
    </row>
    <row r="77" spans="2:10">
      <c r="B77" s="313"/>
      <c r="C77" s="312"/>
      <c r="D77" s="312"/>
      <c r="E77" s="312"/>
      <c r="F77" s="312"/>
      <c r="G77" s="312"/>
      <c r="H77" s="312"/>
      <c r="I77" s="312"/>
      <c r="J77" s="312"/>
    </row>
    <row r="78" spans="2:10">
      <c r="B78" s="313"/>
      <c r="C78" s="312"/>
      <c r="D78" s="312"/>
      <c r="E78" s="312"/>
      <c r="F78" s="312"/>
      <c r="G78" s="312"/>
      <c r="H78" s="312"/>
      <c r="I78" s="312"/>
      <c r="J78" s="312"/>
    </row>
    <row r="79" spans="2:10">
      <c r="B79" s="313"/>
      <c r="C79" s="312"/>
      <c r="D79" s="312"/>
      <c r="E79" s="312"/>
      <c r="F79" s="312"/>
      <c r="G79" s="312"/>
      <c r="H79" s="312"/>
      <c r="I79" s="312"/>
      <c r="J79" s="312"/>
    </row>
    <row r="80" spans="2:10">
      <c r="B80" s="313"/>
      <c r="C80" s="312"/>
      <c r="D80" s="312"/>
      <c r="E80" s="312"/>
      <c r="F80" s="312"/>
      <c r="G80" s="312"/>
      <c r="H80" s="312"/>
      <c r="I80" s="312"/>
      <c r="J80" s="312"/>
    </row>
    <row r="81" spans="2:10">
      <c r="B81" s="313"/>
      <c r="C81" s="312"/>
      <c r="D81" s="312"/>
      <c r="E81" s="312"/>
      <c r="F81" s="312"/>
      <c r="G81" s="312"/>
      <c r="H81" s="312"/>
      <c r="I81" s="312"/>
      <c r="J81" s="312"/>
    </row>
    <row r="82" spans="2:10">
      <c r="B82" s="313"/>
      <c r="C82" s="312"/>
      <c r="D82" s="312"/>
      <c r="E82" s="312"/>
      <c r="F82" s="312"/>
      <c r="G82" s="312"/>
      <c r="H82" s="312"/>
      <c r="I82" s="312"/>
      <c r="J82" s="312"/>
    </row>
    <row r="83" spans="2:10">
      <c r="B83" s="313"/>
      <c r="C83" s="312"/>
      <c r="D83" s="312"/>
      <c r="E83" s="312"/>
      <c r="F83" s="312"/>
      <c r="G83" s="312"/>
      <c r="H83" s="312"/>
      <c r="I83" s="312"/>
      <c r="J83" s="312"/>
    </row>
    <row r="84" spans="2:10">
      <c r="B84" s="313"/>
      <c r="C84" s="312"/>
      <c r="D84" s="312"/>
      <c r="E84" s="312"/>
      <c r="F84" s="312"/>
      <c r="G84" s="312"/>
      <c r="H84" s="312"/>
      <c r="I84" s="312"/>
      <c r="J84" s="312"/>
    </row>
    <row r="85" spans="2:10">
      <c r="B85" s="313"/>
      <c r="C85" s="312"/>
      <c r="D85" s="312"/>
      <c r="E85" s="312"/>
      <c r="F85" s="312"/>
      <c r="G85" s="312"/>
      <c r="H85" s="312"/>
      <c r="I85" s="312"/>
      <c r="J85" s="312"/>
    </row>
    <row r="86" spans="2:10">
      <c r="B86" s="313"/>
      <c r="C86" s="312"/>
      <c r="D86" s="312"/>
      <c r="E86" s="312"/>
      <c r="F86" s="312"/>
      <c r="G86" s="312"/>
      <c r="H86" s="312"/>
      <c r="I86" s="312"/>
      <c r="J86" s="312"/>
    </row>
    <row r="87" spans="2:10">
      <c r="B87" s="313"/>
      <c r="C87" s="312"/>
      <c r="D87" s="312"/>
      <c r="E87" s="312"/>
      <c r="F87" s="312"/>
      <c r="G87" s="312"/>
      <c r="H87" s="312"/>
      <c r="I87" s="312"/>
      <c r="J87" s="312"/>
    </row>
    <row r="88" spans="2:10">
      <c r="B88" s="313"/>
      <c r="C88" s="312"/>
      <c r="D88" s="312"/>
      <c r="E88" s="312"/>
      <c r="F88" s="312"/>
      <c r="G88" s="312"/>
      <c r="H88" s="312"/>
      <c r="I88" s="312"/>
      <c r="J88" s="312"/>
    </row>
    <row r="89" spans="2:10">
      <c r="B89" s="313"/>
      <c r="C89" s="312"/>
      <c r="D89" s="312"/>
      <c r="E89" s="312"/>
      <c r="F89" s="312"/>
      <c r="G89" s="312"/>
      <c r="H89" s="312"/>
      <c r="I89" s="312"/>
      <c r="J89" s="312"/>
    </row>
    <row r="90" spans="2:10">
      <c r="B90" s="313"/>
      <c r="C90" s="312"/>
      <c r="D90" s="312"/>
      <c r="E90" s="312"/>
      <c r="F90" s="312"/>
      <c r="G90" s="312"/>
      <c r="H90" s="312"/>
      <c r="I90" s="312"/>
      <c r="J90" s="312"/>
    </row>
    <row r="91" spans="2:10">
      <c r="B91" s="313"/>
      <c r="C91" s="312"/>
      <c r="D91" s="312"/>
      <c r="E91" s="312"/>
      <c r="F91" s="312"/>
      <c r="G91" s="312"/>
      <c r="H91" s="312"/>
      <c r="I91" s="312"/>
      <c r="J91" s="312"/>
    </row>
    <row r="92" spans="2:10">
      <c r="B92" s="313"/>
      <c r="C92" s="312"/>
      <c r="D92" s="312"/>
      <c r="E92" s="312"/>
      <c r="F92" s="312"/>
      <c r="G92" s="312"/>
      <c r="H92" s="312"/>
      <c r="I92" s="312"/>
      <c r="J92" s="312"/>
    </row>
    <row r="93" spans="2:10">
      <c r="B93" s="313"/>
      <c r="C93" s="312"/>
      <c r="D93" s="312"/>
      <c r="E93" s="312"/>
      <c r="F93" s="312"/>
      <c r="G93" s="312"/>
      <c r="H93" s="312"/>
      <c r="I93" s="312"/>
      <c r="J93" s="312"/>
    </row>
    <row r="94" spans="2:10">
      <c r="B94" s="313"/>
      <c r="C94" s="312"/>
      <c r="D94" s="312"/>
      <c r="E94" s="312"/>
      <c r="F94" s="312"/>
      <c r="G94" s="312"/>
      <c r="H94" s="312"/>
      <c r="I94" s="312"/>
      <c r="J94" s="312"/>
    </row>
    <row r="95" spans="2:10">
      <c r="B95" s="313"/>
      <c r="C95" s="312"/>
      <c r="D95" s="312"/>
      <c r="E95" s="312"/>
      <c r="F95" s="312"/>
      <c r="G95" s="312"/>
      <c r="H95" s="312"/>
      <c r="I95" s="312"/>
      <c r="J95" s="312"/>
    </row>
    <row r="96" spans="2:10">
      <c r="B96" s="313"/>
      <c r="C96" s="312"/>
      <c r="D96" s="312"/>
      <c r="E96" s="312"/>
      <c r="F96" s="312"/>
      <c r="G96" s="312"/>
      <c r="H96" s="312"/>
      <c r="I96" s="312"/>
      <c r="J96" s="312"/>
    </row>
    <row r="97" spans="2:10">
      <c r="B97" s="313"/>
      <c r="C97" s="312"/>
      <c r="D97" s="312"/>
      <c r="E97" s="312"/>
      <c r="F97" s="312"/>
      <c r="G97" s="312"/>
      <c r="H97" s="312"/>
      <c r="I97" s="312"/>
      <c r="J97" s="312"/>
    </row>
    <row r="98" spans="2:10">
      <c r="B98" s="313"/>
      <c r="C98" s="312"/>
      <c r="D98" s="312"/>
      <c r="E98" s="312"/>
      <c r="F98" s="312"/>
      <c r="G98" s="312"/>
      <c r="H98" s="312"/>
      <c r="I98" s="312"/>
      <c r="J98" s="312"/>
    </row>
    <row r="99" spans="2:10">
      <c r="B99" s="313"/>
      <c r="C99" s="312"/>
      <c r="D99" s="312"/>
      <c r="E99" s="312"/>
      <c r="F99" s="312"/>
      <c r="G99" s="312"/>
      <c r="H99" s="312"/>
      <c r="I99" s="312"/>
      <c r="J99" s="312"/>
    </row>
    <row r="100" spans="2:10">
      <c r="B100" s="313"/>
      <c r="C100" s="312"/>
      <c r="D100" s="312"/>
      <c r="E100" s="312"/>
      <c r="F100" s="312"/>
      <c r="G100" s="312"/>
      <c r="H100" s="312"/>
      <c r="I100" s="312"/>
      <c r="J100" s="312"/>
    </row>
    <row r="101" spans="2:10">
      <c r="B101" s="313"/>
      <c r="C101" s="312"/>
      <c r="D101" s="312"/>
      <c r="E101" s="312"/>
      <c r="F101" s="312"/>
      <c r="G101" s="312"/>
      <c r="H101" s="312"/>
      <c r="I101" s="312"/>
      <c r="J101" s="312"/>
    </row>
    <row r="102" spans="2:10">
      <c r="B102" s="311"/>
      <c r="C102" s="310"/>
      <c r="D102" s="310"/>
      <c r="E102" s="310"/>
      <c r="F102" s="310"/>
      <c r="H102" s="310"/>
    </row>
    <row r="103" spans="2:10">
      <c r="B103" s="311"/>
      <c r="C103" s="310"/>
      <c r="D103" s="310"/>
      <c r="E103" s="310"/>
      <c r="F103" s="310"/>
      <c r="H103" s="310"/>
    </row>
    <row r="104" spans="2:10">
      <c r="B104" s="311"/>
      <c r="C104" s="310"/>
      <c r="D104" s="310"/>
      <c r="E104" s="310"/>
      <c r="F104" s="310"/>
      <c r="H104" s="310"/>
    </row>
    <row r="105" spans="2:10">
      <c r="B105" s="311"/>
      <c r="C105" s="310"/>
      <c r="D105" s="310"/>
      <c r="E105" s="310"/>
      <c r="F105" s="310"/>
      <c r="H105" s="310"/>
    </row>
    <row r="106" spans="2:10">
      <c r="B106" s="311"/>
      <c r="C106" s="310"/>
      <c r="D106" s="310"/>
      <c r="E106" s="310"/>
      <c r="F106" s="310"/>
      <c r="H106" s="310"/>
    </row>
    <row r="107" spans="2:10">
      <c r="B107" s="311"/>
      <c r="C107" s="310"/>
      <c r="D107" s="310"/>
      <c r="E107" s="310"/>
      <c r="F107" s="310"/>
      <c r="H107" s="310"/>
    </row>
    <row r="108" spans="2:10">
      <c r="B108" s="311"/>
      <c r="C108" s="310"/>
      <c r="D108" s="310"/>
      <c r="E108" s="310"/>
      <c r="F108" s="310"/>
      <c r="H108" s="310"/>
    </row>
    <row r="109" spans="2:10">
      <c r="B109" s="311"/>
      <c r="C109" s="310"/>
      <c r="D109" s="310"/>
      <c r="E109" s="310"/>
      <c r="F109" s="310"/>
      <c r="H109" s="310"/>
    </row>
    <row r="110" spans="2:10">
      <c r="B110" s="311"/>
      <c r="C110" s="310"/>
      <c r="D110" s="310"/>
      <c r="E110" s="310"/>
      <c r="F110" s="310"/>
      <c r="H110" s="310"/>
    </row>
    <row r="111" spans="2:10">
      <c r="B111" s="311"/>
      <c r="C111" s="310"/>
      <c r="D111" s="310"/>
      <c r="E111" s="310"/>
      <c r="F111" s="310"/>
      <c r="H111" s="310"/>
    </row>
    <row r="112" spans="2:10">
      <c r="B112" s="311"/>
      <c r="C112" s="310"/>
      <c r="D112" s="310"/>
      <c r="E112" s="310"/>
      <c r="F112" s="310"/>
      <c r="H112" s="310"/>
    </row>
    <row r="113" spans="2:8">
      <c r="B113" s="311"/>
      <c r="C113" s="310"/>
      <c r="D113" s="310"/>
      <c r="E113" s="310"/>
      <c r="F113" s="310"/>
      <c r="H113" s="310"/>
    </row>
    <row r="114" spans="2:8">
      <c r="B114" s="311"/>
      <c r="C114" s="310"/>
      <c r="D114" s="310"/>
      <c r="E114" s="310"/>
      <c r="F114" s="310"/>
      <c r="H114" s="310"/>
    </row>
    <row r="115" spans="2:8">
      <c r="B115" s="311"/>
      <c r="C115" s="310"/>
      <c r="D115" s="310"/>
      <c r="E115" s="310"/>
      <c r="F115" s="310"/>
      <c r="H115" s="310"/>
    </row>
    <row r="116" spans="2:8">
      <c r="B116" s="311"/>
      <c r="C116" s="310"/>
      <c r="D116" s="310"/>
      <c r="E116" s="310"/>
      <c r="F116" s="310"/>
      <c r="H116" s="310"/>
    </row>
    <row r="117" spans="2:8">
      <c r="B117" s="311"/>
      <c r="C117" s="310"/>
      <c r="D117" s="310"/>
      <c r="E117" s="310"/>
      <c r="F117" s="310"/>
      <c r="H117" s="310"/>
    </row>
    <row r="118" spans="2:8">
      <c r="B118" s="311"/>
      <c r="C118" s="310"/>
      <c r="D118" s="310"/>
      <c r="E118" s="310"/>
      <c r="F118" s="310"/>
      <c r="H118" s="310"/>
    </row>
    <row r="119" spans="2:8">
      <c r="B119" s="311"/>
      <c r="C119" s="310"/>
      <c r="D119" s="310"/>
      <c r="E119" s="310"/>
      <c r="F119" s="310"/>
      <c r="H119" s="310"/>
    </row>
    <row r="120" spans="2:8">
      <c r="B120" s="311"/>
      <c r="C120" s="310"/>
      <c r="D120" s="310"/>
      <c r="E120" s="310"/>
      <c r="F120" s="310"/>
      <c r="H120" s="310"/>
    </row>
    <row r="121" spans="2:8">
      <c r="B121" s="311"/>
      <c r="C121" s="310"/>
      <c r="D121" s="310"/>
      <c r="E121" s="310"/>
      <c r="F121" s="310"/>
      <c r="H121" s="310"/>
    </row>
    <row r="122" spans="2:8">
      <c r="B122" s="311"/>
      <c r="C122" s="310"/>
      <c r="D122" s="310"/>
      <c r="E122" s="310"/>
      <c r="F122" s="310"/>
      <c r="H122" s="310"/>
    </row>
    <row r="123" spans="2:8">
      <c r="B123" s="311"/>
      <c r="C123" s="310"/>
      <c r="D123" s="310"/>
      <c r="E123" s="310"/>
      <c r="F123" s="310"/>
      <c r="H123" s="310"/>
    </row>
    <row r="124" spans="2:8">
      <c r="B124" s="311"/>
      <c r="C124" s="310"/>
      <c r="D124" s="310"/>
      <c r="E124" s="310"/>
      <c r="F124" s="310"/>
      <c r="H124" s="310"/>
    </row>
    <row r="125" spans="2:8">
      <c r="B125" s="311"/>
      <c r="C125" s="310"/>
      <c r="D125" s="310"/>
      <c r="E125" s="310"/>
      <c r="F125" s="310"/>
      <c r="H125" s="310"/>
    </row>
    <row r="126" spans="2:8">
      <c r="B126" s="311"/>
      <c r="C126" s="310"/>
      <c r="D126" s="310"/>
      <c r="E126" s="310"/>
      <c r="F126" s="310"/>
      <c r="H126" s="310"/>
    </row>
    <row r="127" spans="2:8">
      <c r="B127" s="311"/>
      <c r="C127" s="310"/>
      <c r="D127" s="310"/>
      <c r="E127" s="310"/>
      <c r="F127" s="310"/>
      <c r="H127" s="310"/>
    </row>
    <row r="128" spans="2:8">
      <c r="B128" s="311"/>
      <c r="C128" s="310"/>
      <c r="D128" s="310"/>
      <c r="E128" s="310"/>
      <c r="F128" s="310"/>
      <c r="H128" s="310"/>
    </row>
    <row r="129" spans="2:8">
      <c r="B129" s="311"/>
      <c r="C129" s="310"/>
      <c r="D129" s="310"/>
      <c r="E129" s="310"/>
      <c r="F129" s="310"/>
      <c r="H129" s="310"/>
    </row>
    <row r="130" spans="2:8">
      <c r="B130" s="311"/>
      <c r="C130" s="310"/>
      <c r="D130" s="310"/>
      <c r="E130" s="310"/>
      <c r="F130" s="310"/>
      <c r="H130" s="310"/>
    </row>
    <row r="131" spans="2:8">
      <c r="B131" s="311"/>
      <c r="C131" s="310"/>
      <c r="D131" s="310"/>
      <c r="E131" s="310"/>
      <c r="F131" s="310"/>
      <c r="H131" s="310"/>
    </row>
    <row r="132" spans="2:8">
      <c r="B132" s="311"/>
      <c r="C132" s="310"/>
      <c r="D132" s="310"/>
      <c r="E132" s="310"/>
      <c r="F132" s="310"/>
      <c r="H132" s="310"/>
    </row>
    <row r="133" spans="2:8">
      <c r="B133" s="311"/>
      <c r="C133" s="310"/>
      <c r="D133" s="310"/>
      <c r="E133" s="310"/>
      <c r="F133" s="310"/>
      <c r="H133" s="310"/>
    </row>
    <row r="134" spans="2:8">
      <c r="B134" s="311"/>
      <c r="C134" s="310"/>
      <c r="D134" s="310"/>
      <c r="E134" s="310"/>
      <c r="F134" s="310"/>
      <c r="H134" s="310"/>
    </row>
    <row r="135" spans="2:8">
      <c r="B135" s="311"/>
      <c r="C135" s="310"/>
      <c r="D135" s="310"/>
      <c r="E135" s="310"/>
      <c r="F135" s="310"/>
      <c r="H135" s="310"/>
    </row>
    <row r="136" spans="2:8">
      <c r="B136" s="311"/>
      <c r="C136" s="310"/>
      <c r="D136" s="310"/>
      <c r="E136" s="310"/>
      <c r="F136" s="310"/>
      <c r="H136" s="310"/>
    </row>
    <row r="137" spans="2:8">
      <c r="B137" s="311"/>
      <c r="C137" s="310"/>
      <c r="D137" s="310"/>
      <c r="E137" s="310"/>
      <c r="F137" s="310"/>
      <c r="H137" s="310"/>
    </row>
    <row r="138" spans="2:8">
      <c r="B138" s="311"/>
      <c r="C138" s="310"/>
      <c r="D138" s="310"/>
      <c r="E138" s="310"/>
      <c r="F138" s="310"/>
      <c r="H138" s="310"/>
    </row>
    <row r="139" spans="2:8">
      <c r="B139" s="311"/>
      <c r="C139" s="310"/>
      <c r="D139" s="310"/>
      <c r="E139" s="310"/>
      <c r="F139" s="310"/>
      <c r="H139" s="310"/>
    </row>
    <row r="140" spans="2:8">
      <c r="B140" s="311"/>
      <c r="C140" s="310"/>
      <c r="D140" s="310"/>
      <c r="E140" s="310"/>
      <c r="F140" s="310"/>
      <c r="H140" s="310"/>
    </row>
    <row r="141" spans="2:8">
      <c r="B141" s="311"/>
      <c r="C141" s="310"/>
      <c r="D141" s="310"/>
      <c r="E141" s="310"/>
      <c r="F141" s="310"/>
      <c r="H141" s="310"/>
    </row>
    <row r="142" spans="2:8">
      <c r="B142" s="311"/>
      <c r="C142" s="310"/>
      <c r="D142" s="310"/>
      <c r="E142" s="310"/>
      <c r="F142" s="310"/>
      <c r="H142" s="310"/>
    </row>
    <row r="143" spans="2:8">
      <c r="B143" s="311"/>
      <c r="C143" s="310"/>
      <c r="D143" s="310"/>
      <c r="E143" s="310"/>
      <c r="F143" s="310"/>
      <c r="H143" s="310"/>
    </row>
    <row r="144" spans="2:8">
      <c r="B144" s="311"/>
      <c r="C144" s="310"/>
      <c r="D144" s="310"/>
      <c r="E144" s="310"/>
      <c r="F144" s="310"/>
      <c r="H144" s="310"/>
    </row>
    <row r="145" spans="2:8">
      <c r="B145" s="311"/>
      <c r="C145" s="310"/>
      <c r="D145" s="310"/>
      <c r="E145" s="310"/>
      <c r="F145" s="310"/>
      <c r="H145" s="310"/>
    </row>
    <row r="146" spans="2:8">
      <c r="B146" s="311"/>
      <c r="C146" s="310"/>
      <c r="D146" s="310"/>
      <c r="E146" s="310"/>
      <c r="F146" s="310"/>
      <c r="H146" s="310"/>
    </row>
    <row r="147" spans="2:8">
      <c r="B147" s="311"/>
      <c r="C147" s="310"/>
      <c r="D147" s="310"/>
      <c r="E147" s="310"/>
      <c r="F147" s="310"/>
      <c r="H147" s="310"/>
    </row>
    <row r="148" spans="2:8">
      <c r="B148" s="311"/>
      <c r="C148" s="310"/>
      <c r="D148" s="310"/>
      <c r="E148" s="310"/>
      <c r="F148" s="310"/>
      <c r="H148" s="310"/>
    </row>
    <row r="149" spans="2:8">
      <c r="B149" s="311"/>
      <c r="C149" s="310"/>
      <c r="D149" s="310"/>
      <c r="E149" s="310"/>
      <c r="F149" s="310"/>
      <c r="H149" s="310"/>
    </row>
    <row r="150" spans="2:8">
      <c r="B150" s="311"/>
      <c r="C150" s="310"/>
      <c r="D150" s="310"/>
      <c r="E150" s="310"/>
      <c r="F150" s="310"/>
      <c r="H150" s="310"/>
    </row>
    <row r="151" spans="2:8">
      <c r="B151" s="311"/>
      <c r="C151" s="310"/>
      <c r="D151" s="310"/>
      <c r="E151" s="310"/>
      <c r="F151" s="310"/>
      <c r="H151" s="310"/>
    </row>
    <row r="152" spans="2:8">
      <c r="B152" s="311"/>
      <c r="C152" s="310"/>
      <c r="D152" s="310"/>
      <c r="E152" s="310"/>
      <c r="F152" s="310"/>
      <c r="H152" s="310"/>
    </row>
    <row r="153" spans="2:8">
      <c r="B153" s="311"/>
      <c r="C153" s="310"/>
      <c r="D153" s="310"/>
      <c r="E153" s="310"/>
      <c r="F153" s="310"/>
      <c r="H153" s="310"/>
    </row>
    <row r="154" spans="2:8">
      <c r="B154" s="311"/>
      <c r="C154" s="310"/>
      <c r="D154" s="310"/>
      <c r="E154" s="310"/>
      <c r="F154" s="310"/>
      <c r="H154" s="310"/>
    </row>
    <row r="155" spans="2:8">
      <c r="B155" s="311"/>
      <c r="C155" s="310"/>
      <c r="D155" s="310"/>
      <c r="E155" s="310"/>
      <c r="F155" s="310"/>
      <c r="H155" s="310"/>
    </row>
    <row r="156" spans="2:8">
      <c r="B156" s="311"/>
      <c r="C156" s="310"/>
      <c r="D156" s="310"/>
      <c r="E156" s="310"/>
      <c r="F156" s="310"/>
      <c r="H156" s="310"/>
    </row>
    <row r="157" spans="2:8">
      <c r="B157" s="311"/>
      <c r="C157" s="310"/>
      <c r="D157" s="310"/>
      <c r="E157" s="310"/>
      <c r="F157" s="310"/>
      <c r="H157" s="310"/>
    </row>
    <row r="158" spans="2:8">
      <c r="B158" s="311"/>
      <c r="C158" s="310"/>
      <c r="D158" s="310"/>
      <c r="E158" s="310"/>
      <c r="F158" s="310"/>
      <c r="H158" s="310"/>
    </row>
    <row r="159" spans="2:8">
      <c r="B159" s="311"/>
      <c r="C159" s="310"/>
      <c r="D159" s="310"/>
      <c r="E159" s="310"/>
      <c r="F159" s="310"/>
      <c r="H159" s="310"/>
    </row>
    <row r="160" spans="2:8">
      <c r="B160" s="311"/>
      <c r="C160" s="310"/>
      <c r="D160" s="310"/>
      <c r="E160" s="310"/>
      <c r="F160" s="310"/>
      <c r="H160" s="310"/>
    </row>
    <row r="161" spans="2:8">
      <c r="B161" s="311"/>
      <c r="C161" s="310"/>
      <c r="D161" s="310"/>
      <c r="E161" s="310"/>
      <c r="F161" s="310"/>
      <c r="H161" s="310"/>
    </row>
    <row r="162" spans="2:8">
      <c r="B162" s="311"/>
      <c r="C162" s="310"/>
      <c r="D162" s="310"/>
      <c r="E162" s="310"/>
      <c r="F162" s="310"/>
      <c r="H162" s="310"/>
    </row>
    <row r="163" spans="2:8">
      <c r="B163" s="311"/>
      <c r="C163" s="310"/>
      <c r="D163" s="310"/>
      <c r="E163" s="310"/>
      <c r="F163" s="310"/>
      <c r="H163" s="310"/>
    </row>
    <row r="164" spans="2:8">
      <c r="B164" s="311"/>
      <c r="C164" s="310"/>
      <c r="D164" s="310"/>
      <c r="E164" s="310"/>
      <c r="F164" s="310"/>
      <c r="H164" s="310"/>
    </row>
    <row r="165" spans="2:8">
      <c r="B165" s="311"/>
      <c r="C165" s="310"/>
      <c r="D165" s="310"/>
      <c r="E165" s="310"/>
      <c r="F165" s="310"/>
      <c r="H165" s="310"/>
    </row>
    <row r="166" spans="2:8">
      <c r="B166" s="311"/>
      <c r="C166" s="310"/>
      <c r="D166" s="310"/>
      <c r="E166" s="310"/>
      <c r="F166" s="310"/>
      <c r="H166" s="310"/>
    </row>
    <row r="167" spans="2:8">
      <c r="B167" s="311"/>
      <c r="C167" s="310"/>
      <c r="D167" s="310"/>
      <c r="E167" s="310"/>
      <c r="F167" s="310"/>
      <c r="H167" s="310"/>
    </row>
    <row r="168" spans="2:8">
      <c r="B168" s="311"/>
      <c r="C168" s="310"/>
      <c r="D168" s="310"/>
      <c r="E168" s="310"/>
      <c r="F168" s="310"/>
      <c r="H168" s="310"/>
    </row>
    <row r="169" spans="2:8">
      <c r="B169" s="311"/>
      <c r="C169" s="310"/>
      <c r="D169" s="310"/>
      <c r="E169" s="310"/>
      <c r="F169" s="310"/>
      <c r="H169" s="310"/>
    </row>
    <row r="170" spans="2:8">
      <c r="B170" s="311"/>
      <c r="C170" s="310"/>
      <c r="D170" s="310"/>
      <c r="E170" s="310"/>
      <c r="F170" s="310"/>
      <c r="H170" s="310"/>
    </row>
    <row r="171" spans="2:8">
      <c r="B171" s="311"/>
      <c r="C171" s="310"/>
      <c r="D171" s="310"/>
      <c r="E171" s="310"/>
      <c r="F171" s="310"/>
      <c r="H171" s="310"/>
    </row>
    <row r="172" spans="2:8">
      <c r="B172" s="311"/>
      <c r="C172" s="310"/>
      <c r="D172" s="310"/>
      <c r="E172" s="310"/>
      <c r="F172" s="310"/>
      <c r="H172" s="310"/>
    </row>
    <row r="173" spans="2:8">
      <c r="B173" s="311"/>
      <c r="C173" s="310"/>
      <c r="D173" s="310"/>
      <c r="E173" s="310"/>
      <c r="F173" s="310"/>
      <c r="H173" s="310"/>
    </row>
    <row r="174" spans="2:8">
      <c r="B174" s="311"/>
      <c r="C174" s="310"/>
      <c r="D174" s="310"/>
      <c r="E174" s="310"/>
      <c r="F174" s="310"/>
      <c r="H174" s="310"/>
    </row>
    <row r="175" spans="2:8">
      <c r="B175" s="311"/>
      <c r="C175" s="310"/>
      <c r="D175" s="310"/>
      <c r="E175" s="310"/>
      <c r="F175" s="310"/>
      <c r="H175" s="310"/>
    </row>
    <row r="176" spans="2:8">
      <c r="B176" s="311"/>
      <c r="C176" s="310"/>
      <c r="D176" s="310"/>
      <c r="E176" s="310"/>
      <c r="F176" s="310"/>
      <c r="H176" s="310"/>
    </row>
    <row r="177" spans="2:8">
      <c r="B177" s="311"/>
      <c r="C177" s="310"/>
      <c r="D177" s="310"/>
      <c r="E177" s="310"/>
      <c r="F177" s="310"/>
      <c r="H177" s="310"/>
    </row>
    <row r="178" spans="2:8">
      <c r="B178" s="311"/>
      <c r="C178" s="310"/>
      <c r="D178" s="310"/>
      <c r="E178" s="310"/>
      <c r="F178" s="310"/>
      <c r="H178" s="310"/>
    </row>
    <row r="179" spans="2:8">
      <c r="B179" s="311"/>
      <c r="C179" s="310"/>
      <c r="D179" s="310"/>
      <c r="E179" s="310"/>
      <c r="F179" s="310"/>
      <c r="H179" s="310"/>
    </row>
    <row r="180" spans="2:8">
      <c r="B180" s="311"/>
      <c r="C180" s="310"/>
      <c r="D180" s="310"/>
      <c r="E180" s="310"/>
      <c r="F180" s="310"/>
      <c r="H180" s="310"/>
    </row>
    <row r="181" spans="2:8">
      <c r="B181" s="311"/>
      <c r="C181" s="310"/>
      <c r="D181" s="310"/>
      <c r="E181" s="310"/>
      <c r="F181" s="310"/>
      <c r="H181" s="310"/>
    </row>
    <row r="182" spans="2:8">
      <c r="B182" s="311"/>
      <c r="C182" s="310"/>
      <c r="D182" s="310"/>
      <c r="E182" s="310"/>
      <c r="F182" s="310"/>
      <c r="H182" s="310"/>
    </row>
    <row r="183" spans="2:8">
      <c r="B183" s="311"/>
      <c r="C183" s="310"/>
      <c r="D183" s="310"/>
      <c r="E183" s="310"/>
      <c r="F183" s="310"/>
      <c r="H183" s="310"/>
    </row>
    <row r="184" spans="2:8">
      <c r="B184" s="311"/>
      <c r="C184" s="310"/>
      <c r="D184" s="310"/>
      <c r="E184" s="310"/>
      <c r="F184" s="310"/>
      <c r="H184" s="310"/>
    </row>
    <row r="185" spans="2:8">
      <c r="B185" s="311"/>
      <c r="C185" s="310"/>
      <c r="D185" s="310"/>
      <c r="E185" s="310"/>
      <c r="F185" s="310"/>
      <c r="H185" s="310"/>
    </row>
    <row r="186" spans="2:8">
      <c r="B186" s="311"/>
      <c r="C186" s="310"/>
      <c r="D186" s="310"/>
      <c r="E186" s="310"/>
      <c r="F186" s="310"/>
      <c r="H186" s="310"/>
    </row>
    <row r="187" spans="2:8">
      <c r="B187" s="311"/>
      <c r="C187" s="310"/>
      <c r="D187" s="310"/>
      <c r="E187" s="310"/>
      <c r="F187" s="310"/>
      <c r="H187" s="310"/>
    </row>
    <row r="188" spans="2:8">
      <c r="B188" s="311"/>
      <c r="C188" s="310"/>
      <c r="D188" s="310"/>
      <c r="E188" s="310"/>
      <c r="F188" s="310"/>
      <c r="H188" s="310"/>
    </row>
    <row r="189" spans="2:8">
      <c r="B189" s="311"/>
      <c r="C189" s="310"/>
      <c r="D189" s="310"/>
      <c r="E189" s="310"/>
      <c r="F189" s="310"/>
      <c r="H189" s="310"/>
    </row>
    <row r="190" spans="2:8">
      <c r="B190" s="311"/>
      <c r="C190" s="310"/>
      <c r="D190" s="310"/>
      <c r="E190" s="310"/>
      <c r="F190" s="310"/>
      <c r="H190" s="310"/>
    </row>
    <row r="191" spans="2:8">
      <c r="B191" s="311"/>
      <c r="C191" s="310"/>
      <c r="D191" s="310"/>
      <c r="E191" s="310"/>
      <c r="F191" s="310"/>
      <c r="H191" s="310"/>
    </row>
    <row r="192" spans="2:8">
      <c r="B192" s="311"/>
      <c r="C192" s="310"/>
      <c r="D192" s="310"/>
      <c r="E192" s="310"/>
      <c r="F192" s="310"/>
      <c r="H192" s="310"/>
    </row>
    <row r="193" spans="2:8">
      <c r="B193" s="311"/>
      <c r="C193" s="310"/>
      <c r="D193" s="310"/>
      <c r="E193" s="310"/>
      <c r="F193" s="310"/>
      <c r="H193" s="310"/>
    </row>
    <row r="194" spans="2:8">
      <c r="B194" s="311"/>
      <c r="C194" s="310"/>
      <c r="D194" s="310"/>
      <c r="E194" s="310"/>
      <c r="F194" s="310"/>
      <c r="H194" s="310"/>
    </row>
    <row r="195" spans="2:8">
      <c r="B195" s="311"/>
      <c r="C195" s="310"/>
      <c r="D195" s="310"/>
      <c r="E195" s="310"/>
      <c r="F195" s="310"/>
      <c r="H195" s="310"/>
    </row>
    <row r="196" spans="2:8">
      <c r="B196" s="311"/>
      <c r="C196" s="310"/>
      <c r="D196" s="310"/>
      <c r="E196" s="310"/>
      <c r="F196" s="310"/>
      <c r="H196" s="310"/>
    </row>
    <row r="197" spans="2:8">
      <c r="B197" s="311"/>
      <c r="C197" s="310"/>
      <c r="D197" s="310"/>
      <c r="E197" s="310"/>
      <c r="F197" s="310"/>
      <c r="H197" s="310"/>
    </row>
    <row r="198" spans="2:8">
      <c r="B198" s="311"/>
      <c r="C198" s="310"/>
      <c r="D198" s="310"/>
      <c r="E198" s="310"/>
      <c r="F198" s="310"/>
      <c r="H198" s="310"/>
    </row>
    <row r="199" spans="2:8">
      <c r="B199" s="311"/>
      <c r="C199" s="310"/>
      <c r="D199" s="310"/>
      <c r="E199" s="310"/>
      <c r="F199" s="310"/>
      <c r="H199" s="310"/>
    </row>
    <row r="200" spans="2:8">
      <c r="B200" s="311"/>
      <c r="C200" s="310"/>
      <c r="D200" s="310"/>
      <c r="E200" s="310"/>
      <c r="F200" s="310"/>
      <c r="H200" s="310"/>
    </row>
    <row r="201" spans="2:8">
      <c r="B201" s="311"/>
      <c r="C201" s="310"/>
      <c r="D201" s="310"/>
      <c r="E201" s="310"/>
      <c r="F201" s="310"/>
      <c r="H201" s="310"/>
    </row>
    <row r="202" spans="2:8">
      <c r="B202" s="311"/>
      <c r="C202" s="310"/>
      <c r="D202" s="310"/>
      <c r="E202" s="310"/>
      <c r="F202" s="310"/>
      <c r="H202" s="310"/>
    </row>
    <row r="203" spans="2:8">
      <c r="B203" s="311"/>
      <c r="C203" s="310"/>
      <c r="D203" s="310"/>
      <c r="E203" s="310"/>
      <c r="F203" s="310"/>
      <c r="H203" s="310"/>
    </row>
    <row r="204" spans="2:8">
      <c r="B204" s="311"/>
      <c r="C204" s="310"/>
      <c r="D204" s="310"/>
      <c r="E204" s="310"/>
      <c r="F204" s="310"/>
      <c r="H204" s="310"/>
    </row>
    <row r="205" spans="2:8">
      <c r="B205" s="311"/>
      <c r="C205" s="310"/>
      <c r="D205" s="310"/>
      <c r="E205" s="310"/>
      <c r="F205" s="310"/>
      <c r="H205" s="310"/>
    </row>
    <row r="206" spans="2:8">
      <c r="B206" s="311"/>
      <c r="C206" s="310"/>
      <c r="D206" s="310"/>
      <c r="E206" s="310"/>
      <c r="F206" s="310"/>
      <c r="H206" s="310"/>
    </row>
    <row r="207" spans="2:8">
      <c r="B207" s="311"/>
      <c r="C207" s="310"/>
      <c r="D207" s="310"/>
      <c r="E207" s="310"/>
      <c r="F207" s="310"/>
      <c r="H207" s="310"/>
    </row>
    <row r="208" spans="2:8">
      <c r="B208" s="311"/>
      <c r="C208" s="310"/>
      <c r="D208" s="310"/>
      <c r="E208" s="310"/>
      <c r="F208" s="310"/>
      <c r="H208" s="310"/>
    </row>
    <row r="209" spans="2:8">
      <c r="B209" s="311"/>
      <c r="C209" s="310"/>
      <c r="D209" s="310"/>
      <c r="E209" s="310"/>
      <c r="F209" s="310"/>
      <c r="H209" s="310"/>
    </row>
    <row r="210" spans="2:8">
      <c r="B210" s="311"/>
      <c r="C210" s="310"/>
      <c r="D210" s="310"/>
      <c r="E210" s="310"/>
      <c r="F210" s="310"/>
      <c r="H210" s="310"/>
    </row>
    <row r="211" spans="2:8">
      <c r="B211" s="311"/>
      <c r="C211" s="310"/>
      <c r="D211" s="310"/>
      <c r="E211" s="310"/>
      <c r="F211" s="310"/>
      <c r="H211" s="310"/>
    </row>
    <row r="212" spans="2:8">
      <c r="B212" s="311"/>
      <c r="C212" s="310"/>
      <c r="D212" s="310"/>
      <c r="E212" s="310"/>
      <c r="F212" s="310"/>
      <c r="H212" s="310"/>
    </row>
    <row r="213" spans="2:8">
      <c r="B213" s="311"/>
      <c r="C213" s="310"/>
      <c r="D213" s="310"/>
      <c r="E213" s="310"/>
      <c r="F213" s="310"/>
      <c r="H213" s="310"/>
    </row>
    <row r="214" spans="2:8">
      <c r="B214" s="311"/>
      <c r="C214" s="310"/>
      <c r="D214" s="310"/>
      <c r="E214" s="310"/>
      <c r="F214" s="310"/>
      <c r="H214" s="310"/>
    </row>
    <row r="215" spans="2:8">
      <c r="B215" s="311"/>
      <c r="C215" s="310"/>
      <c r="D215" s="310"/>
      <c r="E215" s="310"/>
      <c r="F215" s="310"/>
      <c r="H215" s="310"/>
    </row>
    <row r="216" spans="2:8">
      <c r="B216" s="311"/>
      <c r="C216" s="310"/>
      <c r="D216" s="310"/>
      <c r="E216" s="310"/>
      <c r="F216" s="310"/>
      <c r="H216" s="310"/>
    </row>
    <row r="217" spans="2:8">
      <c r="B217" s="311"/>
      <c r="C217" s="310"/>
      <c r="D217" s="310"/>
      <c r="E217" s="310"/>
      <c r="F217" s="310"/>
      <c r="H217" s="310"/>
    </row>
    <row r="218" spans="2:8">
      <c r="B218" s="311"/>
      <c r="C218" s="310"/>
      <c r="D218" s="310"/>
      <c r="E218" s="310"/>
      <c r="F218" s="310"/>
      <c r="H218" s="310"/>
    </row>
    <row r="219" spans="2:8">
      <c r="B219" s="311"/>
      <c r="C219" s="310"/>
      <c r="D219" s="310"/>
      <c r="E219" s="310"/>
      <c r="F219" s="310"/>
      <c r="H219" s="310"/>
    </row>
    <row r="220" spans="2:8">
      <c r="B220" s="311"/>
      <c r="C220" s="310"/>
      <c r="D220" s="310"/>
      <c r="E220" s="310"/>
      <c r="F220" s="310"/>
      <c r="H220" s="310"/>
    </row>
    <row r="221" spans="2:8">
      <c r="B221" s="311"/>
      <c r="C221" s="310"/>
      <c r="D221" s="310"/>
      <c r="E221" s="310"/>
      <c r="F221" s="310"/>
      <c r="H221" s="310"/>
    </row>
    <row r="222" spans="2:8">
      <c r="B222" s="311"/>
      <c r="C222" s="310"/>
      <c r="D222" s="310"/>
      <c r="E222" s="310"/>
      <c r="F222" s="310"/>
      <c r="H222" s="310"/>
    </row>
    <row r="223" spans="2:8">
      <c r="B223" s="311"/>
      <c r="C223" s="310"/>
      <c r="D223" s="310"/>
      <c r="E223" s="310"/>
      <c r="F223" s="310"/>
      <c r="H223" s="310"/>
    </row>
    <row r="224" spans="2:8">
      <c r="B224" s="311"/>
      <c r="C224" s="310"/>
      <c r="D224" s="310"/>
      <c r="E224" s="310"/>
      <c r="F224" s="310"/>
      <c r="H224" s="310"/>
    </row>
    <row r="225" spans="2:8">
      <c r="B225" s="311"/>
      <c r="C225" s="310"/>
      <c r="D225" s="310"/>
      <c r="E225" s="310"/>
      <c r="F225" s="310"/>
      <c r="H225" s="310"/>
    </row>
    <row r="226" spans="2:8">
      <c r="B226" s="311"/>
      <c r="C226" s="310"/>
      <c r="D226" s="310"/>
      <c r="E226" s="310"/>
      <c r="F226" s="310"/>
      <c r="H226" s="310"/>
    </row>
    <row r="227" spans="2:8">
      <c r="B227" s="311"/>
      <c r="C227" s="310"/>
      <c r="D227" s="310"/>
      <c r="E227" s="310"/>
      <c r="F227" s="310"/>
      <c r="H227" s="310"/>
    </row>
    <row r="228" spans="2:8">
      <c r="B228" s="311"/>
      <c r="C228" s="310"/>
      <c r="D228" s="310"/>
      <c r="E228" s="310"/>
      <c r="F228" s="310"/>
      <c r="H228" s="310"/>
    </row>
    <row r="229" spans="2:8">
      <c r="B229" s="311"/>
      <c r="C229" s="310"/>
      <c r="D229" s="310"/>
      <c r="E229" s="310"/>
      <c r="F229" s="310"/>
      <c r="H229" s="310"/>
    </row>
    <row r="230" spans="2:8">
      <c r="B230" s="311"/>
      <c r="C230" s="310"/>
      <c r="D230" s="310"/>
      <c r="E230" s="310"/>
      <c r="F230" s="310"/>
      <c r="H230" s="310"/>
    </row>
    <row r="231" spans="2:8">
      <c r="B231" s="311"/>
      <c r="C231" s="310"/>
      <c r="D231" s="310"/>
      <c r="E231" s="310"/>
      <c r="F231" s="310"/>
      <c r="H231" s="310"/>
    </row>
    <row r="232" spans="2:8">
      <c r="B232" s="311"/>
      <c r="C232" s="310"/>
      <c r="D232" s="310"/>
      <c r="E232" s="310"/>
      <c r="F232" s="310"/>
      <c r="H232" s="310"/>
    </row>
    <row r="233" spans="2:8">
      <c r="B233" s="311"/>
      <c r="C233" s="310"/>
      <c r="D233" s="310"/>
      <c r="E233" s="310"/>
      <c r="F233" s="310"/>
      <c r="H233" s="310"/>
    </row>
    <row r="234" spans="2:8">
      <c r="B234" s="311"/>
      <c r="C234" s="310"/>
      <c r="D234" s="310"/>
      <c r="E234" s="310"/>
      <c r="F234" s="310"/>
      <c r="H234" s="310"/>
    </row>
    <row r="235" spans="2:8">
      <c r="B235" s="311"/>
      <c r="C235" s="310"/>
      <c r="D235" s="310"/>
      <c r="E235" s="310"/>
      <c r="F235" s="310"/>
      <c r="H235" s="310"/>
    </row>
    <row r="236" spans="2:8">
      <c r="B236" s="311"/>
      <c r="C236" s="310"/>
      <c r="D236" s="310"/>
      <c r="E236" s="310"/>
      <c r="F236" s="310"/>
      <c r="H236" s="310"/>
    </row>
    <row r="237" spans="2:8">
      <c r="B237" s="311"/>
      <c r="C237" s="310"/>
      <c r="D237" s="310"/>
      <c r="E237" s="310"/>
      <c r="F237" s="310"/>
      <c r="H237" s="310"/>
    </row>
    <row r="238" spans="2:8">
      <c r="B238" s="311"/>
      <c r="C238" s="310"/>
      <c r="D238" s="310"/>
      <c r="E238" s="310"/>
      <c r="F238" s="310"/>
      <c r="H238" s="310"/>
    </row>
    <row r="239" spans="2:8">
      <c r="B239" s="311"/>
      <c r="C239" s="310"/>
      <c r="D239" s="310"/>
      <c r="E239" s="310"/>
      <c r="F239" s="310"/>
      <c r="H239" s="310"/>
    </row>
    <row r="240" spans="2:8">
      <c r="B240" s="311"/>
      <c r="C240" s="310"/>
      <c r="D240" s="310"/>
      <c r="E240" s="310"/>
      <c r="F240" s="310"/>
      <c r="H240" s="310"/>
    </row>
    <row r="241" spans="2:8">
      <c r="B241" s="311"/>
      <c r="C241" s="310"/>
      <c r="D241" s="310"/>
      <c r="E241" s="310"/>
      <c r="F241" s="310"/>
      <c r="H241" s="310"/>
    </row>
    <row r="242" spans="2:8">
      <c r="B242" s="311"/>
      <c r="C242" s="310"/>
      <c r="D242" s="310"/>
      <c r="E242" s="310"/>
      <c r="F242" s="310"/>
      <c r="H242" s="310"/>
    </row>
    <row r="243" spans="2:8">
      <c r="B243" s="311"/>
      <c r="C243" s="310"/>
      <c r="D243" s="310"/>
      <c r="E243" s="310"/>
      <c r="F243" s="310"/>
      <c r="H243" s="310"/>
    </row>
    <row r="244" spans="2:8">
      <c r="B244" s="311"/>
      <c r="C244" s="310"/>
      <c r="D244" s="310"/>
      <c r="E244" s="310"/>
      <c r="F244" s="310"/>
      <c r="H244" s="310"/>
    </row>
    <row r="245" spans="2:8">
      <c r="B245" s="311"/>
      <c r="C245" s="310"/>
      <c r="D245" s="310"/>
      <c r="E245" s="310"/>
      <c r="F245" s="310"/>
      <c r="H245" s="310"/>
    </row>
    <row r="246" spans="2:8">
      <c r="B246" s="311"/>
      <c r="C246" s="310"/>
      <c r="D246" s="310"/>
      <c r="E246" s="310"/>
      <c r="F246" s="310"/>
      <c r="H246" s="310"/>
    </row>
    <row r="247" spans="2:8">
      <c r="B247" s="311"/>
      <c r="C247" s="310"/>
      <c r="D247" s="310"/>
      <c r="E247" s="310"/>
      <c r="F247" s="310"/>
      <c r="H247" s="310"/>
    </row>
    <row r="248" spans="2:8">
      <c r="B248" s="311"/>
      <c r="C248" s="310"/>
      <c r="D248" s="310"/>
      <c r="E248" s="310"/>
      <c r="F248" s="310"/>
      <c r="H248" s="310"/>
    </row>
    <row r="249" spans="2:8">
      <c r="B249" s="311"/>
      <c r="C249" s="310"/>
      <c r="D249" s="310"/>
      <c r="E249" s="310"/>
      <c r="F249" s="310"/>
      <c r="H249" s="310"/>
    </row>
    <row r="250" spans="2:8">
      <c r="B250" s="311"/>
      <c r="C250" s="310"/>
      <c r="D250" s="310"/>
      <c r="E250" s="310"/>
      <c r="F250" s="310"/>
      <c r="H250" s="310"/>
    </row>
    <row r="251" spans="2:8">
      <c r="B251" s="311"/>
      <c r="C251" s="310"/>
      <c r="D251" s="310"/>
      <c r="E251" s="310"/>
      <c r="F251" s="310"/>
      <c r="H251" s="310"/>
    </row>
    <row r="252" spans="2:8">
      <c r="B252" s="311"/>
      <c r="C252" s="310"/>
      <c r="D252" s="310"/>
      <c r="E252" s="310"/>
      <c r="F252" s="310"/>
      <c r="H252" s="310"/>
    </row>
    <row r="253" spans="2:8">
      <c r="B253" s="311"/>
      <c r="C253" s="310"/>
      <c r="D253" s="310"/>
      <c r="E253" s="310"/>
      <c r="F253" s="310"/>
      <c r="H253" s="310"/>
    </row>
    <row r="254" spans="2:8">
      <c r="B254" s="311"/>
      <c r="C254" s="310"/>
      <c r="D254" s="310"/>
      <c r="E254" s="310"/>
      <c r="F254" s="310"/>
      <c r="H254" s="310"/>
    </row>
    <row r="255" spans="2:8">
      <c r="B255" s="311"/>
      <c r="C255" s="310"/>
      <c r="D255" s="310"/>
      <c r="E255" s="310"/>
      <c r="F255" s="310"/>
      <c r="H255" s="310"/>
    </row>
    <row r="256" spans="2:8">
      <c r="B256" s="311"/>
      <c r="C256" s="310"/>
      <c r="D256" s="310"/>
      <c r="E256" s="310"/>
      <c r="F256" s="310"/>
      <c r="H256" s="310"/>
    </row>
    <row r="257" spans="2:8">
      <c r="B257" s="311"/>
      <c r="C257" s="310"/>
      <c r="D257" s="310"/>
      <c r="E257" s="310"/>
      <c r="F257" s="310"/>
      <c r="H257" s="310"/>
    </row>
    <row r="258" spans="2:8">
      <c r="B258" s="311"/>
      <c r="C258" s="310"/>
      <c r="D258" s="310"/>
      <c r="E258" s="310"/>
      <c r="F258" s="310"/>
      <c r="H258" s="310"/>
    </row>
    <row r="259" spans="2:8">
      <c r="B259" s="311"/>
      <c r="C259" s="310"/>
      <c r="D259" s="310"/>
      <c r="E259" s="310"/>
      <c r="F259" s="310"/>
      <c r="H259" s="310"/>
    </row>
    <row r="260" spans="2:8">
      <c r="B260" s="311"/>
      <c r="C260" s="310"/>
      <c r="D260" s="310"/>
      <c r="E260" s="310"/>
      <c r="F260" s="310"/>
      <c r="H260" s="310"/>
    </row>
    <row r="261" spans="2:8">
      <c r="B261" s="311"/>
      <c r="C261" s="310"/>
      <c r="D261" s="310"/>
      <c r="E261" s="310"/>
      <c r="F261" s="310"/>
      <c r="H261" s="310"/>
    </row>
    <row r="262" spans="2:8">
      <c r="B262" s="311"/>
      <c r="C262" s="310"/>
      <c r="D262" s="310"/>
      <c r="E262" s="310"/>
      <c r="F262" s="310"/>
      <c r="H262" s="310"/>
    </row>
    <row r="263" spans="2:8">
      <c r="B263" s="311"/>
      <c r="C263" s="310"/>
      <c r="D263" s="310"/>
      <c r="E263" s="310"/>
      <c r="F263" s="310"/>
      <c r="H263" s="310"/>
    </row>
    <row r="264" spans="2:8">
      <c r="B264" s="311"/>
      <c r="C264" s="310"/>
      <c r="D264" s="310"/>
      <c r="E264" s="310"/>
      <c r="F264" s="310"/>
      <c r="H264" s="310"/>
    </row>
    <row r="265" spans="2:8">
      <c r="B265" s="311"/>
      <c r="C265" s="310"/>
      <c r="D265" s="310"/>
      <c r="E265" s="310"/>
      <c r="F265" s="310"/>
      <c r="H265" s="310"/>
    </row>
    <row r="266" spans="2:8">
      <c r="B266" s="311"/>
      <c r="C266" s="310"/>
      <c r="D266" s="310"/>
      <c r="E266" s="310"/>
      <c r="F266" s="310"/>
      <c r="H266" s="310"/>
    </row>
    <row r="267" spans="2:8">
      <c r="B267" s="311"/>
      <c r="C267" s="310"/>
      <c r="D267" s="310"/>
      <c r="E267" s="310"/>
      <c r="F267" s="310"/>
      <c r="H267" s="310"/>
    </row>
    <row r="268" spans="2:8">
      <c r="B268" s="311"/>
      <c r="C268" s="310"/>
      <c r="D268" s="310"/>
      <c r="E268" s="310"/>
      <c r="F268" s="310"/>
      <c r="H268" s="310"/>
    </row>
    <row r="269" spans="2:8">
      <c r="B269" s="311"/>
      <c r="C269" s="310"/>
      <c r="D269" s="310"/>
      <c r="E269" s="310"/>
      <c r="F269" s="310"/>
      <c r="H269" s="310"/>
    </row>
    <row r="270" spans="2:8">
      <c r="B270" s="311"/>
      <c r="C270" s="310"/>
      <c r="D270" s="310"/>
      <c r="E270" s="310"/>
      <c r="F270" s="310"/>
      <c r="H270" s="310"/>
    </row>
    <row r="271" spans="2:8">
      <c r="B271" s="311"/>
      <c r="C271" s="310"/>
      <c r="D271" s="310"/>
      <c r="E271" s="310"/>
      <c r="F271" s="310"/>
      <c r="H271" s="310"/>
    </row>
    <row r="272" spans="2:8">
      <c r="B272" s="311"/>
      <c r="C272" s="310"/>
      <c r="D272" s="310"/>
      <c r="E272" s="310"/>
      <c r="F272" s="310"/>
      <c r="H272" s="310"/>
    </row>
    <row r="273" spans="2:8">
      <c r="B273" s="311"/>
      <c r="C273" s="310"/>
      <c r="D273" s="310"/>
      <c r="E273" s="310"/>
      <c r="F273" s="310"/>
      <c r="H273" s="310"/>
    </row>
    <row r="274" spans="2:8">
      <c r="B274" s="311"/>
      <c r="C274" s="310"/>
      <c r="D274" s="310"/>
      <c r="E274" s="310"/>
      <c r="F274" s="310"/>
      <c r="H274" s="310"/>
    </row>
    <row r="275" spans="2:8">
      <c r="B275" s="311"/>
      <c r="C275" s="310"/>
      <c r="D275" s="310"/>
      <c r="E275" s="310"/>
      <c r="F275" s="310"/>
      <c r="H275" s="310"/>
    </row>
    <row r="276" spans="2:8">
      <c r="B276" s="311"/>
      <c r="C276" s="310"/>
      <c r="D276" s="310"/>
      <c r="E276" s="310"/>
      <c r="F276" s="310"/>
      <c r="H276" s="310"/>
    </row>
    <row r="277" spans="2:8">
      <c r="B277" s="311"/>
      <c r="C277" s="310"/>
      <c r="D277" s="310"/>
      <c r="E277" s="310"/>
      <c r="F277" s="310"/>
      <c r="H277" s="310"/>
    </row>
    <row r="278" spans="2:8">
      <c r="B278" s="311"/>
      <c r="C278" s="310"/>
      <c r="D278" s="310"/>
      <c r="E278" s="310"/>
      <c r="F278" s="310"/>
      <c r="H278" s="310"/>
    </row>
    <row r="279" spans="2:8">
      <c r="B279" s="311"/>
      <c r="C279" s="310"/>
      <c r="D279" s="310"/>
      <c r="E279" s="310"/>
      <c r="F279" s="310"/>
      <c r="H279" s="310"/>
    </row>
    <row r="280" spans="2:8">
      <c r="B280" s="311"/>
      <c r="C280" s="310"/>
      <c r="D280" s="310"/>
      <c r="E280" s="310"/>
      <c r="F280" s="310"/>
      <c r="H280" s="310"/>
    </row>
    <row r="281" spans="2:8">
      <c r="B281" s="311"/>
      <c r="C281" s="310"/>
      <c r="D281" s="310"/>
      <c r="E281" s="310"/>
      <c r="F281" s="310"/>
      <c r="H281" s="310"/>
    </row>
    <row r="282" spans="2:8">
      <c r="B282" s="311"/>
      <c r="C282" s="310"/>
      <c r="D282" s="310"/>
      <c r="E282" s="310"/>
      <c r="F282" s="310"/>
      <c r="H282" s="310"/>
    </row>
    <row r="283" spans="2:8">
      <c r="B283" s="311"/>
      <c r="C283" s="310"/>
      <c r="D283" s="310"/>
      <c r="E283" s="310"/>
      <c r="F283" s="310"/>
      <c r="H283" s="310"/>
    </row>
    <row r="284" spans="2:8">
      <c r="B284" s="311"/>
      <c r="C284" s="310"/>
      <c r="D284" s="310"/>
      <c r="E284" s="310"/>
      <c r="F284" s="310"/>
      <c r="H284" s="310"/>
    </row>
    <row r="285" spans="2:8">
      <c r="B285" s="311"/>
      <c r="C285" s="310"/>
      <c r="D285" s="310"/>
      <c r="E285" s="310"/>
      <c r="F285" s="310"/>
      <c r="H285" s="310"/>
    </row>
    <row r="286" spans="2:8">
      <c r="B286" s="311"/>
      <c r="C286" s="310"/>
      <c r="D286" s="310"/>
      <c r="E286" s="310"/>
      <c r="F286" s="310"/>
      <c r="H286" s="310"/>
    </row>
    <row r="287" spans="2:8">
      <c r="B287" s="311"/>
      <c r="C287" s="310"/>
      <c r="D287" s="310"/>
      <c r="E287" s="310"/>
      <c r="F287" s="310"/>
      <c r="H287" s="310"/>
    </row>
    <row r="288" spans="2:8">
      <c r="B288" s="311"/>
      <c r="C288" s="310"/>
      <c r="D288" s="310"/>
      <c r="E288" s="310"/>
      <c r="F288" s="310"/>
      <c r="H288" s="310"/>
    </row>
    <row r="289" spans="2:8">
      <c r="B289" s="311"/>
      <c r="C289" s="310"/>
      <c r="D289" s="310"/>
      <c r="E289" s="310"/>
      <c r="F289" s="310"/>
      <c r="H289" s="310"/>
    </row>
    <row r="290" spans="2:8">
      <c r="B290" s="311"/>
      <c r="C290" s="310"/>
      <c r="D290" s="310"/>
      <c r="E290" s="310"/>
      <c r="F290" s="310"/>
      <c r="H290" s="310"/>
    </row>
    <row r="291" spans="2:8">
      <c r="B291" s="311"/>
      <c r="C291" s="310"/>
      <c r="D291" s="310"/>
      <c r="E291" s="310"/>
      <c r="F291" s="310"/>
      <c r="H291" s="310"/>
    </row>
    <row r="292" spans="2:8">
      <c r="B292" s="311"/>
      <c r="C292" s="310"/>
      <c r="D292" s="310"/>
      <c r="E292" s="310"/>
      <c r="F292" s="310"/>
      <c r="H292" s="310"/>
    </row>
    <row r="293" spans="2:8">
      <c r="B293" s="311"/>
      <c r="C293" s="310"/>
      <c r="D293" s="310"/>
      <c r="E293" s="310"/>
      <c r="F293" s="310"/>
      <c r="H293" s="310"/>
    </row>
    <row r="294" spans="2:8">
      <c r="B294" s="311"/>
      <c r="C294" s="310"/>
      <c r="D294" s="310"/>
      <c r="E294" s="310"/>
      <c r="F294" s="310"/>
      <c r="H294" s="310"/>
    </row>
    <row r="295" spans="2:8">
      <c r="B295" s="311"/>
      <c r="C295" s="310"/>
      <c r="D295" s="310"/>
      <c r="E295" s="310"/>
      <c r="F295" s="310"/>
      <c r="H295" s="310"/>
    </row>
    <row r="296" spans="2:8">
      <c r="B296" s="311"/>
      <c r="C296" s="310"/>
      <c r="D296" s="310"/>
      <c r="E296" s="310"/>
      <c r="F296" s="310"/>
      <c r="H296" s="310"/>
    </row>
    <row r="297" spans="2:8">
      <c r="B297" s="311"/>
      <c r="C297" s="310"/>
      <c r="D297" s="310"/>
      <c r="E297" s="310"/>
      <c r="F297" s="310"/>
      <c r="H297" s="310"/>
    </row>
    <row r="298" spans="2:8">
      <c r="B298" s="311"/>
      <c r="C298" s="310"/>
      <c r="D298" s="310"/>
      <c r="E298" s="310"/>
      <c r="F298" s="310"/>
      <c r="H298" s="310"/>
    </row>
    <row r="299" spans="2:8">
      <c r="B299" s="311"/>
      <c r="C299" s="310"/>
      <c r="D299" s="310"/>
      <c r="E299" s="310"/>
      <c r="F299" s="310"/>
      <c r="H299" s="310"/>
    </row>
    <row r="300" spans="2:8">
      <c r="B300" s="311"/>
      <c r="C300" s="310"/>
      <c r="D300" s="310"/>
      <c r="E300" s="310"/>
      <c r="F300" s="310"/>
      <c r="H300" s="310"/>
    </row>
    <row r="301" spans="2:8">
      <c r="B301" s="311"/>
      <c r="C301" s="310"/>
      <c r="D301" s="310"/>
      <c r="E301" s="310"/>
      <c r="F301" s="310"/>
      <c r="H301" s="310"/>
    </row>
    <row r="302" spans="2:8">
      <c r="B302" s="311"/>
      <c r="C302" s="310"/>
      <c r="D302" s="310"/>
      <c r="E302" s="310"/>
      <c r="F302" s="310"/>
      <c r="H302" s="310"/>
    </row>
    <row r="303" spans="2:8">
      <c r="B303" s="311"/>
      <c r="C303" s="310"/>
      <c r="D303" s="310"/>
      <c r="E303" s="310"/>
      <c r="F303" s="310"/>
      <c r="H303" s="310"/>
    </row>
    <row r="304" spans="2:8">
      <c r="B304" s="311"/>
      <c r="C304" s="310"/>
      <c r="D304" s="310"/>
      <c r="E304" s="310"/>
      <c r="F304" s="310"/>
      <c r="H304" s="310"/>
    </row>
    <row r="305" spans="2:8">
      <c r="B305" s="311"/>
      <c r="C305" s="310"/>
      <c r="D305" s="310"/>
      <c r="E305" s="310"/>
      <c r="F305" s="310"/>
      <c r="H305" s="310"/>
    </row>
    <row r="306" spans="2:8">
      <c r="B306" s="311"/>
      <c r="C306" s="310"/>
      <c r="D306" s="310"/>
      <c r="E306" s="310"/>
      <c r="F306" s="310"/>
      <c r="H306" s="310"/>
    </row>
    <row r="307" spans="2:8">
      <c r="B307" s="311"/>
      <c r="C307" s="310"/>
      <c r="D307" s="310"/>
      <c r="E307" s="310"/>
      <c r="F307" s="310"/>
      <c r="H307" s="310"/>
    </row>
    <row r="308" spans="2:8">
      <c r="B308" s="311"/>
      <c r="C308" s="310"/>
      <c r="D308" s="310"/>
      <c r="E308" s="310"/>
      <c r="F308" s="310"/>
      <c r="H308" s="310"/>
    </row>
    <row r="309" spans="2:8">
      <c r="B309" s="311"/>
      <c r="C309" s="310"/>
      <c r="D309" s="310"/>
      <c r="E309" s="310"/>
      <c r="F309" s="310"/>
      <c r="H309" s="310"/>
    </row>
    <row r="310" spans="2:8">
      <c r="B310" s="311"/>
      <c r="C310" s="310"/>
      <c r="D310" s="310"/>
      <c r="E310" s="310"/>
      <c r="F310" s="310"/>
      <c r="H310" s="310"/>
    </row>
    <row r="311" spans="2:8">
      <c r="B311" s="311"/>
      <c r="C311" s="310"/>
      <c r="D311" s="310"/>
      <c r="E311" s="310"/>
      <c r="F311" s="310"/>
      <c r="H311" s="310"/>
    </row>
    <row r="312" spans="2:8">
      <c r="B312" s="311"/>
      <c r="C312" s="310"/>
      <c r="D312" s="310"/>
      <c r="E312" s="310"/>
      <c r="F312" s="310"/>
      <c r="H312" s="310"/>
    </row>
    <row r="313" spans="2:8">
      <c r="B313" s="311"/>
      <c r="C313" s="310"/>
      <c r="D313" s="310"/>
      <c r="E313" s="310"/>
      <c r="F313" s="310"/>
      <c r="H313" s="310"/>
    </row>
    <row r="314" spans="2:8">
      <c r="B314" s="311"/>
      <c r="C314" s="310"/>
      <c r="D314" s="310"/>
      <c r="E314" s="310"/>
      <c r="F314" s="310"/>
      <c r="H314" s="310"/>
    </row>
    <row r="315" spans="2:8">
      <c r="B315" s="311"/>
      <c r="C315" s="310"/>
      <c r="D315" s="310"/>
      <c r="E315" s="310"/>
      <c r="F315" s="310"/>
      <c r="H315" s="310"/>
    </row>
    <row r="316" spans="2:8">
      <c r="B316" s="311"/>
      <c r="C316" s="310"/>
      <c r="D316" s="310"/>
      <c r="E316" s="310"/>
      <c r="F316" s="310"/>
      <c r="H316" s="310"/>
    </row>
    <row r="317" spans="2:8">
      <c r="B317" s="311"/>
      <c r="C317" s="310"/>
      <c r="D317" s="310"/>
      <c r="E317" s="310"/>
      <c r="F317" s="310"/>
      <c r="H317" s="310"/>
    </row>
    <row r="318" spans="2:8">
      <c r="B318" s="311"/>
      <c r="C318" s="310"/>
      <c r="D318" s="310"/>
      <c r="E318" s="310"/>
      <c r="F318" s="310"/>
      <c r="H318" s="310"/>
    </row>
    <row r="319" spans="2:8">
      <c r="B319" s="311"/>
      <c r="C319" s="310"/>
      <c r="D319" s="310"/>
      <c r="E319" s="310"/>
      <c r="F319" s="310"/>
      <c r="H319" s="310"/>
    </row>
    <row r="320" spans="2:8">
      <c r="B320" s="311"/>
      <c r="C320" s="310"/>
      <c r="D320" s="310"/>
      <c r="E320" s="310"/>
      <c r="F320" s="310"/>
      <c r="H320" s="310"/>
    </row>
    <row r="321" spans="2:8">
      <c r="B321" s="311"/>
      <c r="C321" s="310"/>
      <c r="D321" s="310"/>
      <c r="E321" s="310"/>
      <c r="F321" s="310"/>
      <c r="H321" s="310"/>
    </row>
    <row r="322" spans="2:8">
      <c r="B322" s="311"/>
      <c r="C322" s="310"/>
      <c r="D322" s="310"/>
      <c r="E322" s="310"/>
      <c r="F322" s="310"/>
      <c r="H322" s="310"/>
    </row>
    <row r="323" spans="2:8">
      <c r="B323" s="311"/>
      <c r="C323" s="310"/>
      <c r="D323" s="310"/>
      <c r="E323" s="310"/>
      <c r="F323" s="310"/>
      <c r="H323" s="310"/>
    </row>
    <row r="324" spans="2:8">
      <c r="B324" s="311"/>
      <c r="C324" s="310"/>
      <c r="D324" s="310"/>
      <c r="E324" s="310"/>
      <c r="F324" s="310"/>
      <c r="H324" s="310"/>
    </row>
    <row r="325" spans="2:8">
      <c r="B325" s="311"/>
      <c r="C325" s="310"/>
      <c r="D325" s="310"/>
      <c r="E325" s="310"/>
      <c r="F325" s="310"/>
      <c r="H325" s="310"/>
    </row>
    <row r="326" spans="2:8">
      <c r="B326" s="311"/>
      <c r="C326" s="310"/>
      <c r="D326" s="310"/>
      <c r="E326" s="310"/>
      <c r="F326" s="310"/>
      <c r="H326" s="310"/>
    </row>
    <row r="327" spans="2:8">
      <c r="B327" s="311"/>
      <c r="C327" s="310"/>
      <c r="D327" s="310"/>
      <c r="E327" s="310"/>
      <c r="F327" s="310"/>
      <c r="H327" s="310"/>
    </row>
    <row r="328" spans="2:8">
      <c r="B328" s="311"/>
      <c r="C328" s="310"/>
      <c r="D328" s="310"/>
      <c r="E328" s="310"/>
      <c r="F328" s="310"/>
      <c r="H328" s="310"/>
    </row>
    <row r="329" spans="2:8">
      <c r="B329" s="311"/>
      <c r="C329" s="310"/>
      <c r="D329" s="310"/>
      <c r="E329" s="310"/>
      <c r="F329" s="310"/>
      <c r="H329" s="310"/>
    </row>
    <row r="330" spans="2:8">
      <c r="B330" s="311"/>
      <c r="C330" s="310"/>
      <c r="D330" s="310"/>
      <c r="E330" s="310"/>
      <c r="F330" s="310"/>
      <c r="H330" s="310"/>
    </row>
    <row r="331" spans="2:8">
      <c r="B331" s="311"/>
      <c r="C331" s="310"/>
      <c r="D331" s="310"/>
      <c r="E331" s="310"/>
      <c r="F331" s="310"/>
      <c r="H331" s="310"/>
    </row>
    <row r="332" spans="2:8">
      <c r="B332" s="311"/>
      <c r="C332" s="310"/>
      <c r="D332" s="310"/>
      <c r="E332" s="310"/>
      <c r="F332" s="310"/>
      <c r="H332" s="310"/>
    </row>
    <row r="333" spans="2:8">
      <c r="B333" s="311"/>
      <c r="C333" s="310"/>
      <c r="D333" s="310"/>
      <c r="E333" s="310"/>
      <c r="F333" s="310"/>
      <c r="H333" s="310"/>
    </row>
    <row r="334" spans="2:8">
      <c r="B334" s="311"/>
      <c r="C334" s="310"/>
      <c r="D334" s="310"/>
      <c r="E334" s="310"/>
      <c r="F334" s="310"/>
      <c r="H334" s="310"/>
    </row>
    <row r="335" spans="2:8">
      <c r="B335" s="311"/>
      <c r="C335" s="310"/>
      <c r="D335" s="310"/>
      <c r="E335" s="310"/>
      <c r="F335" s="310"/>
      <c r="H335" s="310"/>
    </row>
    <row r="336" spans="2:8">
      <c r="B336" s="311"/>
      <c r="C336" s="310"/>
      <c r="D336" s="310"/>
      <c r="E336" s="310"/>
      <c r="F336" s="310"/>
      <c r="H336" s="310"/>
    </row>
    <row r="337" spans="2:8">
      <c r="B337" s="311"/>
      <c r="C337" s="310"/>
      <c r="D337" s="310"/>
      <c r="E337" s="310"/>
      <c r="F337" s="310"/>
      <c r="H337" s="310"/>
    </row>
    <row r="338" spans="2:8">
      <c r="B338" s="311"/>
      <c r="C338" s="310"/>
      <c r="D338" s="310"/>
      <c r="E338" s="310"/>
      <c r="F338" s="310"/>
      <c r="H338" s="310"/>
    </row>
    <row r="339" spans="2:8">
      <c r="B339" s="311"/>
      <c r="C339" s="310"/>
      <c r="D339" s="310"/>
      <c r="E339" s="310"/>
      <c r="F339" s="310"/>
      <c r="H339" s="310"/>
    </row>
    <row r="340" spans="2:8">
      <c r="B340" s="311"/>
      <c r="C340" s="310"/>
      <c r="D340" s="310"/>
      <c r="E340" s="310"/>
      <c r="F340" s="310"/>
      <c r="H340" s="310"/>
    </row>
    <row r="341" spans="2:8">
      <c r="B341" s="311"/>
      <c r="C341" s="310"/>
      <c r="D341" s="310"/>
      <c r="E341" s="310"/>
      <c r="F341" s="310"/>
      <c r="H341" s="310"/>
    </row>
    <row r="342" spans="2:8">
      <c r="B342" s="311"/>
      <c r="C342" s="310"/>
      <c r="D342" s="310"/>
      <c r="E342" s="310"/>
      <c r="F342" s="310"/>
      <c r="H342" s="310"/>
    </row>
    <row r="343" spans="2:8">
      <c r="B343" s="311"/>
      <c r="C343" s="310"/>
      <c r="D343" s="310"/>
      <c r="E343" s="310"/>
      <c r="F343" s="310"/>
      <c r="H343" s="310"/>
    </row>
    <row r="344" spans="2:8">
      <c r="B344" s="311"/>
      <c r="C344" s="310"/>
      <c r="D344" s="310"/>
      <c r="E344" s="310"/>
      <c r="F344" s="310"/>
      <c r="H344" s="310"/>
    </row>
    <row r="345" spans="2:8">
      <c r="B345" s="311"/>
      <c r="C345" s="310"/>
      <c r="D345" s="310"/>
      <c r="E345" s="310"/>
      <c r="F345" s="310"/>
      <c r="H345" s="310"/>
    </row>
    <row r="346" spans="2:8">
      <c r="B346" s="311"/>
      <c r="C346" s="310"/>
      <c r="D346" s="310"/>
      <c r="E346" s="310"/>
      <c r="F346" s="310"/>
      <c r="H346" s="310"/>
    </row>
    <row r="347" spans="2:8">
      <c r="B347" s="311"/>
      <c r="C347" s="310"/>
      <c r="D347" s="310"/>
      <c r="E347" s="310"/>
      <c r="F347" s="310"/>
      <c r="H347" s="310"/>
    </row>
    <row r="348" spans="2:8">
      <c r="B348" s="311"/>
      <c r="C348" s="310"/>
      <c r="D348" s="310"/>
      <c r="E348" s="310"/>
      <c r="F348" s="310"/>
      <c r="H348" s="310"/>
    </row>
    <row r="349" spans="2:8">
      <c r="B349" s="311"/>
      <c r="C349" s="310"/>
      <c r="D349" s="310"/>
      <c r="E349" s="310"/>
      <c r="F349" s="310"/>
      <c r="H349" s="310"/>
    </row>
    <row r="350" spans="2:8">
      <c r="B350" s="311"/>
      <c r="C350" s="310"/>
      <c r="D350" s="310"/>
      <c r="E350" s="310"/>
      <c r="F350" s="310"/>
      <c r="H350" s="310"/>
    </row>
    <row r="351" spans="2:8">
      <c r="B351" s="311"/>
      <c r="C351" s="310"/>
      <c r="D351" s="310"/>
      <c r="E351" s="310"/>
      <c r="F351" s="310"/>
      <c r="H351" s="310"/>
    </row>
    <row r="352" spans="2:8">
      <c r="B352" s="311"/>
      <c r="C352" s="310"/>
      <c r="D352" s="310"/>
      <c r="E352" s="310"/>
      <c r="F352" s="310"/>
      <c r="H352" s="310"/>
    </row>
    <row r="353" spans="2:8">
      <c r="B353" s="311"/>
      <c r="C353" s="310"/>
      <c r="D353" s="310"/>
      <c r="E353" s="310"/>
      <c r="F353" s="310"/>
      <c r="H353" s="310"/>
    </row>
    <row r="354" spans="2:8">
      <c r="B354" s="311"/>
      <c r="C354" s="310"/>
      <c r="D354" s="310"/>
      <c r="E354" s="310"/>
      <c r="F354" s="310"/>
      <c r="H354" s="310"/>
    </row>
    <row r="355" spans="2:8">
      <c r="B355" s="311"/>
      <c r="C355" s="310"/>
      <c r="D355" s="310"/>
      <c r="E355" s="310"/>
      <c r="F355" s="310"/>
      <c r="H355" s="310"/>
    </row>
    <row r="356" spans="2:8">
      <c r="B356" s="311"/>
      <c r="C356" s="310"/>
      <c r="D356" s="310"/>
      <c r="E356" s="310"/>
      <c r="F356" s="310"/>
      <c r="H356" s="310"/>
    </row>
    <row r="357" spans="2:8">
      <c r="B357" s="311"/>
      <c r="C357" s="310"/>
      <c r="D357" s="310"/>
      <c r="E357" s="310"/>
      <c r="F357" s="310"/>
      <c r="H357" s="310"/>
    </row>
    <row r="358" spans="2:8">
      <c r="B358" s="311"/>
      <c r="C358" s="310"/>
      <c r="D358" s="310"/>
      <c r="E358" s="310"/>
      <c r="F358" s="310"/>
      <c r="H358" s="310"/>
    </row>
    <row r="359" spans="2:8">
      <c r="B359" s="311"/>
      <c r="C359" s="310"/>
      <c r="D359" s="310"/>
      <c r="E359" s="310"/>
      <c r="F359" s="310"/>
      <c r="H359" s="310"/>
    </row>
    <row r="360" spans="2:8">
      <c r="B360" s="311"/>
      <c r="C360" s="310"/>
      <c r="D360" s="310"/>
      <c r="E360" s="310"/>
      <c r="F360" s="310"/>
      <c r="H360" s="310"/>
    </row>
    <row r="361" spans="2:8">
      <c r="B361" s="311"/>
      <c r="C361" s="310"/>
      <c r="D361" s="310"/>
      <c r="E361" s="310"/>
      <c r="F361" s="310"/>
      <c r="H361" s="310"/>
    </row>
    <row r="362" spans="2:8">
      <c r="B362" s="311"/>
      <c r="C362" s="310"/>
      <c r="D362" s="310"/>
      <c r="E362" s="310"/>
      <c r="F362" s="310"/>
      <c r="H362" s="310"/>
    </row>
    <row r="363" spans="2:8">
      <c r="B363" s="311"/>
      <c r="C363" s="310"/>
      <c r="D363" s="310"/>
      <c r="E363" s="310"/>
      <c r="F363" s="310"/>
      <c r="H363" s="310"/>
    </row>
    <row r="364" spans="2:8">
      <c r="B364" s="311"/>
      <c r="C364" s="310"/>
      <c r="D364" s="310"/>
      <c r="E364" s="310"/>
      <c r="F364" s="310"/>
      <c r="H364" s="310"/>
    </row>
    <row r="365" spans="2:8">
      <c r="B365" s="311"/>
      <c r="C365" s="310"/>
      <c r="D365" s="310"/>
      <c r="E365" s="310"/>
      <c r="F365" s="310"/>
      <c r="H365" s="310"/>
    </row>
    <row r="366" spans="2:8">
      <c r="B366" s="311"/>
      <c r="C366" s="310"/>
      <c r="D366" s="310"/>
      <c r="E366" s="310"/>
      <c r="F366" s="310"/>
      <c r="H366" s="310"/>
    </row>
    <row r="367" spans="2:8">
      <c r="B367" s="311"/>
      <c r="C367" s="310"/>
      <c r="D367" s="310"/>
      <c r="E367" s="310"/>
      <c r="F367" s="310"/>
      <c r="H367" s="310"/>
    </row>
    <row r="368" spans="2:8">
      <c r="B368" s="311"/>
      <c r="C368" s="310"/>
      <c r="D368" s="310"/>
      <c r="E368" s="310"/>
      <c r="F368" s="310"/>
      <c r="H368" s="310"/>
    </row>
    <row r="369" spans="2:8">
      <c r="B369" s="311"/>
      <c r="C369" s="310"/>
      <c r="D369" s="310"/>
      <c r="E369" s="310"/>
      <c r="F369" s="310"/>
      <c r="H369" s="310"/>
    </row>
    <row r="370" spans="2:8">
      <c r="B370" s="311"/>
      <c r="C370" s="310"/>
      <c r="D370" s="310"/>
      <c r="E370" s="310"/>
      <c r="F370" s="310"/>
      <c r="H370" s="310"/>
    </row>
    <row r="371" spans="2:8">
      <c r="B371" s="311"/>
      <c r="C371" s="310"/>
      <c r="D371" s="310"/>
      <c r="E371" s="310"/>
      <c r="F371" s="310"/>
      <c r="H371" s="310"/>
    </row>
    <row r="372" spans="2:8">
      <c r="B372" s="311"/>
      <c r="C372" s="310"/>
      <c r="D372" s="310"/>
      <c r="E372" s="310"/>
      <c r="F372" s="310"/>
      <c r="H372" s="310"/>
    </row>
    <row r="373" spans="2:8">
      <c r="B373" s="311"/>
      <c r="C373" s="310"/>
      <c r="D373" s="310"/>
      <c r="E373" s="310"/>
      <c r="F373" s="310"/>
      <c r="H373" s="310"/>
    </row>
    <row r="374" spans="2:8">
      <c r="B374" s="311"/>
      <c r="C374" s="310"/>
      <c r="D374" s="310"/>
      <c r="E374" s="310"/>
      <c r="F374" s="310"/>
      <c r="H374" s="310"/>
    </row>
    <row r="375" spans="2:8">
      <c r="B375" s="311"/>
      <c r="C375" s="310"/>
      <c r="D375" s="310"/>
      <c r="E375" s="310"/>
      <c r="F375" s="310"/>
      <c r="H375" s="310"/>
    </row>
    <row r="376" spans="2:8">
      <c r="B376" s="311"/>
      <c r="C376" s="310"/>
      <c r="D376" s="310"/>
      <c r="E376" s="310"/>
      <c r="F376" s="310"/>
      <c r="H376" s="310"/>
    </row>
    <row r="377" spans="2:8">
      <c r="B377" s="311"/>
      <c r="C377" s="310"/>
      <c r="D377" s="310"/>
      <c r="E377" s="310"/>
      <c r="F377" s="310"/>
      <c r="H377" s="310"/>
    </row>
    <row r="378" spans="2:8">
      <c r="B378" s="311"/>
      <c r="C378" s="310"/>
      <c r="D378" s="310"/>
      <c r="E378" s="310"/>
      <c r="F378" s="310"/>
      <c r="H378" s="310"/>
    </row>
    <row r="379" spans="2:8">
      <c r="B379" s="311"/>
      <c r="C379" s="310"/>
      <c r="D379" s="310"/>
      <c r="E379" s="310"/>
      <c r="F379" s="310"/>
      <c r="H379" s="310"/>
    </row>
    <row r="380" spans="2:8">
      <c r="B380" s="311"/>
      <c r="C380" s="310"/>
      <c r="D380" s="310"/>
      <c r="E380" s="310"/>
      <c r="F380" s="310"/>
      <c r="H380" s="310"/>
    </row>
    <row r="381" spans="2:8">
      <c r="B381" s="311"/>
      <c r="C381" s="310"/>
      <c r="D381" s="310"/>
      <c r="E381" s="310"/>
      <c r="F381" s="310"/>
      <c r="H381" s="310"/>
    </row>
    <row r="382" spans="2:8">
      <c r="B382" s="311"/>
      <c r="C382" s="310"/>
      <c r="D382" s="310"/>
      <c r="E382" s="310"/>
      <c r="F382" s="310"/>
      <c r="H382" s="310"/>
    </row>
    <row r="383" spans="2:8">
      <c r="B383" s="311"/>
      <c r="C383" s="310"/>
      <c r="D383" s="310"/>
      <c r="E383" s="310"/>
      <c r="F383" s="310"/>
      <c r="H383" s="310"/>
    </row>
    <row r="384" spans="2:8">
      <c r="B384" s="311"/>
      <c r="C384" s="310"/>
      <c r="D384" s="310"/>
      <c r="E384" s="310"/>
      <c r="F384" s="310"/>
      <c r="H384" s="310"/>
    </row>
    <row r="385" spans="2:8">
      <c r="B385" s="311"/>
      <c r="C385" s="310"/>
      <c r="D385" s="310"/>
      <c r="E385" s="310"/>
      <c r="F385" s="310"/>
      <c r="H385" s="310"/>
    </row>
    <row r="386" spans="2:8">
      <c r="B386" s="311"/>
      <c r="C386" s="310"/>
      <c r="D386" s="310"/>
      <c r="E386" s="310"/>
      <c r="F386" s="310"/>
      <c r="H386" s="310"/>
    </row>
    <row r="387" spans="2:8">
      <c r="B387" s="311"/>
      <c r="C387" s="310"/>
      <c r="D387" s="310"/>
      <c r="E387" s="310"/>
      <c r="F387" s="310"/>
      <c r="H387" s="310"/>
    </row>
    <row r="388" spans="2:8">
      <c r="B388" s="311"/>
      <c r="C388" s="310"/>
      <c r="D388" s="310"/>
      <c r="E388" s="310"/>
      <c r="F388" s="310"/>
      <c r="H388" s="310"/>
    </row>
    <row r="389" spans="2:8">
      <c r="B389" s="311"/>
      <c r="C389" s="310"/>
      <c r="D389" s="310"/>
      <c r="E389" s="310"/>
      <c r="F389" s="310"/>
      <c r="H389" s="310"/>
    </row>
    <row r="390" spans="2:8">
      <c r="B390" s="311"/>
      <c r="C390" s="310"/>
      <c r="D390" s="310"/>
      <c r="E390" s="310"/>
      <c r="F390" s="310"/>
      <c r="H390" s="310"/>
    </row>
    <row r="391" spans="2:8">
      <c r="B391" s="311"/>
      <c r="C391" s="310"/>
      <c r="D391" s="310"/>
      <c r="E391" s="310"/>
      <c r="F391" s="310"/>
      <c r="H391" s="310"/>
    </row>
    <row r="392" spans="2:8">
      <c r="B392" s="311"/>
      <c r="C392" s="310"/>
      <c r="D392" s="310"/>
      <c r="E392" s="310"/>
      <c r="F392" s="310"/>
      <c r="H392" s="310"/>
    </row>
    <row r="393" spans="2:8">
      <c r="B393" s="311"/>
      <c r="C393" s="310"/>
      <c r="D393" s="310"/>
      <c r="E393" s="310"/>
      <c r="F393" s="310"/>
      <c r="H393" s="310"/>
    </row>
    <row r="394" spans="2:8">
      <c r="B394" s="311"/>
      <c r="C394" s="310"/>
      <c r="D394" s="310"/>
      <c r="E394" s="310"/>
      <c r="F394" s="310"/>
      <c r="H394" s="310"/>
    </row>
    <row r="395" spans="2:8">
      <c r="B395" s="311"/>
      <c r="C395" s="310"/>
      <c r="D395" s="310"/>
      <c r="E395" s="310"/>
      <c r="F395" s="310"/>
      <c r="H395" s="310"/>
    </row>
    <row r="396" spans="2:8">
      <c r="B396" s="311"/>
      <c r="C396" s="310"/>
      <c r="D396" s="310"/>
      <c r="E396" s="310"/>
      <c r="F396" s="310"/>
      <c r="H396" s="310"/>
    </row>
    <row r="397" spans="2:8">
      <c r="B397" s="311"/>
      <c r="C397" s="310"/>
      <c r="D397" s="310"/>
      <c r="E397" s="310"/>
      <c r="F397" s="310"/>
      <c r="H397" s="310"/>
    </row>
    <row r="398" spans="2:8">
      <c r="B398" s="311"/>
      <c r="C398" s="310"/>
      <c r="D398" s="310"/>
      <c r="E398" s="310"/>
      <c r="F398" s="310"/>
      <c r="H398" s="310"/>
    </row>
    <row r="399" spans="2:8">
      <c r="B399" s="311"/>
      <c r="C399" s="310"/>
      <c r="D399" s="310"/>
      <c r="E399" s="310"/>
      <c r="F399" s="310"/>
      <c r="H399" s="310"/>
    </row>
    <row r="400" spans="2:8">
      <c r="B400" s="311"/>
      <c r="C400" s="310"/>
      <c r="D400" s="310"/>
      <c r="E400" s="310"/>
      <c r="F400" s="310"/>
      <c r="H400" s="310"/>
    </row>
    <row r="401" spans="2:8">
      <c r="B401" s="311"/>
      <c r="C401" s="310"/>
      <c r="D401" s="310"/>
      <c r="E401" s="310"/>
      <c r="F401" s="310"/>
      <c r="H401" s="310"/>
    </row>
    <row r="402" spans="2:8">
      <c r="B402" s="311"/>
      <c r="C402" s="310"/>
      <c r="D402" s="310"/>
      <c r="E402" s="310"/>
      <c r="F402" s="310"/>
      <c r="H402" s="310"/>
    </row>
    <row r="403" spans="2:8">
      <c r="B403" s="311"/>
      <c r="C403" s="310"/>
      <c r="D403" s="310"/>
      <c r="E403" s="310"/>
      <c r="F403" s="310"/>
      <c r="H403" s="310"/>
    </row>
    <row r="404" spans="2:8">
      <c r="B404" s="311"/>
      <c r="C404" s="310"/>
      <c r="D404" s="310"/>
      <c r="E404" s="310"/>
      <c r="F404" s="310"/>
      <c r="H404" s="310"/>
    </row>
    <row r="405" spans="2:8">
      <c r="B405" s="311"/>
      <c r="C405" s="310"/>
      <c r="D405" s="310"/>
      <c r="E405" s="310"/>
      <c r="F405" s="310"/>
      <c r="H405" s="310"/>
    </row>
    <row r="406" spans="2:8">
      <c r="B406" s="311"/>
      <c r="C406" s="310"/>
      <c r="D406" s="310"/>
      <c r="E406" s="310"/>
      <c r="F406" s="310"/>
      <c r="H406" s="310"/>
    </row>
    <row r="407" spans="2:8">
      <c r="B407" s="311"/>
      <c r="C407" s="310"/>
      <c r="D407" s="310"/>
      <c r="E407" s="310"/>
      <c r="F407" s="310"/>
      <c r="H407" s="310"/>
    </row>
    <row r="408" spans="2:8">
      <c r="B408" s="311"/>
      <c r="C408" s="310"/>
      <c r="D408" s="310"/>
      <c r="E408" s="310"/>
      <c r="F408" s="310"/>
      <c r="H408" s="310"/>
    </row>
    <row r="409" spans="2:8">
      <c r="B409" s="311"/>
      <c r="C409" s="310"/>
      <c r="D409" s="310"/>
      <c r="E409" s="310"/>
      <c r="F409" s="310"/>
      <c r="H409" s="310"/>
    </row>
    <row r="410" spans="2:8">
      <c r="B410" s="311"/>
      <c r="C410" s="310"/>
      <c r="D410" s="310"/>
      <c r="E410" s="310"/>
      <c r="F410" s="310"/>
      <c r="H410" s="310"/>
    </row>
    <row r="411" spans="2:8">
      <c r="B411" s="311"/>
      <c r="C411" s="310"/>
      <c r="D411" s="310"/>
      <c r="E411" s="310"/>
      <c r="F411" s="310"/>
      <c r="H411" s="310"/>
    </row>
    <row r="412" spans="2:8">
      <c r="B412" s="311"/>
      <c r="C412" s="310"/>
      <c r="D412" s="310"/>
      <c r="E412" s="310"/>
      <c r="F412" s="310"/>
      <c r="H412" s="310"/>
    </row>
    <row r="413" spans="2:8">
      <c r="B413" s="311"/>
      <c r="C413" s="310"/>
      <c r="D413" s="310"/>
      <c r="E413" s="310"/>
      <c r="F413" s="310"/>
      <c r="H413" s="310"/>
    </row>
    <row r="414" spans="2:8">
      <c r="B414" s="311"/>
      <c r="C414" s="310"/>
      <c r="D414" s="310"/>
      <c r="E414" s="310"/>
      <c r="F414" s="310"/>
      <c r="H414" s="310"/>
    </row>
    <row r="415" spans="2:8">
      <c r="B415" s="311"/>
      <c r="C415" s="310"/>
      <c r="D415" s="310"/>
      <c r="E415" s="310"/>
      <c r="F415" s="310"/>
      <c r="H415" s="310"/>
    </row>
    <row r="416" spans="2:8">
      <c r="B416" s="311"/>
      <c r="C416" s="310"/>
      <c r="D416" s="310"/>
      <c r="E416" s="310"/>
      <c r="F416" s="310"/>
      <c r="H416" s="310"/>
    </row>
    <row r="417" spans="2:8">
      <c r="B417" s="311"/>
      <c r="C417" s="310"/>
      <c r="D417" s="310"/>
      <c r="E417" s="310"/>
      <c r="F417" s="310"/>
      <c r="H417" s="310"/>
    </row>
    <row r="418" spans="2:8">
      <c r="B418" s="311"/>
      <c r="C418" s="310"/>
      <c r="D418" s="310"/>
      <c r="E418" s="310"/>
      <c r="F418" s="310"/>
      <c r="H418" s="310"/>
    </row>
    <row r="419" spans="2:8">
      <c r="B419" s="311"/>
      <c r="C419" s="310"/>
      <c r="D419" s="310"/>
      <c r="E419" s="310"/>
      <c r="F419" s="310"/>
      <c r="H419" s="310"/>
    </row>
    <row r="420" spans="2:8">
      <c r="B420" s="311"/>
      <c r="C420" s="310"/>
      <c r="D420" s="310"/>
      <c r="E420" s="310"/>
      <c r="F420" s="310"/>
      <c r="H420" s="310"/>
    </row>
    <row r="421" spans="2:8">
      <c r="B421" s="311"/>
      <c r="C421" s="310"/>
      <c r="D421" s="310"/>
      <c r="E421" s="310"/>
      <c r="F421" s="310"/>
      <c r="H421" s="310"/>
    </row>
    <row r="422" spans="2:8">
      <c r="B422" s="311"/>
      <c r="C422" s="310"/>
      <c r="D422" s="310"/>
      <c r="E422" s="310"/>
      <c r="F422" s="310"/>
      <c r="H422" s="310"/>
    </row>
    <row r="423" spans="2:8">
      <c r="B423" s="311"/>
      <c r="C423" s="310"/>
      <c r="D423" s="310"/>
      <c r="E423" s="310"/>
      <c r="F423" s="310"/>
      <c r="H423" s="310"/>
    </row>
    <row r="424" spans="2:8">
      <c r="B424" s="311"/>
      <c r="C424" s="310"/>
      <c r="D424" s="310"/>
      <c r="E424" s="310"/>
      <c r="F424" s="310"/>
      <c r="H424" s="310"/>
    </row>
    <row r="425" spans="2:8">
      <c r="B425" s="311"/>
      <c r="C425" s="310"/>
      <c r="D425" s="310"/>
      <c r="E425" s="310"/>
      <c r="F425" s="310"/>
      <c r="H425" s="310"/>
    </row>
    <row r="426" spans="2:8">
      <c r="B426" s="311"/>
      <c r="C426" s="310"/>
      <c r="D426" s="310"/>
      <c r="E426" s="310"/>
      <c r="F426" s="310"/>
      <c r="H426" s="310"/>
    </row>
    <row r="427" spans="2:8">
      <c r="B427" s="311"/>
      <c r="C427" s="310"/>
      <c r="D427" s="310"/>
      <c r="E427" s="310"/>
      <c r="F427" s="310"/>
      <c r="H427" s="310"/>
    </row>
    <row r="428" spans="2:8">
      <c r="B428" s="311"/>
      <c r="C428" s="310"/>
      <c r="D428" s="310"/>
      <c r="E428" s="310"/>
      <c r="F428" s="310"/>
      <c r="H428" s="310"/>
    </row>
    <row r="429" spans="2:8">
      <c r="B429" s="311"/>
      <c r="C429" s="310"/>
      <c r="D429" s="310"/>
      <c r="E429" s="310"/>
      <c r="F429" s="310"/>
      <c r="H429" s="310"/>
    </row>
    <row r="430" spans="2:8">
      <c r="B430" s="311"/>
      <c r="C430" s="310"/>
      <c r="D430" s="310"/>
      <c r="E430" s="310"/>
      <c r="F430" s="310"/>
      <c r="H430" s="310"/>
    </row>
    <row r="431" spans="2:8">
      <c r="B431" s="311"/>
      <c r="C431" s="310"/>
      <c r="D431" s="310"/>
      <c r="E431" s="310"/>
      <c r="F431" s="310"/>
      <c r="H431" s="310"/>
    </row>
    <row r="432" spans="2:8">
      <c r="B432" s="311"/>
      <c r="C432" s="310"/>
      <c r="D432" s="310"/>
      <c r="E432" s="310"/>
      <c r="F432" s="310"/>
      <c r="H432" s="310"/>
    </row>
    <row r="433" spans="2:8">
      <c r="B433" s="311"/>
      <c r="C433" s="310"/>
      <c r="D433" s="310"/>
      <c r="E433" s="310"/>
      <c r="F433" s="310"/>
      <c r="H433" s="310"/>
    </row>
    <row r="434" spans="2:8">
      <c r="B434" s="311"/>
      <c r="C434" s="310"/>
      <c r="D434" s="310"/>
      <c r="E434" s="310"/>
      <c r="F434" s="310"/>
      <c r="H434" s="310"/>
    </row>
    <row r="435" spans="2:8">
      <c r="B435" s="311"/>
      <c r="C435" s="310"/>
      <c r="D435" s="310"/>
      <c r="E435" s="310"/>
      <c r="F435" s="310"/>
      <c r="H435" s="310"/>
    </row>
    <row r="436" spans="2:8">
      <c r="B436" s="311"/>
      <c r="C436" s="310"/>
      <c r="D436" s="310"/>
      <c r="E436" s="310"/>
      <c r="F436" s="310"/>
      <c r="H436" s="310"/>
    </row>
    <row r="437" spans="2:8">
      <c r="B437" s="311"/>
      <c r="C437" s="310"/>
      <c r="D437" s="310"/>
      <c r="E437" s="310"/>
      <c r="F437" s="310"/>
      <c r="H437" s="310"/>
    </row>
    <row r="438" spans="2:8">
      <c r="B438" s="311"/>
      <c r="C438" s="310"/>
      <c r="D438" s="310"/>
      <c r="E438" s="310"/>
      <c r="F438" s="310"/>
      <c r="H438" s="310"/>
    </row>
    <row r="439" spans="2:8">
      <c r="B439" s="311"/>
      <c r="C439" s="310"/>
      <c r="D439" s="310"/>
      <c r="E439" s="310"/>
      <c r="F439" s="310"/>
      <c r="H439" s="310"/>
    </row>
    <row r="440" spans="2:8">
      <c r="B440" s="311"/>
      <c r="C440" s="310"/>
      <c r="D440" s="310"/>
      <c r="E440" s="310"/>
      <c r="F440" s="310"/>
      <c r="H440" s="310"/>
    </row>
    <row r="441" spans="2:8">
      <c r="B441" s="311"/>
      <c r="C441" s="310"/>
      <c r="D441" s="310"/>
      <c r="E441" s="310"/>
      <c r="F441" s="310"/>
      <c r="H441" s="310"/>
    </row>
    <row r="442" spans="2:8">
      <c r="B442" s="311"/>
      <c r="C442" s="310"/>
      <c r="D442" s="310"/>
      <c r="E442" s="310"/>
      <c r="F442" s="310"/>
      <c r="H442" s="310"/>
    </row>
    <row r="443" spans="2:8">
      <c r="B443" s="311"/>
      <c r="C443" s="310"/>
      <c r="D443" s="310"/>
      <c r="E443" s="310"/>
      <c r="F443" s="310"/>
      <c r="H443" s="310"/>
    </row>
    <row r="444" spans="2:8">
      <c r="B444" s="311"/>
      <c r="C444" s="310"/>
      <c r="D444" s="310"/>
      <c r="E444" s="310"/>
      <c r="F444" s="310"/>
      <c r="H444" s="310"/>
    </row>
    <row r="445" spans="2:8">
      <c r="B445" s="311"/>
      <c r="C445" s="310"/>
      <c r="D445" s="310"/>
      <c r="E445" s="310"/>
      <c r="F445" s="310"/>
      <c r="H445" s="310"/>
    </row>
    <row r="446" spans="2:8">
      <c r="B446" s="311"/>
      <c r="C446" s="310"/>
      <c r="D446" s="310"/>
      <c r="E446" s="310"/>
      <c r="F446" s="310"/>
      <c r="H446" s="310"/>
    </row>
    <row r="447" spans="2:8">
      <c r="B447" s="311"/>
      <c r="C447" s="310"/>
      <c r="D447" s="310"/>
      <c r="E447" s="310"/>
      <c r="F447" s="310"/>
      <c r="H447" s="310"/>
    </row>
    <row r="448" spans="2:8">
      <c r="B448" s="311"/>
      <c r="C448" s="310"/>
      <c r="D448" s="310"/>
      <c r="E448" s="310"/>
      <c r="F448" s="310"/>
      <c r="H448" s="310"/>
    </row>
    <row r="449" spans="2:8">
      <c r="B449" s="311"/>
      <c r="C449" s="310"/>
      <c r="D449" s="310"/>
      <c r="E449" s="310"/>
      <c r="F449" s="310"/>
      <c r="H449" s="310"/>
    </row>
    <row r="450" spans="2:8">
      <c r="B450" s="311"/>
      <c r="C450" s="310"/>
      <c r="D450" s="310"/>
      <c r="E450" s="310"/>
      <c r="F450" s="310"/>
      <c r="H450" s="310"/>
    </row>
    <row r="451" spans="2:8">
      <c r="B451" s="311"/>
      <c r="C451" s="310"/>
      <c r="D451" s="310"/>
      <c r="E451" s="310"/>
      <c r="F451" s="310"/>
      <c r="H451" s="310"/>
    </row>
    <row r="452" spans="2:8">
      <c r="B452" s="311"/>
      <c r="C452" s="310"/>
      <c r="D452" s="310"/>
      <c r="E452" s="310"/>
      <c r="F452" s="310"/>
      <c r="H452" s="310"/>
    </row>
    <row r="453" spans="2:8">
      <c r="B453" s="311"/>
      <c r="C453" s="310"/>
      <c r="D453" s="310"/>
      <c r="E453" s="310"/>
      <c r="F453" s="310"/>
      <c r="H453" s="310"/>
    </row>
    <row r="454" spans="2:8">
      <c r="B454" s="311"/>
      <c r="C454" s="310"/>
      <c r="D454" s="310"/>
      <c r="E454" s="310"/>
      <c r="F454" s="310"/>
      <c r="H454" s="310"/>
    </row>
    <row r="455" spans="2:8">
      <c r="B455" s="311"/>
      <c r="C455" s="310"/>
      <c r="D455" s="310"/>
      <c r="E455" s="310"/>
      <c r="F455" s="310"/>
      <c r="H455" s="310"/>
    </row>
    <row r="456" spans="2:8">
      <c r="B456" s="311"/>
      <c r="C456" s="310"/>
      <c r="D456" s="310"/>
      <c r="E456" s="310"/>
      <c r="F456" s="310"/>
      <c r="H456" s="310"/>
    </row>
    <row r="457" spans="2:8">
      <c r="B457" s="311"/>
      <c r="C457" s="310"/>
      <c r="D457" s="310"/>
      <c r="E457" s="310"/>
      <c r="F457" s="310"/>
      <c r="H457" s="310"/>
    </row>
    <row r="458" spans="2:8">
      <c r="B458" s="311"/>
      <c r="C458" s="310"/>
      <c r="D458" s="310"/>
      <c r="E458" s="310"/>
      <c r="F458" s="310"/>
      <c r="H458" s="310"/>
    </row>
    <row r="459" spans="2:8">
      <c r="B459" s="311"/>
      <c r="C459" s="310"/>
      <c r="D459" s="310"/>
      <c r="E459" s="310"/>
      <c r="F459" s="310"/>
      <c r="H459" s="310"/>
    </row>
    <row r="460" spans="2:8">
      <c r="B460" s="311"/>
      <c r="C460" s="310"/>
      <c r="D460" s="310"/>
      <c r="E460" s="310"/>
      <c r="F460" s="310"/>
      <c r="H460" s="310"/>
    </row>
    <row r="461" spans="2:8">
      <c r="B461" s="311"/>
      <c r="C461" s="310"/>
      <c r="D461" s="310"/>
      <c r="E461" s="310"/>
      <c r="F461" s="310"/>
      <c r="H461" s="310"/>
    </row>
    <row r="462" spans="2:8">
      <c r="B462" s="311"/>
      <c r="C462" s="310"/>
      <c r="D462" s="310"/>
      <c r="E462" s="310"/>
      <c r="F462" s="310"/>
      <c r="H462" s="310"/>
    </row>
    <row r="463" spans="2:8">
      <c r="B463" s="311"/>
      <c r="C463" s="310"/>
      <c r="D463" s="310"/>
      <c r="E463" s="310"/>
      <c r="F463" s="310"/>
      <c r="H463" s="310"/>
    </row>
    <row r="464" spans="2:8">
      <c r="B464" s="311"/>
      <c r="C464" s="310"/>
      <c r="D464" s="310"/>
      <c r="E464" s="310"/>
      <c r="F464" s="310"/>
      <c r="H464" s="310"/>
    </row>
    <row r="465" spans="2:8">
      <c r="B465" s="311"/>
      <c r="C465" s="310"/>
      <c r="D465" s="310"/>
      <c r="E465" s="310"/>
      <c r="F465" s="310"/>
      <c r="H465" s="310"/>
    </row>
    <row r="466" spans="2:8">
      <c r="B466" s="311"/>
      <c r="C466" s="310"/>
      <c r="D466" s="310"/>
      <c r="E466" s="310"/>
      <c r="F466" s="310"/>
      <c r="H466" s="310"/>
    </row>
    <row r="467" spans="2:8">
      <c r="B467" s="311"/>
      <c r="C467" s="310"/>
      <c r="D467" s="310"/>
      <c r="E467" s="310"/>
      <c r="F467" s="310"/>
      <c r="H467" s="310"/>
    </row>
    <row r="468" spans="2:8">
      <c r="B468" s="311"/>
      <c r="C468" s="310"/>
      <c r="D468" s="310"/>
      <c r="E468" s="310"/>
      <c r="F468" s="310"/>
      <c r="H468" s="310"/>
    </row>
    <row r="469" spans="2:8">
      <c r="B469" s="311"/>
      <c r="C469" s="310"/>
      <c r="D469" s="310"/>
      <c r="E469" s="310"/>
      <c r="F469" s="310"/>
      <c r="H469" s="310"/>
    </row>
    <row r="470" spans="2:8">
      <c r="B470" s="311"/>
      <c r="C470" s="310"/>
      <c r="D470" s="310"/>
      <c r="E470" s="310"/>
      <c r="F470" s="310"/>
      <c r="H470" s="310"/>
    </row>
    <row r="471" spans="2:8">
      <c r="B471" s="311"/>
      <c r="C471" s="310"/>
      <c r="D471" s="310"/>
      <c r="E471" s="310"/>
      <c r="F471" s="310"/>
      <c r="H471" s="310"/>
    </row>
    <row r="472" spans="2:8">
      <c r="B472" s="311"/>
      <c r="C472" s="310"/>
      <c r="D472" s="310"/>
      <c r="E472" s="310"/>
      <c r="F472" s="310"/>
      <c r="H472" s="310"/>
    </row>
    <row r="473" spans="2:8">
      <c r="B473" s="311"/>
      <c r="C473" s="310"/>
      <c r="D473" s="310"/>
      <c r="E473" s="310"/>
      <c r="F473" s="310"/>
      <c r="H473" s="310"/>
    </row>
    <row r="474" spans="2:8">
      <c r="B474" s="311"/>
      <c r="C474" s="310"/>
      <c r="D474" s="310"/>
      <c r="E474" s="310"/>
      <c r="F474" s="310"/>
      <c r="H474" s="310"/>
    </row>
    <row r="475" spans="2:8">
      <c r="B475" s="311"/>
      <c r="C475" s="310"/>
      <c r="D475" s="310"/>
      <c r="E475" s="310"/>
      <c r="F475" s="310"/>
      <c r="H475" s="310"/>
    </row>
    <row r="476" spans="2:8">
      <c r="B476" s="311"/>
      <c r="C476" s="310"/>
      <c r="D476" s="310"/>
      <c r="E476" s="310"/>
      <c r="F476" s="310"/>
      <c r="H476" s="310"/>
    </row>
    <row r="477" spans="2:8">
      <c r="B477" s="311"/>
      <c r="C477" s="310"/>
      <c r="D477" s="310"/>
      <c r="E477" s="310"/>
      <c r="F477" s="310"/>
      <c r="H477" s="310"/>
    </row>
    <row r="478" spans="2:8">
      <c r="B478" s="311"/>
      <c r="C478" s="310"/>
      <c r="D478" s="310"/>
      <c r="E478" s="310"/>
      <c r="F478" s="310"/>
      <c r="H478" s="310"/>
    </row>
    <row r="479" spans="2:8">
      <c r="B479" s="311"/>
      <c r="C479" s="310"/>
      <c r="D479" s="310"/>
      <c r="E479" s="310"/>
      <c r="F479" s="310"/>
      <c r="H479" s="310"/>
    </row>
    <row r="480" spans="2:8">
      <c r="B480" s="311"/>
      <c r="C480" s="310"/>
      <c r="D480" s="310"/>
      <c r="E480" s="310"/>
      <c r="F480" s="310"/>
      <c r="H480" s="310"/>
    </row>
    <row r="481" spans="2:8">
      <c r="B481" s="311"/>
      <c r="C481" s="310"/>
      <c r="D481" s="310"/>
      <c r="E481" s="310"/>
      <c r="F481" s="310"/>
      <c r="H481" s="310"/>
    </row>
    <row r="482" spans="2:8">
      <c r="B482" s="311"/>
      <c r="C482" s="310"/>
      <c r="D482" s="310"/>
      <c r="E482" s="310"/>
      <c r="F482" s="310"/>
      <c r="H482" s="310"/>
    </row>
    <row r="483" spans="2:8">
      <c r="B483" s="311"/>
      <c r="C483" s="310"/>
      <c r="D483" s="310"/>
      <c r="E483" s="310"/>
      <c r="F483" s="310"/>
      <c r="H483" s="310"/>
    </row>
    <row r="484" spans="2:8">
      <c r="B484" s="311"/>
      <c r="C484" s="310"/>
      <c r="D484" s="310"/>
      <c r="E484" s="310"/>
      <c r="F484" s="310"/>
      <c r="H484" s="310"/>
    </row>
    <row r="485" spans="2:8">
      <c r="B485" s="311"/>
      <c r="C485" s="310"/>
      <c r="D485" s="310"/>
      <c r="E485" s="310"/>
      <c r="F485" s="310"/>
      <c r="H485" s="310"/>
    </row>
    <row r="486" spans="2:8">
      <c r="B486" s="311"/>
      <c r="C486" s="310"/>
      <c r="D486" s="310"/>
      <c r="E486" s="310"/>
      <c r="F486" s="310"/>
      <c r="H486" s="310"/>
    </row>
    <row r="487" spans="2:8">
      <c r="B487" s="311"/>
      <c r="C487" s="310"/>
      <c r="D487" s="310"/>
      <c r="E487" s="310"/>
      <c r="F487" s="310"/>
      <c r="H487" s="310"/>
    </row>
    <row r="488" spans="2:8">
      <c r="B488" s="311"/>
      <c r="C488" s="310"/>
      <c r="D488" s="310"/>
      <c r="E488" s="310"/>
      <c r="F488" s="310"/>
      <c r="H488" s="310"/>
    </row>
    <row r="489" spans="2:8">
      <c r="B489" s="311"/>
      <c r="C489" s="310"/>
      <c r="D489" s="310"/>
      <c r="E489" s="310"/>
      <c r="F489" s="310"/>
      <c r="H489" s="310"/>
    </row>
    <row r="490" spans="2:8">
      <c r="B490" s="311"/>
      <c r="C490" s="310"/>
      <c r="D490" s="310"/>
      <c r="E490" s="310"/>
      <c r="F490" s="310"/>
      <c r="H490" s="310"/>
    </row>
    <row r="491" spans="2:8">
      <c r="B491" s="311"/>
      <c r="C491" s="310"/>
      <c r="D491" s="310"/>
      <c r="E491" s="310"/>
      <c r="F491" s="310"/>
      <c r="H491" s="310"/>
    </row>
    <row r="492" spans="2:8">
      <c r="B492" s="311"/>
      <c r="C492" s="310"/>
      <c r="D492" s="310"/>
      <c r="E492" s="310"/>
      <c r="F492" s="310"/>
      <c r="H492" s="310"/>
    </row>
    <row r="493" spans="2:8">
      <c r="B493" s="311"/>
      <c r="C493" s="310"/>
      <c r="D493" s="310"/>
      <c r="E493" s="310"/>
      <c r="F493" s="310"/>
      <c r="H493" s="310"/>
    </row>
    <row r="494" spans="2:8">
      <c r="B494" s="311"/>
      <c r="C494" s="310"/>
      <c r="D494" s="310"/>
      <c r="E494" s="310"/>
      <c r="F494" s="310"/>
      <c r="H494" s="310"/>
    </row>
    <row r="495" spans="2:8">
      <c r="B495" s="311"/>
      <c r="C495" s="310"/>
      <c r="D495" s="310"/>
      <c r="E495" s="310"/>
      <c r="F495" s="310"/>
      <c r="H495" s="310"/>
    </row>
    <row r="496" spans="2:8">
      <c r="B496" s="311"/>
      <c r="C496" s="310"/>
      <c r="D496" s="310"/>
      <c r="E496" s="310"/>
      <c r="F496" s="310"/>
      <c r="H496" s="310"/>
    </row>
    <row r="497" spans="2:8">
      <c r="B497" s="311"/>
      <c r="C497" s="310"/>
      <c r="D497" s="310"/>
      <c r="E497" s="310"/>
      <c r="F497" s="310"/>
      <c r="H497" s="310"/>
    </row>
    <row r="498" spans="2:8">
      <c r="B498" s="311"/>
      <c r="C498" s="310"/>
      <c r="D498" s="310"/>
      <c r="E498" s="310"/>
      <c r="F498" s="310"/>
      <c r="H498" s="310"/>
    </row>
    <row r="499" spans="2:8">
      <c r="B499" s="311"/>
      <c r="C499" s="310"/>
      <c r="D499" s="310"/>
      <c r="E499" s="310"/>
      <c r="F499" s="310"/>
      <c r="H499" s="310"/>
    </row>
    <row r="500" spans="2:8">
      <c r="B500" s="311"/>
      <c r="C500" s="310"/>
      <c r="D500" s="310"/>
      <c r="E500" s="310"/>
      <c r="F500" s="310"/>
      <c r="H500" s="310"/>
    </row>
    <row r="501" spans="2:8">
      <c r="B501" s="311"/>
      <c r="C501" s="310"/>
      <c r="D501" s="310"/>
      <c r="E501" s="310"/>
      <c r="F501" s="310"/>
      <c r="H501" s="310"/>
    </row>
    <row r="502" spans="2:8">
      <c r="B502" s="311"/>
      <c r="C502" s="310"/>
      <c r="D502" s="310"/>
      <c r="E502" s="310"/>
      <c r="F502" s="310"/>
      <c r="H502" s="310"/>
    </row>
    <row r="503" spans="2:8">
      <c r="B503" s="311"/>
      <c r="C503" s="310"/>
      <c r="D503" s="310"/>
      <c r="E503" s="310"/>
      <c r="F503" s="310"/>
      <c r="H503" s="310"/>
    </row>
    <row r="504" spans="2:8">
      <c r="B504" s="311"/>
      <c r="C504" s="310"/>
      <c r="D504" s="310"/>
      <c r="E504" s="310"/>
      <c r="F504" s="310"/>
      <c r="H504" s="310"/>
    </row>
    <row r="505" spans="2:8">
      <c r="B505" s="311"/>
      <c r="C505" s="310"/>
      <c r="D505" s="310"/>
      <c r="E505" s="310"/>
      <c r="F505" s="310"/>
      <c r="H505" s="310"/>
    </row>
    <row r="506" spans="2:8">
      <c r="B506" s="311"/>
      <c r="C506" s="310"/>
      <c r="D506" s="310"/>
      <c r="E506" s="310"/>
      <c r="F506" s="310"/>
      <c r="H506" s="310"/>
    </row>
    <row r="507" spans="2:8">
      <c r="B507" s="311"/>
      <c r="C507" s="310"/>
      <c r="D507" s="310"/>
      <c r="E507" s="310"/>
      <c r="F507" s="310"/>
      <c r="H507" s="310"/>
    </row>
    <row r="508" spans="2:8">
      <c r="B508" s="311"/>
      <c r="C508" s="310"/>
      <c r="D508" s="310"/>
      <c r="E508" s="310"/>
      <c r="F508" s="310"/>
      <c r="H508" s="310"/>
    </row>
    <row r="509" spans="2:8">
      <c r="B509" s="311"/>
      <c r="C509" s="310"/>
      <c r="D509" s="310"/>
      <c r="E509" s="310"/>
      <c r="F509" s="310"/>
      <c r="H509" s="310"/>
    </row>
    <row r="510" spans="2:8">
      <c r="B510" s="311"/>
      <c r="C510" s="310"/>
      <c r="D510" s="310"/>
      <c r="E510" s="310"/>
      <c r="F510" s="310"/>
      <c r="H510" s="310"/>
    </row>
    <row r="511" spans="2:8">
      <c r="B511" s="311"/>
      <c r="C511" s="310"/>
      <c r="D511" s="310"/>
      <c r="E511" s="310"/>
      <c r="F511" s="310"/>
      <c r="H511" s="310"/>
    </row>
    <row r="512" spans="2:8">
      <c r="B512" s="311"/>
      <c r="C512" s="310"/>
      <c r="D512" s="310"/>
      <c r="E512" s="310"/>
      <c r="F512" s="310"/>
      <c r="H512" s="310"/>
    </row>
    <row r="513" spans="2:8">
      <c r="B513" s="311"/>
      <c r="C513" s="310"/>
      <c r="D513" s="310"/>
      <c r="E513" s="310"/>
      <c r="F513" s="310"/>
      <c r="H513" s="310"/>
    </row>
    <row r="514" spans="2:8">
      <c r="B514" s="311"/>
      <c r="C514" s="310"/>
      <c r="D514" s="310"/>
      <c r="E514" s="310"/>
      <c r="F514" s="310"/>
      <c r="H514" s="310"/>
    </row>
    <row r="515" spans="2:8">
      <c r="B515" s="311"/>
      <c r="C515" s="310"/>
      <c r="D515" s="310"/>
      <c r="E515" s="310"/>
      <c r="F515" s="310"/>
      <c r="H515" s="310"/>
    </row>
    <row r="516" spans="2:8">
      <c r="B516" s="311"/>
      <c r="C516" s="310"/>
      <c r="D516" s="310"/>
      <c r="E516" s="310"/>
      <c r="F516" s="310"/>
      <c r="H516" s="310"/>
    </row>
    <row r="517" spans="2:8">
      <c r="B517" s="311"/>
      <c r="C517" s="310"/>
      <c r="D517" s="310"/>
      <c r="E517" s="310"/>
      <c r="F517" s="310"/>
      <c r="H517" s="310"/>
    </row>
    <row r="518" spans="2:8">
      <c r="B518" s="311"/>
      <c r="C518" s="310"/>
      <c r="D518" s="310"/>
      <c r="E518" s="310"/>
      <c r="F518" s="310"/>
      <c r="H518" s="310"/>
    </row>
    <row r="519" spans="2:8">
      <c r="B519" s="311"/>
      <c r="C519" s="310"/>
      <c r="D519" s="310"/>
      <c r="E519" s="310"/>
      <c r="F519" s="310"/>
      <c r="H519" s="310"/>
    </row>
    <row r="520" spans="2:8">
      <c r="B520" s="311"/>
      <c r="C520" s="310"/>
      <c r="D520" s="310"/>
      <c r="E520" s="310"/>
      <c r="F520" s="310"/>
      <c r="H520" s="310"/>
    </row>
    <row r="521" spans="2:8">
      <c r="B521" s="311"/>
      <c r="C521" s="310"/>
      <c r="D521" s="310"/>
      <c r="E521" s="310"/>
      <c r="F521" s="310"/>
      <c r="H521" s="310"/>
    </row>
    <row r="522" spans="2:8">
      <c r="B522" s="311"/>
      <c r="C522" s="310"/>
      <c r="D522" s="310"/>
      <c r="E522" s="310"/>
      <c r="F522" s="310"/>
      <c r="H522" s="310"/>
    </row>
    <row r="523" spans="2:8">
      <c r="B523" s="311"/>
      <c r="C523" s="310"/>
      <c r="D523" s="310"/>
      <c r="E523" s="310"/>
      <c r="F523" s="310"/>
      <c r="H523" s="310"/>
    </row>
    <row r="524" spans="2:8">
      <c r="B524" s="311"/>
      <c r="C524" s="310"/>
      <c r="D524" s="310"/>
      <c r="E524" s="310"/>
      <c r="F524" s="310"/>
      <c r="H524" s="310"/>
    </row>
    <row r="525" spans="2:8">
      <c r="B525" s="311"/>
      <c r="C525" s="310"/>
      <c r="D525" s="310"/>
      <c r="E525" s="310"/>
      <c r="F525" s="310"/>
      <c r="H525" s="310"/>
    </row>
    <row r="526" spans="2:8">
      <c r="B526" s="311"/>
      <c r="C526" s="310"/>
      <c r="D526" s="310"/>
      <c r="E526" s="310"/>
      <c r="F526" s="310"/>
      <c r="H526" s="310"/>
    </row>
    <row r="527" spans="2:8">
      <c r="B527" s="311"/>
      <c r="C527" s="310"/>
      <c r="D527" s="310"/>
      <c r="E527" s="310"/>
      <c r="F527" s="310"/>
      <c r="H527" s="310"/>
    </row>
    <row r="528" spans="2:8">
      <c r="B528" s="311"/>
      <c r="C528" s="310"/>
      <c r="D528" s="310"/>
      <c r="E528" s="310"/>
      <c r="F528" s="310"/>
      <c r="H528" s="310"/>
    </row>
    <row r="529" spans="2:8">
      <c r="B529" s="311"/>
      <c r="C529" s="310"/>
      <c r="D529" s="310"/>
      <c r="E529" s="310"/>
      <c r="F529" s="310"/>
      <c r="H529" s="310"/>
    </row>
    <row r="530" spans="2:8">
      <c r="B530" s="311"/>
      <c r="C530" s="310"/>
      <c r="D530" s="310"/>
      <c r="E530" s="310"/>
      <c r="F530" s="310"/>
      <c r="H530" s="310"/>
    </row>
    <row r="531" spans="2:8">
      <c r="B531" s="311"/>
      <c r="C531" s="310"/>
      <c r="D531" s="310"/>
      <c r="E531" s="310"/>
      <c r="F531" s="310"/>
      <c r="H531" s="310"/>
    </row>
    <row r="532" spans="2:8">
      <c r="B532" s="311"/>
      <c r="C532" s="310"/>
      <c r="D532" s="310"/>
      <c r="E532" s="310"/>
      <c r="F532" s="310"/>
      <c r="H532" s="310"/>
    </row>
    <row r="533" spans="2:8">
      <c r="B533" s="311"/>
      <c r="C533" s="310"/>
      <c r="D533" s="310"/>
      <c r="E533" s="310"/>
      <c r="F533" s="310"/>
      <c r="H533" s="310"/>
    </row>
    <row r="534" spans="2:8">
      <c r="B534" s="311"/>
      <c r="C534" s="310"/>
      <c r="D534" s="310"/>
      <c r="E534" s="310"/>
      <c r="F534" s="310"/>
      <c r="H534" s="310"/>
    </row>
    <row r="535" spans="2:8">
      <c r="B535" s="311"/>
      <c r="C535" s="310"/>
      <c r="D535" s="310"/>
      <c r="E535" s="310"/>
      <c r="F535" s="310"/>
      <c r="H535" s="310"/>
    </row>
    <row r="536" spans="2:8">
      <c r="B536" s="311"/>
      <c r="C536" s="310"/>
      <c r="D536" s="310"/>
      <c r="E536" s="310"/>
      <c r="F536" s="310"/>
      <c r="H536" s="310"/>
    </row>
    <row r="537" spans="2:8">
      <c r="B537" s="311"/>
      <c r="C537" s="310"/>
      <c r="D537" s="310"/>
      <c r="E537" s="310"/>
      <c r="F537" s="310"/>
      <c r="H537" s="310"/>
    </row>
    <row r="538" spans="2:8">
      <c r="B538" s="311"/>
      <c r="C538" s="310"/>
      <c r="D538" s="310"/>
      <c r="E538" s="310"/>
      <c r="F538" s="310"/>
      <c r="H538" s="310"/>
    </row>
    <row r="539" spans="2:8">
      <c r="B539" s="311"/>
      <c r="C539" s="310"/>
      <c r="D539" s="310"/>
      <c r="E539" s="310"/>
      <c r="F539" s="310"/>
      <c r="H539" s="310"/>
    </row>
    <row r="540" spans="2:8">
      <c r="B540" s="311"/>
      <c r="C540" s="310"/>
      <c r="D540" s="310"/>
      <c r="E540" s="310"/>
      <c r="F540" s="310"/>
      <c r="H540" s="310"/>
    </row>
    <row r="541" spans="2:8">
      <c r="B541" s="311"/>
      <c r="C541" s="310"/>
      <c r="D541" s="310"/>
      <c r="E541" s="310"/>
      <c r="F541" s="310"/>
      <c r="H541" s="310"/>
    </row>
    <row r="542" spans="2:8">
      <c r="B542" s="311"/>
      <c r="C542" s="310"/>
      <c r="D542" s="310"/>
      <c r="E542" s="310"/>
      <c r="F542" s="310"/>
      <c r="H542" s="310"/>
    </row>
    <row r="543" spans="2:8">
      <c r="B543" s="311"/>
      <c r="C543" s="310"/>
      <c r="D543" s="310"/>
      <c r="E543" s="310"/>
      <c r="F543" s="310"/>
      <c r="H543" s="310"/>
    </row>
    <row r="544" spans="2:8">
      <c r="B544" s="311"/>
      <c r="C544" s="310"/>
      <c r="D544" s="310"/>
      <c r="E544" s="310"/>
      <c r="F544" s="310"/>
      <c r="H544" s="310"/>
    </row>
    <row r="545" spans="2:8">
      <c r="B545" s="311"/>
      <c r="C545" s="310"/>
      <c r="D545" s="310"/>
      <c r="E545" s="310"/>
      <c r="F545" s="310"/>
      <c r="H545" s="310"/>
    </row>
    <row r="546" spans="2:8">
      <c r="B546" s="311"/>
      <c r="C546" s="310"/>
      <c r="D546" s="310"/>
      <c r="E546" s="310"/>
      <c r="F546" s="310"/>
      <c r="H546" s="310"/>
    </row>
    <row r="547" spans="2:8">
      <c r="B547" s="311"/>
      <c r="C547" s="310"/>
      <c r="D547" s="310"/>
      <c r="E547" s="310"/>
      <c r="F547" s="310"/>
      <c r="H547" s="310"/>
    </row>
    <row r="548" spans="2:8">
      <c r="B548" s="311"/>
      <c r="C548" s="310"/>
      <c r="D548" s="310"/>
      <c r="E548" s="310"/>
      <c r="F548" s="310"/>
      <c r="H548" s="310"/>
    </row>
    <row r="549" spans="2:8">
      <c r="B549" s="311"/>
      <c r="C549" s="310"/>
      <c r="D549" s="310"/>
      <c r="E549" s="310"/>
      <c r="F549" s="310"/>
      <c r="H549" s="310"/>
    </row>
    <row r="550" spans="2:8">
      <c r="B550" s="311"/>
      <c r="C550" s="310"/>
      <c r="D550" s="310"/>
      <c r="E550" s="310"/>
      <c r="F550" s="310"/>
      <c r="H550" s="310"/>
    </row>
    <row r="551" spans="2:8">
      <c r="B551" s="311"/>
      <c r="C551" s="310"/>
      <c r="D551" s="310"/>
      <c r="E551" s="310"/>
      <c r="F551" s="310"/>
      <c r="H551" s="310"/>
    </row>
    <row r="552" spans="2:8">
      <c r="B552" s="311"/>
      <c r="C552" s="310"/>
      <c r="D552" s="310"/>
      <c r="E552" s="310"/>
      <c r="F552" s="310"/>
      <c r="H552" s="310"/>
    </row>
    <row r="553" spans="2:8">
      <c r="B553" s="311"/>
      <c r="C553" s="310"/>
      <c r="D553" s="310"/>
      <c r="E553" s="310"/>
      <c r="F553" s="310"/>
      <c r="H553" s="310"/>
    </row>
    <row r="554" spans="2:8">
      <c r="B554" s="311"/>
      <c r="C554" s="310"/>
      <c r="D554" s="310"/>
      <c r="E554" s="310"/>
      <c r="F554" s="310"/>
      <c r="H554" s="310"/>
    </row>
    <row r="555" spans="2:8">
      <c r="B555" s="311"/>
      <c r="C555" s="310"/>
      <c r="D555" s="310"/>
      <c r="E555" s="310"/>
      <c r="F555" s="310"/>
      <c r="H555" s="310"/>
    </row>
    <row r="556" spans="2:8">
      <c r="B556" s="311"/>
      <c r="C556" s="310"/>
      <c r="D556" s="310"/>
      <c r="E556" s="310"/>
      <c r="F556" s="310"/>
      <c r="H556" s="310"/>
    </row>
    <row r="557" spans="2:8">
      <c r="B557" s="311"/>
      <c r="C557" s="310"/>
      <c r="D557" s="310"/>
      <c r="E557" s="310"/>
      <c r="F557" s="310"/>
      <c r="H557" s="310"/>
    </row>
    <row r="558" spans="2:8">
      <c r="B558" s="311"/>
      <c r="C558" s="310"/>
      <c r="D558" s="310"/>
      <c r="E558" s="310"/>
      <c r="F558" s="310"/>
      <c r="H558" s="310"/>
    </row>
    <row r="559" spans="2:8">
      <c r="B559" s="311"/>
      <c r="C559" s="310"/>
      <c r="D559" s="310"/>
      <c r="E559" s="310"/>
      <c r="F559" s="310"/>
      <c r="H559" s="310"/>
    </row>
    <row r="560" spans="2:8">
      <c r="B560" s="311"/>
      <c r="C560" s="310"/>
      <c r="D560" s="310"/>
      <c r="E560" s="310"/>
      <c r="F560" s="310"/>
      <c r="H560" s="310"/>
    </row>
    <row r="561" spans="2:8">
      <c r="B561" s="311"/>
      <c r="C561" s="310"/>
      <c r="D561" s="310"/>
      <c r="E561" s="310"/>
      <c r="F561" s="310"/>
      <c r="H561" s="310"/>
    </row>
    <row r="562" spans="2:8">
      <c r="B562" s="311"/>
      <c r="C562" s="310"/>
      <c r="D562" s="310"/>
      <c r="E562" s="310"/>
      <c r="F562" s="310"/>
      <c r="H562" s="310"/>
    </row>
    <row r="563" spans="2:8">
      <c r="B563" s="311"/>
      <c r="C563" s="310"/>
      <c r="D563" s="310"/>
      <c r="E563" s="310"/>
      <c r="F563" s="310"/>
      <c r="H563" s="310"/>
    </row>
    <row r="564" spans="2:8">
      <c r="B564" s="311"/>
      <c r="C564" s="310"/>
      <c r="D564" s="310"/>
      <c r="E564" s="310"/>
      <c r="F564" s="310"/>
      <c r="H564" s="310"/>
    </row>
    <row r="565" spans="2:8">
      <c r="B565" s="311"/>
      <c r="C565" s="310"/>
      <c r="D565" s="310"/>
      <c r="E565" s="310"/>
      <c r="F565" s="310"/>
      <c r="H565" s="310"/>
    </row>
    <row r="566" spans="2:8">
      <c r="B566" s="311"/>
      <c r="C566" s="310"/>
      <c r="D566" s="310"/>
      <c r="E566" s="310"/>
      <c r="F566" s="310"/>
      <c r="H566" s="310"/>
    </row>
    <row r="567" spans="2:8">
      <c r="B567" s="311"/>
      <c r="C567" s="310"/>
      <c r="D567" s="310"/>
      <c r="E567" s="310"/>
      <c r="F567" s="310"/>
      <c r="H567" s="310"/>
    </row>
    <row r="568" spans="2:8">
      <c r="B568" s="311"/>
      <c r="C568" s="310"/>
      <c r="D568" s="310"/>
      <c r="E568" s="310"/>
      <c r="F568" s="310"/>
      <c r="H568" s="310"/>
    </row>
    <row r="569" spans="2:8">
      <c r="B569" s="311"/>
      <c r="C569" s="310"/>
      <c r="D569" s="310"/>
      <c r="E569" s="310"/>
      <c r="F569" s="310"/>
      <c r="H569" s="310"/>
    </row>
    <row r="570" spans="2:8">
      <c r="B570" s="311"/>
      <c r="C570" s="310"/>
      <c r="D570" s="310"/>
      <c r="E570" s="310"/>
      <c r="F570" s="310"/>
      <c r="H570" s="310"/>
    </row>
    <row r="571" spans="2:8">
      <c r="B571" s="311"/>
      <c r="C571" s="310"/>
      <c r="D571" s="310"/>
      <c r="E571" s="310"/>
      <c r="F571" s="310"/>
      <c r="H571" s="310"/>
    </row>
    <row r="572" spans="2:8">
      <c r="B572" s="311"/>
      <c r="C572" s="310"/>
      <c r="D572" s="310"/>
      <c r="E572" s="310"/>
      <c r="F572" s="310"/>
      <c r="H572" s="310"/>
    </row>
    <row r="573" spans="2:8">
      <c r="B573" s="311"/>
      <c r="C573" s="310"/>
      <c r="D573" s="310"/>
      <c r="E573" s="310"/>
      <c r="F573" s="310"/>
      <c r="H573" s="310"/>
    </row>
    <row r="574" spans="2:8">
      <c r="B574" s="311"/>
      <c r="C574" s="310"/>
      <c r="D574" s="310"/>
      <c r="E574" s="310"/>
      <c r="F574" s="310"/>
      <c r="H574" s="310"/>
    </row>
    <row r="575" spans="2:8">
      <c r="B575" s="311"/>
      <c r="C575" s="310"/>
      <c r="D575" s="310"/>
      <c r="E575" s="310"/>
      <c r="F575" s="310"/>
      <c r="H575" s="310"/>
    </row>
    <row r="576" spans="2:8">
      <c r="B576" s="311"/>
      <c r="C576" s="310"/>
      <c r="D576" s="310"/>
      <c r="E576" s="310"/>
      <c r="F576" s="310"/>
      <c r="H576" s="310"/>
    </row>
    <row r="577" spans="2:8">
      <c r="B577" s="311"/>
      <c r="C577" s="310"/>
      <c r="D577" s="310"/>
      <c r="E577" s="310"/>
      <c r="F577" s="310"/>
      <c r="H577" s="310"/>
    </row>
    <row r="578" spans="2:8">
      <c r="B578" s="311"/>
      <c r="C578" s="310"/>
      <c r="D578" s="310"/>
      <c r="E578" s="310"/>
      <c r="F578" s="310"/>
      <c r="H578" s="310"/>
    </row>
    <row r="579" spans="2:8">
      <c r="B579" s="311"/>
      <c r="C579" s="310"/>
      <c r="D579" s="310"/>
      <c r="E579" s="310"/>
      <c r="F579" s="310"/>
      <c r="H579" s="310"/>
    </row>
    <row r="580" spans="2:8">
      <c r="B580" s="311"/>
      <c r="C580" s="310"/>
      <c r="D580" s="310"/>
      <c r="E580" s="310"/>
      <c r="F580" s="310"/>
      <c r="H580" s="310"/>
    </row>
    <row r="581" spans="2:8">
      <c r="B581" s="311"/>
      <c r="C581" s="310"/>
      <c r="D581" s="310"/>
      <c r="E581" s="310"/>
      <c r="F581" s="310"/>
      <c r="H581" s="310"/>
    </row>
    <row r="582" spans="2:8">
      <c r="B582" s="311"/>
      <c r="C582" s="310"/>
      <c r="D582" s="310"/>
      <c r="E582" s="310"/>
      <c r="F582" s="310"/>
      <c r="H582" s="310"/>
    </row>
    <row r="583" spans="2:8">
      <c r="B583" s="311"/>
      <c r="C583" s="310"/>
      <c r="D583" s="310"/>
      <c r="E583" s="310"/>
      <c r="F583" s="310"/>
      <c r="H583" s="310"/>
    </row>
    <row r="584" spans="2:8">
      <c r="B584" s="311"/>
      <c r="C584" s="310"/>
      <c r="D584" s="310"/>
      <c r="E584" s="310"/>
      <c r="F584" s="310"/>
      <c r="H584" s="310"/>
    </row>
    <row r="585" spans="2:8">
      <c r="B585" s="311"/>
      <c r="C585" s="310"/>
      <c r="D585" s="310"/>
      <c r="E585" s="310"/>
      <c r="F585" s="310"/>
      <c r="H585" s="310"/>
    </row>
    <row r="586" spans="2:8">
      <c r="B586" s="311"/>
      <c r="C586" s="310"/>
      <c r="D586" s="310"/>
      <c r="E586" s="310"/>
      <c r="F586" s="310"/>
      <c r="H586" s="310"/>
    </row>
    <row r="587" spans="2:8">
      <c r="B587" s="311"/>
      <c r="C587" s="310"/>
      <c r="D587" s="310"/>
      <c r="E587" s="310"/>
      <c r="F587" s="310"/>
      <c r="H587" s="310"/>
    </row>
    <row r="588" spans="2:8">
      <c r="B588" s="311"/>
      <c r="C588" s="310"/>
      <c r="D588" s="310"/>
      <c r="E588" s="310"/>
      <c r="F588" s="310"/>
      <c r="H588" s="310"/>
    </row>
    <row r="589" spans="2:8">
      <c r="B589" s="311"/>
      <c r="C589" s="310"/>
      <c r="D589" s="310"/>
      <c r="E589" s="310"/>
      <c r="F589" s="310"/>
      <c r="H589" s="310"/>
    </row>
    <row r="590" spans="2:8">
      <c r="B590" s="311"/>
      <c r="C590" s="310"/>
      <c r="D590" s="310"/>
      <c r="E590" s="310"/>
      <c r="F590" s="310"/>
      <c r="H590" s="310"/>
    </row>
    <row r="591" spans="2:8">
      <c r="B591" s="311"/>
      <c r="C591" s="310"/>
      <c r="D591" s="310"/>
      <c r="E591" s="310"/>
      <c r="F591" s="310"/>
      <c r="H591" s="310"/>
    </row>
    <row r="592" spans="2:8">
      <c r="B592" s="311"/>
      <c r="C592" s="310"/>
      <c r="D592" s="310"/>
      <c r="E592" s="310"/>
      <c r="F592" s="310"/>
      <c r="H592" s="310"/>
    </row>
    <row r="593" spans="2:8">
      <c r="B593" s="311"/>
      <c r="C593" s="310"/>
      <c r="D593" s="310"/>
      <c r="E593" s="310"/>
      <c r="F593" s="310"/>
      <c r="H593" s="310"/>
    </row>
    <row r="594" spans="2:8">
      <c r="B594" s="311"/>
      <c r="C594" s="310"/>
      <c r="D594" s="310"/>
      <c r="E594" s="310"/>
      <c r="F594" s="310"/>
      <c r="H594" s="310"/>
    </row>
    <row r="595" spans="2:8">
      <c r="B595" s="311"/>
      <c r="C595" s="310"/>
      <c r="D595" s="310"/>
      <c r="E595" s="310"/>
      <c r="F595" s="310"/>
      <c r="H595" s="310"/>
    </row>
    <row r="596" spans="2:8">
      <c r="B596" s="311"/>
      <c r="C596" s="310"/>
      <c r="D596" s="310"/>
      <c r="E596" s="310"/>
      <c r="F596" s="310"/>
      <c r="H596" s="310"/>
    </row>
    <row r="597" spans="2:8">
      <c r="B597" s="311"/>
      <c r="C597" s="310"/>
      <c r="D597" s="310"/>
      <c r="E597" s="310"/>
      <c r="F597" s="310"/>
      <c r="H597" s="310"/>
    </row>
    <row r="598" spans="2:8">
      <c r="B598" s="311"/>
      <c r="C598" s="310"/>
      <c r="D598" s="310"/>
      <c r="E598" s="310"/>
      <c r="F598" s="310"/>
      <c r="H598" s="310"/>
    </row>
    <row r="599" spans="2:8">
      <c r="B599" s="311"/>
      <c r="C599" s="310"/>
      <c r="D599" s="310"/>
      <c r="E599" s="310"/>
      <c r="F599" s="310"/>
      <c r="H599" s="310"/>
    </row>
    <row r="600" spans="2:8">
      <c r="B600" s="311"/>
      <c r="C600" s="310"/>
      <c r="D600" s="310"/>
      <c r="E600" s="310"/>
      <c r="F600" s="310"/>
      <c r="H600" s="310"/>
    </row>
    <row r="601" spans="2:8">
      <c r="B601" s="311"/>
      <c r="C601" s="310"/>
      <c r="D601" s="310"/>
      <c r="E601" s="310"/>
      <c r="F601" s="310"/>
      <c r="H601" s="310"/>
    </row>
    <row r="602" spans="2:8">
      <c r="B602" s="311"/>
      <c r="C602" s="310"/>
      <c r="D602" s="310"/>
      <c r="E602" s="310"/>
      <c r="F602" s="310"/>
      <c r="H602" s="310"/>
    </row>
    <row r="603" spans="2:8">
      <c r="B603" s="311"/>
      <c r="C603" s="310"/>
      <c r="D603" s="310"/>
      <c r="E603" s="310"/>
      <c r="F603" s="310"/>
      <c r="H603" s="310"/>
    </row>
    <row r="604" spans="2:8">
      <c r="B604" s="311"/>
      <c r="C604" s="310"/>
      <c r="D604" s="310"/>
      <c r="E604" s="310"/>
      <c r="F604" s="310"/>
      <c r="H604" s="310"/>
    </row>
    <row r="605" spans="2:8">
      <c r="B605" s="311"/>
      <c r="C605" s="310"/>
      <c r="D605" s="310"/>
      <c r="E605" s="310"/>
      <c r="F605" s="310"/>
      <c r="H605" s="310"/>
    </row>
    <row r="606" spans="2:8">
      <c r="B606" s="311"/>
      <c r="C606" s="310"/>
      <c r="D606" s="310"/>
      <c r="E606" s="310"/>
      <c r="F606" s="310"/>
      <c r="H606" s="310"/>
    </row>
    <row r="607" spans="2:8">
      <c r="B607" s="311"/>
      <c r="C607" s="310"/>
      <c r="D607" s="310"/>
      <c r="E607" s="310"/>
      <c r="F607" s="310"/>
      <c r="H607" s="310"/>
    </row>
    <row r="608" spans="2:8">
      <c r="B608" s="311"/>
      <c r="C608" s="310"/>
      <c r="D608" s="310"/>
      <c r="E608" s="310"/>
      <c r="F608" s="310"/>
      <c r="H608" s="310"/>
    </row>
    <row r="609" spans="2:8">
      <c r="B609" s="311"/>
      <c r="C609" s="310"/>
      <c r="D609" s="310"/>
      <c r="E609" s="310"/>
      <c r="F609" s="310"/>
      <c r="H609" s="310"/>
    </row>
    <row r="610" spans="2:8">
      <c r="B610" s="311"/>
      <c r="C610" s="310"/>
      <c r="D610" s="310"/>
      <c r="E610" s="310"/>
      <c r="F610" s="310"/>
      <c r="H610" s="310"/>
    </row>
    <row r="611" spans="2:8">
      <c r="B611" s="311"/>
      <c r="C611" s="310"/>
      <c r="D611" s="310"/>
      <c r="E611" s="310"/>
      <c r="F611" s="310"/>
      <c r="H611" s="310"/>
    </row>
    <row r="612" spans="2:8">
      <c r="B612" s="311"/>
      <c r="C612" s="310"/>
      <c r="D612" s="310"/>
      <c r="E612" s="310"/>
      <c r="F612" s="310"/>
      <c r="H612" s="310"/>
    </row>
    <row r="613" spans="2:8">
      <c r="B613" s="311"/>
      <c r="C613" s="310"/>
      <c r="D613" s="310"/>
      <c r="E613" s="310"/>
      <c r="F613" s="310"/>
      <c r="H613" s="310"/>
    </row>
    <row r="614" spans="2:8">
      <c r="B614" s="311"/>
      <c r="C614" s="310"/>
      <c r="D614" s="310"/>
      <c r="E614" s="310"/>
      <c r="F614" s="310"/>
      <c r="H614" s="310"/>
    </row>
    <row r="615" spans="2:8">
      <c r="B615" s="311"/>
      <c r="C615" s="310"/>
      <c r="D615" s="310"/>
      <c r="E615" s="310"/>
      <c r="F615" s="310"/>
      <c r="H615" s="310"/>
    </row>
    <row r="616" spans="2:8">
      <c r="B616" s="311"/>
      <c r="C616" s="310"/>
      <c r="D616" s="310"/>
      <c r="E616" s="310"/>
      <c r="F616" s="310"/>
      <c r="H616" s="310"/>
    </row>
    <row r="617" spans="2:8">
      <c r="B617" s="311"/>
      <c r="C617" s="310"/>
      <c r="D617" s="310"/>
      <c r="E617" s="310"/>
      <c r="F617" s="310"/>
      <c r="H617" s="310"/>
    </row>
    <row r="618" spans="2:8">
      <c r="B618" s="311"/>
      <c r="C618" s="310"/>
      <c r="D618" s="310"/>
      <c r="E618" s="310"/>
      <c r="F618" s="310"/>
      <c r="H618" s="310"/>
    </row>
    <row r="619" spans="2:8">
      <c r="B619" s="311"/>
      <c r="C619" s="310"/>
      <c r="D619" s="310"/>
      <c r="E619" s="310"/>
      <c r="F619" s="310"/>
      <c r="H619" s="310"/>
    </row>
    <row r="620" spans="2:8">
      <c r="B620" s="311"/>
      <c r="C620" s="310"/>
      <c r="D620" s="310"/>
      <c r="E620" s="310"/>
      <c r="F620" s="310"/>
      <c r="H620" s="310"/>
    </row>
    <row r="621" spans="2:8">
      <c r="B621" s="311"/>
      <c r="C621" s="310"/>
      <c r="D621" s="310"/>
      <c r="E621" s="310"/>
      <c r="F621" s="310"/>
      <c r="H621" s="310"/>
    </row>
    <row r="622" spans="2:8">
      <c r="B622" s="311"/>
      <c r="C622" s="310"/>
      <c r="D622" s="310"/>
      <c r="E622" s="310"/>
      <c r="F622" s="310"/>
      <c r="H622" s="310"/>
    </row>
    <row r="623" spans="2:8">
      <c r="B623" s="311"/>
      <c r="C623" s="310"/>
      <c r="D623" s="310"/>
      <c r="E623" s="310"/>
      <c r="F623" s="310"/>
      <c r="H623" s="310"/>
    </row>
    <row r="624" spans="2:8">
      <c r="B624" s="311"/>
      <c r="C624" s="310"/>
      <c r="D624" s="310"/>
      <c r="E624" s="310"/>
      <c r="F624" s="310"/>
      <c r="H624" s="310"/>
    </row>
    <row r="625" spans="2:8">
      <c r="B625" s="311"/>
      <c r="C625" s="310"/>
      <c r="D625" s="310"/>
      <c r="E625" s="310"/>
      <c r="F625" s="310"/>
      <c r="H625" s="310"/>
    </row>
    <row r="626" spans="2:8">
      <c r="B626" s="311"/>
      <c r="C626" s="310"/>
      <c r="D626" s="310"/>
      <c r="E626" s="310"/>
      <c r="F626" s="310"/>
      <c r="H626" s="310"/>
    </row>
    <row r="627" spans="2:8">
      <c r="B627" s="311"/>
      <c r="C627" s="310"/>
      <c r="D627" s="310"/>
      <c r="E627" s="310"/>
      <c r="F627" s="310"/>
      <c r="H627" s="310"/>
    </row>
    <row r="628" spans="2:8">
      <c r="B628" s="311"/>
      <c r="C628" s="310"/>
      <c r="D628" s="310"/>
      <c r="E628" s="310"/>
      <c r="F628" s="310"/>
      <c r="H628" s="310"/>
    </row>
    <row r="629" spans="2:8">
      <c r="B629" s="311"/>
      <c r="C629" s="310"/>
      <c r="D629" s="310"/>
      <c r="E629" s="310"/>
      <c r="F629" s="310"/>
      <c r="H629" s="310"/>
    </row>
    <row r="630" spans="2:8">
      <c r="B630" s="311"/>
      <c r="C630" s="310"/>
      <c r="D630" s="310"/>
      <c r="E630" s="310"/>
      <c r="F630" s="310"/>
      <c r="H630" s="310"/>
    </row>
    <row r="631" spans="2:8">
      <c r="B631" s="311"/>
      <c r="C631" s="310"/>
      <c r="D631" s="310"/>
      <c r="E631" s="310"/>
      <c r="F631" s="310"/>
      <c r="H631" s="310"/>
    </row>
    <row r="632" spans="2:8">
      <c r="B632" s="311"/>
      <c r="C632" s="310"/>
      <c r="D632" s="310"/>
      <c r="E632" s="310"/>
      <c r="F632" s="310"/>
      <c r="H632" s="310"/>
    </row>
    <row r="633" spans="2:8">
      <c r="B633" s="311"/>
      <c r="C633" s="310"/>
      <c r="D633" s="310"/>
      <c r="E633" s="310"/>
      <c r="F633" s="310"/>
      <c r="H633" s="310"/>
    </row>
    <row r="634" spans="2:8">
      <c r="B634" s="311"/>
      <c r="C634" s="310"/>
      <c r="D634" s="310"/>
      <c r="E634" s="310"/>
      <c r="F634" s="310"/>
      <c r="H634" s="310"/>
    </row>
    <row r="635" spans="2:8">
      <c r="B635" s="311"/>
      <c r="C635" s="310"/>
      <c r="D635" s="310"/>
      <c r="E635" s="310"/>
      <c r="F635" s="310"/>
      <c r="H635" s="310"/>
    </row>
    <row r="636" spans="2:8">
      <c r="B636" s="311"/>
      <c r="C636" s="310"/>
      <c r="D636" s="310"/>
      <c r="E636" s="310"/>
      <c r="F636" s="310"/>
      <c r="H636" s="310"/>
    </row>
    <row r="637" spans="2:8">
      <c r="B637" s="311"/>
      <c r="C637" s="310"/>
      <c r="D637" s="310"/>
      <c r="E637" s="310"/>
      <c r="F637" s="310"/>
      <c r="H637" s="310"/>
    </row>
    <row r="638" spans="2:8">
      <c r="B638" s="311"/>
      <c r="C638" s="310"/>
      <c r="D638" s="310"/>
      <c r="E638" s="310"/>
      <c r="F638" s="310"/>
      <c r="H638" s="310"/>
    </row>
    <row r="639" spans="2:8">
      <c r="B639" s="311"/>
      <c r="C639" s="310"/>
      <c r="D639" s="310"/>
      <c r="E639" s="310"/>
      <c r="F639" s="310"/>
      <c r="H639" s="310"/>
    </row>
    <row r="640" spans="2:8">
      <c r="B640" s="311"/>
      <c r="C640" s="310"/>
      <c r="D640" s="310"/>
      <c r="E640" s="310"/>
      <c r="F640" s="310"/>
      <c r="H640" s="310"/>
    </row>
    <row r="641" spans="2:8">
      <c r="B641" s="311"/>
      <c r="C641" s="310"/>
      <c r="D641" s="310"/>
      <c r="E641" s="310"/>
      <c r="F641" s="310"/>
      <c r="H641" s="310"/>
    </row>
    <row r="642" spans="2:8">
      <c r="B642" s="311"/>
      <c r="C642" s="310"/>
      <c r="D642" s="310"/>
      <c r="E642" s="310"/>
      <c r="F642" s="310"/>
      <c r="H642" s="310"/>
    </row>
    <row r="643" spans="2:8">
      <c r="B643" s="311"/>
      <c r="C643" s="310"/>
      <c r="D643" s="310"/>
      <c r="E643" s="310"/>
      <c r="F643" s="310"/>
      <c r="H643" s="310"/>
    </row>
    <row r="644" spans="2:8">
      <c r="B644" s="311"/>
      <c r="C644" s="310"/>
      <c r="D644" s="310"/>
      <c r="E644" s="310"/>
      <c r="F644" s="310"/>
      <c r="H644" s="310"/>
    </row>
    <row r="645" spans="2:8">
      <c r="B645" s="311"/>
      <c r="C645" s="310"/>
      <c r="D645" s="310"/>
      <c r="E645" s="310"/>
      <c r="F645" s="310"/>
      <c r="H645" s="310"/>
    </row>
    <row r="646" spans="2:8">
      <c r="B646" s="311"/>
      <c r="C646" s="310"/>
      <c r="D646" s="310"/>
      <c r="E646" s="310"/>
      <c r="F646" s="310"/>
      <c r="H646" s="310"/>
    </row>
    <row r="647" spans="2:8">
      <c r="B647" s="311"/>
      <c r="C647" s="310"/>
      <c r="D647" s="310"/>
      <c r="E647" s="310"/>
      <c r="F647" s="310"/>
      <c r="H647" s="310"/>
    </row>
    <row r="648" spans="2:8">
      <c r="B648" s="311"/>
      <c r="C648" s="310"/>
      <c r="D648" s="310"/>
      <c r="E648" s="310"/>
      <c r="F648" s="310"/>
      <c r="H648" s="310"/>
    </row>
    <row r="649" spans="2:8">
      <c r="B649" s="311"/>
      <c r="C649" s="310"/>
      <c r="D649" s="310"/>
      <c r="E649" s="310"/>
      <c r="F649" s="310"/>
      <c r="H649" s="310"/>
    </row>
    <row r="650" spans="2:8">
      <c r="B650" s="311"/>
      <c r="C650" s="310"/>
      <c r="D650" s="310"/>
      <c r="E650" s="310"/>
      <c r="F650" s="310"/>
      <c r="H650" s="310"/>
    </row>
    <row r="651" spans="2:8">
      <c r="B651" s="311"/>
      <c r="C651" s="310"/>
      <c r="D651" s="310"/>
      <c r="E651" s="310"/>
      <c r="F651" s="310"/>
      <c r="H651" s="310"/>
    </row>
    <row r="652" spans="2:8">
      <c r="B652" s="311"/>
      <c r="C652" s="310"/>
      <c r="D652" s="310"/>
      <c r="E652" s="310"/>
      <c r="F652" s="310"/>
      <c r="H652" s="310"/>
    </row>
    <row r="653" spans="2:8">
      <c r="B653" s="311"/>
      <c r="C653" s="310"/>
      <c r="D653" s="310"/>
      <c r="E653" s="310"/>
      <c r="F653" s="310"/>
      <c r="H653" s="310"/>
    </row>
    <row r="654" spans="2:8">
      <c r="B654" s="311"/>
      <c r="C654" s="310"/>
      <c r="D654" s="310"/>
      <c r="E654" s="310"/>
      <c r="F654" s="310"/>
      <c r="H654" s="310"/>
    </row>
    <row r="655" spans="2:8">
      <c r="B655" s="311"/>
      <c r="C655" s="310"/>
      <c r="D655" s="310"/>
      <c r="E655" s="310"/>
      <c r="F655" s="310"/>
      <c r="H655" s="310"/>
    </row>
    <row r="656" spans="2:8">
      <c r="B656" s="311"/>
      <c r="C656" s="310"/>
      <c r="D656" s="310"/>
      <c r="E656" s="310"/>
      <c r="F656" s="310"/>
      <c r="H656" s="310"/>
    </row>
    <row r="657" spans="2:8">
      <c r="B657" s="311"/>
      <c r="C657" s="310"/>
      <c r="D657" s="310"/>
      <c r="E657" s="310"/>
      <c r="F657" s="310"/>
      <c r="H657" s="310"/>
    </row>
    <row r="658" spans="2:8">
      <c r="B658" s="311"/>
      <c r="C658" s="310"/>
      <c r="D658" s="310"/>
      <c r="E658" s="310"/>
      <c r="F658" s="310"/>
      <c r="H658" s="310"/>
    </row>
    <row r="659" spans="2:8">
      <c r="B659" s="311"/>
      <c r="C659" s="310"/>
      <c r="D659" s="310"/>
      <c r="E659" s="310"/>
      <c r="F659" s="310"/>
      <c r="H659" s="310"/>
    </row>
    <row r="660" spans="2:8">
      <c r="B660" s="311"/>
      <c r="C660" s="310"/>
      <c r="D660" s="310"/>
      <c r="E660" s="310"/>
      <c r="F660" s="310"/>
      <c r="H660" s="310"/>
    </row>
    <row r="661" spans="2:8">
      <c r="B661" s="311"/>
      <c r="C661" s="310"/>
      <c r="D661" s="310"/>
      <c r="E661" s="310"/>
      <c r="F661" s="310"/>
      <c r="H661" s="310"/>
    </row>
    <row r="662" spans="2:8">
      <c r="B662" s="311"/>
      <c r="C662" s="310"/>
      <c r="D662" s="310"/>
      <c r="E662" s="310"/>
      <c r="F662" s="310"/>
      <c r="H662" s="310"/>
    </row>
    <row r="663" spans="2:8">
      <c r="B663" s="311"/>
      <c r="C663" s="310"/>
      <c r="D663" s="310"/>
      <c r="E663" s="310"/>
      <c r="F663" s="310"/>
      <c r="H663" s="310"/>
    </row>
    <row r="664" spans="2:8">
      <c r="B664" s="311"/>
      <c r="C664" s="310"/>
      <c r="D664" s="310"/>
      <c r="E664" s="310"/>
      <c r="F664" s="310"/>
      <c r="H664" s="310"/>
    </row>
    <row r="665" spans="2:8">
      <c r="B665" s="311"/>
      <c r="C665" s="310"/>
      <c r="D665" s="310"/>
      <c r="E665" s="310"/>
      <c r="F665" s="310"/>
      <c r="H665" s="310"/>
    </row>
    <row r="666" spans="2:8">
      <c r="B666" s="311"/>
      <c r="C666" s="310"/>
      <c r="D666" s="310"/>
      <c r="E666" s="310"/>
      <c r="F666" s="310"/>
      <c r="H666" s="310"/>
    </row>
    <row r="667" spans="2:8">
      <c r="B667" s="311"/>
      <c r="C667" s="310"/>
      <c r="D667" s="310"/>
      <c r="E667" s="310"/>
      <c r="F667" s="310"/>
      <c r="H667" s="310"/>
    </row>
    <row r="668" spans="2:8">
      <c r="B668" s="311"/>
      <c r="C668" s="310"/>
      <c r="D668" s="310"/>
      <c r="E668" s="310"/>
      <c r="F668" s="310"/>
      <c r="H668" s="310"/>
    </row>
    <row r="669" spans="2:8">
      <c r="B669" s="311"/>
      <c r="C669" s="310"/>
      <c r="D669" s="310"/>
      <c r="E669" s="310"/>
      <c r="F669" s="310"/>
      <c r="H669" s="310"/>
    </row>
    <row r="670" spans="2:8">
      <c r="B670" s="311"/>
      <c r="C670" s="310"/>
      <c r="D670" s="310"/>
      <c r="E670" s="310"/>
      <c r="F670" s="310"/>
      <c r="H670" s="310"/>
    </row>
    <row r="671" spans="2:8">
      <c r="B671" s="311"/>
      <c r="C671" s="310"/>
      <c r="D671" s="310"/>
      <c r="E671" s="310"/>
      <c r="F671" s="310"/>
      <c r="H671" s="310"/>
    </row>
    <row r="672" spans="2:8">
      <c r="B672" s="311"/>
      <c r="C672" s="310"/>
      <c r="D672" s="310"/>
      <c r="E672" s="310"/>
      <c r="F672" s="310"/>
      <c r="H672" s="310"/>
    </row>
    <row r="673" spans="2:8">
      <c r="B673" s="311"/>
      <c r="C673" s="310"/>
      <c r="D673" s="310"/>
      <c r="E673" s="310"/>
      <c r="F673" s="310"/>
      <c r="H673" s="310"/>
    </row>
    <row r="674" spans="2:8">
      <c r="B674" s="311"/>
      <c r="C674" s="310"/>
      <c r="D674" s="310"/>
      <c r="E674" s="310"/>
      <c r="F674" s="310"/>
      <c r="H674" s="310"/>
    </row>
    <row r="675" spans="2:8">
      <c r="B675" s="311"/>
      <c r="C675" s="310"/>
      <c r="D675" s="310"/>
      <c r="E675" s="310"/>
      <c r="F675" s="310"/>
      <c r="H675" s="310"/>
    </row>
    <row r="676" spans="2:8">
      <c r="B676" s="311"/>
      <c r="C676" s="310"/>
      <c r="D676" s="310"/>
      <c r="E676" s="310"/>
      <c r="F676" s="310"/>
      <c r="H676" s="310"/>
    </row>
    <row r="677" spans="2:8">
      <c r="B677" s="311"/>
      <c r="C677" s="310"/>
      <c r="D677" s="310"/>
      <c r="E677" s="310"/>
      <c r="F677" s="310"/>
      <c r="H677" s="310"/>
    </row>
    <row r="678" spans="2:8">
      <c r="B678" s="311"/>
      <c r="C678" s="310"/>
      <c r="D678" s="310"/>
      <c r="E678" s="310"/>
      <c r="F678" s="310"/>
      <c r="H678" s="310"/>
    </row>
    <row r="679" spans="2:8">
      <c r="B679" s="311"/>
      <c r="C679" s="310"/>
      <c r="D679" s="310"/>
      <c r="E679" s="310"/>
      <c r="F679" s="310"/>
      <c r="H679" s="310"/>
    </row>
    <row r="680" spans="2:8">
      <c r="B680" s="311"/>
      <c r="C680" s="310"/>
      <c r="D680" s="310"/>
      <c r="E680" s="310"/>
      <c r="F680" s="310"/>
      <c r="H680" s="310"/>
    </row>
    <row r="681" spans="2:8">
      <c r="B681" s="311"/>
      <c r="C681" s="310"/>
      <c r="D681" s="310"/>
      <c r="E681" s="310"/>
      <c r="F681" s="310"/>
      <c r="H681" s="310"/>
    </row>
    <row r="682" spans="2:8">
      <c r="B682" s="311"/>
      <c r="C682" s="310"/>
      <c r="D682" s="310"/>
      <c r="E682" s="310"/>
      <c r="F682" s="310"/>
      <c r="H682" s="310"/>
    </row>
    <row r="683" spans="2:8">
      <c r="B683" s="311"/>
      <c r="C683" s="310"/>
      <c r="D683" s="310"/>
      <c r="E683" s="310"/>
      <c r="F683" s="310"/>
      <c r="H683" s="310"/>
    </row>
    <row r="684" spans="2:8">
      <c r="B684" s="311"/>
      <c r="C684" s="310"/>
      <c r="D684" s="310"/>
      <c r="E684" s="310"/>
      <c r="F684" s="310"/>
      <c r="H684" s="310"/>
    </row>
    <row r="685" spans="2:8">
      <c r="B685" s="311"/>
      <c r="C685" s="310"/>
      <c r="D685" s="310"/>
      <c r="E685" s="310"/>
      <c r="F685" s="310"/>
      <c r="H685" s="310"/>
    </row>
    <row r="686" spans="2:8">
      <c r="B686" s="311"/>
      <c r="C686" s="310"/>
      <c r="D686" s="310"/>
      <c r="E686" s="310"/>
      <c r="F686" s="310"/>
      <c r="H686" s="310"/>
    </row>
    <row r="687" spans="2:8">
      <c r="B687" s="311"/>
      <c r="C687" s="310"/>
      <c r="D687" s="310"/>
      <c r="E687" s="310"/>
      <c r="F687" s="310"/>
      <c r="H687" s="310"/>
    </row>
    <row r="688" spans="2:8">
      <c r="B688" s="311"/>
      <c r="C688" s="310"/>
      <c r="D688" s="310"/>
      <c r="E688" s="310"/>
      <c r="F688" s="310"/>
      <c r="H688" s="310"/>
    </row>
    <row r="689" spans="2:8">
      <c r="B689" s="311"/>
      <c r="C689" s="310"/>
      <c r="D689" s="310"/>
      <c r="E689" s="310"/>
      <c r="F689" s="310"/>
      <c r="H689" s="310"/>
    </row>
    <row r="690" spans="2:8">
      <c r="B690" s="311"/>
      <c r="C690" s="310"/>
      <c r="D690" s="310"/>
      <c r="E690" s="310"/>
      <c r="F690" s="310"/>
      <c r="H690" s="310"/>
    </row>
    <row r="691" spans="2:8">
      <c r="B691" s="311"/>
      <c r="C691" s="310"/>
      <c r="D691" s="310"/>
      <c r="E691" s="310"/>
      <c r="F691" s="310"/>
      <c r="H691" s="310"/>
    </row>
    <row r="692" spans="2:8">
      <c r="B692" s="311"/>
      <c r="C692" s="310"/>
      <c r="D692" s="310"/>
      <c r="E692" s="310"/>
      <c r="F692" s="310"/>
      <c r="H692" s="310"/>
    </row>
    <row r="693" spans="2:8">
      <c r="B693" s="311"/>
      <c r="C693" s="310"/>
      <c r="D693" s="310"/>
      <c r="E693" s="310"/>
      <c r="F693" s="310"/>
      <c r="H693" s="310"/>
    </row>
    <row r="694" spans="2:8">
      <c r="B694" s="311"/>
      <c r="C694" s="310"/>
      <c r="D694" s="310"/>
      <c r="E694" s="310"/>
      <c r="F694" s="310"/>
      <c r="H694" s="310"/>
    </row>
    <row r="695" spans="2:8">
      <c r="B695" s="311"/>
      <c r="C695" s="310"/>
      <c r="D695" s="310"/>
      <c r="E695" s="310"/>
      <c r="F695" s="310"/>
      <c r="H695" s="310"/>
    </row>
    <row r="696" spans="2:8">
      <c r="B696" s="311"/>
      <c r="C696" s="310"/>
      <c r="D696" s="310"/>
      <c r="E696" s="310"/>
      <c r="F696" s="310"/>
      <c r="H696" s="310"/>
    </row>
    <row r="697" spans="2:8">
      <c r="B697" s="311"/>
      <c r="C697" s="310"/>
      <c r="D697" s="310"/>
      <c r="E697" s="310"/>
      <c r="F697" s="310"/>
      <c r="H697" s="310"/>
    </row>
    <row r="698" spans="2:8">
      <c r="B698" s="311"/>
      <c r="C698" s="310"/>
      <c r="D698" s="310"/>
      <c r="E698" s="310"/>
      <c r="F698" s="310"/>
      <c r="H698" s="310"/>
    </row>
    <row r="699" spans="2:8">
      <c r="B699" s="311"/>
      <c r="C699" s="310"/>
      <c r="D699" s="310"/>
      <c r="E699" s="310"/>
      <c r="F699" s="310"/>
      <c r="H699" s="310"/>
    </row>
    <row r="700" spans="2:8">
      <c r="B700" s="311"/>
      <c r="C700" s="310"/>
      <c r="D700" s="310"/>
      <c r="E700" s="310"/>
      <c r="F700" s="310"/>
      <c r="H700" s="310"/>
    </row>
    <row r="701" spans="2:8">
      <c r="B701" s="311"/>
      <c r="C701" s="310"/>
      <c r="D701" s="310"/>
      <c r="E701" s="310"/>
      <c r="F701" s="310"/>
      <c r="H701" s="310"/>
    </row>
    <row r="702" spans="2:8">
      <c r="B702" s="311"/>
      <c r="C702" s="310"/>
      <c r="D702" s="310"/>
      <c r="E702" s="310"/>
      <c r="F702" s="310"/>
      <c r="H702" s="310"/>
    </row>
    <row r="703" spans="2:8">
      <c r="B703" s="311"/>
      <c r="C703" s="310"/>
      <c r="D703" s="310"/>
      <c r="E703" s="310"/>
      <c r="F703" s="310"/>
      <c r="H703" s="310"/>
    </row>
    <row r="704" spans="2:8">
      <c r="B704" s="311"/>
      <c r="C704" s="310"/>
      <c r="D704" s="310"/>
      <c r="E704" s="310"/>
      <c r="F704" s="310"/>
      <c r="H704" s="310"/>
    </row>
    <row r="705" spans="2:8">
      <c r="B705" s="311"/>
      <c r="C705" s="310"/>
      <c r="D705" s="310"/>
      <c r="E705" s="310"/>
      <c r="F705" s="310"/>
      <c r="H705" s="310"/>
    </row>
    <row r="706" spans="2:8">
      <c r="B706" s="311"/>
      <c r="C706" s="310"/>
      <c r="D706" s="310"/>
      <c r="E706" s="310"/>
      <c r="F706" s="310"/>
      <c r="H706" s="310"/>
    </row>
    <row r="707" spans="2:8">
      <c r="B707" s="311"/>
      <c r="C707" s="310"/>
      <c r="D707" s="310"/>
      <c r="E707" s="310"/>
      <c r="F707" s="310"/>
      <c r="H707" s="310"/>
    </row>
    <row r="708" spans="2:8">
      <c r="B708" s="311"/>
      <c r="C708" s="310"/>
      <c r="D708" s="310"/>
      <c r="E708" s="310"/>
      <c r="F708" s="310"/>
      <c r="H708" s="310"/>
    </row>
    <row r="709" spans="2:8">
      <c r="B709" s="311"/>
      <c r="C709" s="310"/>
      <c r="D709" s="310"/>
      <c r="E709" s="310"/>
      <c r="F709" s="310"/>
      <c r="H709" s="310"/>
    </row>
    <row r="710" spans="2:8">
      <c r="B710" s="311"/>
      <c r="C710" s="310"/>
      <c r="D710" s="310"/>
      <c r="E710" s="310"/>
      <c r="F710" s="310"/>
      <c r="H710" s="310"/>
    </row>
    <row r="711" spans="2:8">
      <c r="B711" s="311"/>
      <c r="C711" s="310"/>
      <c r="D711" s="310"/>
      <c r="E711" s="310"/>
      <c r="F711" s="310"/>
      <c r="H711" s="310"/>
    </row>
    <row r="712" spans="2:8">
      <c r="B712" s="311"/>
      <c r="C712" s="310"/>
      <c r="D712" s="310"/>
      <c r="E712" s="310"/>
      <c r="F712" s="310"/>
      <c r="H712" s="310"/>
    </row>
    <row r="713" spans="2:8">
      <c r="B713" s="311"/>
      <c r="C713" s="310"/>
      <c r="D713" s="310"/>
      <c r="E713" s="310"/>
      <c r="F713" s="310"/>
      <c r="H713" s="310"/>
    </row>
    <row r="714" spans="2:8">
      <c r="B714" s="311"/>
      <c r="C714" s="310"/>
      <c r="D714" s="310"/>
      <c r="E714" s="310"/>
      <c r="F714" s="310"/>
      <c r="H714" s="310"/>
    </row>
    <row r="715" spans="2:8">
      <c r="B715" s="311"/>
      <c r="C715" s="310"/>
      <c r="D715" s="310"/>
      <c r="E715" s="310"/>
      <c r="F715" s="310"/>
      <c r="H715" s="310"/>
    </row>
    <row r="716" spans="2:8">
      <c r="B716" s="311"/>
      <c r="C716" s="310"/>
      <c r="D716" s="310"/>
      <c r="E716" s="310"/>
      <c r="F716" s="310"/>
      <c r="H716" s="310"/>
    </row>
    <row r="717" spans="2:8">
      <c r="B717" s="311"/>
      <c r="C717" s="310"/>
      <c r="D717" s="310"/>
      <c r="E717" s="310"/>
      <c r="F717" s="310"/>
      <c r="H717" s="310"/>
    </row>
    <row r="718" spans="2:8">
      <c r="B718" s="311"/>
      <c r="C718" s="310"/>
      <c r="D718" s="310"/>
      <c r="E718" s="310"/>
      <c r="F718" s="310"/>
      <c r="H718" s="310"/>
    </row>
    <row r="719" spans="2:8">
      <c r="B719" s="311"/>
      <c r="C719" s="310"/>
      <c r="D719" s="310"/>
      <c r="E719" s="310"/>
      <c r="F719" s="310"/>
      <c r="H719" s="310"/>
    </row>
    <row r="720" spans="2:8">
      <c r="B720" s="311"/>
      <c r="C720" s="310"/>
      <c r="D720" s="310"/>
      <c r="E720" s="310"/>
      <c r="F720" s="310"/>
      <c r="H720" s="310"/>
    </row>
    <row r="721" spans="2:8">
      <c r="B721" s="311"/>
      <c r="C721" s="310"/>
      <c r="D721" s="310"/>
      <c r="E721" s="310"/>
      <c r="F721" s="310"/>
      <c r="H721" s="310"/>
    </row>
    <row r="722" spans="2:8">
      <c r="B722" s="311"/>
      <c r="C722" s="310"/>
      <c r="D722" s="310"/>
      <c r="E722" s="310"/>
      <c r="F722" s="310"/>
      <c r="H722" s="310"/>
    </row>
    <row r="723" spans="2:8">
      <c r="B723" s="311"/>
      <c r="C723" s="310"/>
      <c r="D723" s="310"/>
      <c r="E723" s="310"/>
      <c r="F723" s="310"/>
      <c r="H723" s="310"/>
    </row>
    <row r="724" spans="2:8">
      <c r="B724" s="311"/>
      <c r="C724" s="310"/>
      <c r="D724" s="310"/>
      <c r="E724" s="310"/>
      <c r="F724" s="310"/>
      <c r="H724" s="310"/>
    </row>
    <row r="725" spans="2:8">
      <c r="B725" s="311"/>
      <c r="C725" s="310"/>
      <c r="D725" s="310"/>
      <c r="E725" s="310"/>
      <c r="F725" s="310"/>
      <c r="H725" s="310"/>
    </row>
    <row r="726" spans="2:8">
      <c r="B726" s="311"/>
      <c r="C726" s="310"/>
      <c r="D726" s="310"/>
      <c r="E726" s="310"/>
      <c r="F726" s="310"/>
      <c r="H726" s="310"/>
    </row>
    <row r="727" spans="2:8">
      <c r="B727" s="311"/>
      <c r="C727" s="310"/>
      <c r="D727" s="310"/>
      <c r="E727" s="310"/>
      <c r="F727" s="310"/>
      <c r="H727" s="310"/>
    </row>
    <row r="728" spans="2:8">
      <c r="B728" s="311"/>
      <c r="C728" s="310"/>
      <c r="D728" s="310"/>
      <c r="E728" s="310"/>
      <c r="F728" s="310"/>
      <c r="H728" s="310"/>
    </row>
    <row r="729" spans="2:8">
      <c r="B729" s="311"/>
      <c r="C729" s="310"/>
      <c r="D729" s="310"/>
      <c r="E729" s="310"/>
      <c r="F729" s="310"/>
      <c r="H729" s="310"/>
    </row>
    <row r="730" spans="2:8">
      <c r="B730" s="311"/>
      <c r="C730" s="310"/>
      <c r="D730" s="310"/>
      <c r="E730" s="310"/>
      <c r="F730" s="310"/>
      <c r="H730" s="310"/>
    </row>
    <row r="731" spans="2:8">
      <c r="B731" s="311"/>
      <c r="C731" s="310"/>
      <c r="D731" s="310"/>
      <c r="E731" s="310"/>
      <c r="F731" s="310"/>
      <c r="H731" s="310"/>
    </row>
    <row r="732" spans="2:8">
      <c r="B732" s="311"/>
      <c r="C732" s="310"/>
      <c r="D732" s="310"/>
      <c r="E732" s="310"/>
      <c r="F732" s="310"/>
      <c r="H732" s="310"/>
    </row>
    <row r="733" spans="2:8">
      <c r="B733" s="311"/>
      <c r="C733" s="310"/>
      <c r="D733" s="310"/>
      <c r="E733" s="310"/>
      <c r="F733" s="310"/>
      <c r="H733" s="310"/>
    </row>
    <row r="734" spans="2:8">
      <c r="B734" s="311"/>
      <c r="C734" s="310"/>
      <c r="D734" s="310"/>
      <c r="E734" s="310"/>
      <c r="F734" s="310"/>
      <c r="H734" s="310"/>
    </row>
    <row r="735" spans="2:8">
      <c r="B735" s="311"/>
      <c r="C735" s="310"/>
      <c r="D735" s="310"/>
      <c r="E735" s="310"/>
      <c r="F735" s="310"/>
      <c r="H735" s="310"/>
    </row>
    <row r="736" spans="2:8">
      <c r="B736" s="311"/>
      <c r="C736" s="310"/>
      <c r="D736" s="310"/>
      <c r="E736" s="310"/>
      <c r="F736" s="310"/>
      <c r="H736" s="310"/>
    </row>
    <row r="737" spans="2:8">
      <c r="B737" s="311"/>
      <c r="C737" s="310"/>
      <c r="D737" s="310"/>
      <c r="E737" s="310"/>
      <c r="F737" s="310"/>
      <c r="H737" s="310"/>
    </row>
    <row r="738" spans="2:8">
      <c r="B738" s="311"/>
      <c r="C738" s="310"/>
      <c r="D738" s="310"/>
      <c r="E738" s="310"/>
      <c r="F738" s="310"/>
      <c r="H738" s="310"/>
    </row>
    <row r="739" spans="2:8">
      <c r="B739" s="311"/>
      <c r="C739" s="310"/>
      <c r="D739" s="310"/>
      <c r="E739" s="310"/>
      <c r="F739" s="310"/>
      <c r="H739" s="310"/>
    </row>
    <row r="740" spans="2:8">
      <c r="B740" s="311"/>
      <c r="C740" s="310"/>
      <c r="D740" s="310"/>
      <c r="E740" s="310"/>
      <c r="F740" s="310"/>
      <c r="H740" s="310"/>
    </row>
    <row r="741" spans="2:8">
      <c r="B741" s="311"/>
      <c r="C741" s="310"/>
      <c r="D741" s="310"/>
      <c r="E741" s="310"/>
      <c r="F741" s="310"/>
      <c r="H741" s="310"/>
    </row>
    <row r="742" spans="2:8">
      <c r="B742" s="311"/>
      <c r="C742" s="310"/>
      <c r="D742" s="310"/>
      <c r="E742" s="310"/>
      <c r="F742" s="310"/>
      <c r="H742" s="310"/>
    </row>
    <row r="743" spans="2:8">
      <c r="B743" s="311"/>
      <c r="C743" s="310"/>
      <c r="D743" s="310"/>
      <c r="E743" s="310"/>
      <c r="F743" s="310"/>
      <c r="H743" s="310"/>
    </row>
    <row r="744" spans="2:8">
      <c r="B744" s="311"/>
      <c r="C744" s="310"/>
      <c r="D744" s="310"/>
      <c r="E744" s="310"/>
      <c r="F744" s="310"/>
      <c r="H744" s="310"/>
    </row>
    <row r="745" spans="2:8">
      <c r="B745" s="311"/>
      <c r="C745" s="310"/>
      <c r="D745" s="310"/>
      <c r="E745" s="310"/>
      <c r="F745" s="310"/>
      <c r="H745" s="310"/>
    </row>
    <row r="746" spans="2:8">
      <c r="B746" s="311"/>
      <c r="C746" s="310"/>
      <c r="D746" s="310"/>
      <c r="E746" s="310"/>
      <c r="F746" s="310"/>
      <c r="H746" s="310"/>
    </row>
    <row r="747" spans="2:8">
      <c r="B747" s="311"/>
      <c r="C747" s="310"/>
      <c r="D747" s="310"/>
      <c r="E747" s="310"/>
      <c r="F747" s="310"/>
      <c r="H747" s="310"/>
    </row>
    <row r="748" spans="2:8">
      <c r="B748" s="311"/>
      <c r="C748" s="310"/>
      <c r="D748" s="310"/>
      <c r="E748" s="310"/>
      <c r="F748" s="310"/>
      <c r="H748" s="310"/>
    </row>
    <row r="749" spans="2:8">
      <c r="B749" s="311"/>
      <c r="C749" s="310"/>
      <c r="D749" s="310"/>
      <c r="E749" s="310"/>
      <c r="F749" s="310"/>
      <c r="H749" s="310"/>
    </row>
    <row r="750" spans="2:8">
      <c r="B750" s="311"/>
      <c r="C750" s="310"/>
      <c r="D750" s="310"/>
      <c r="E750" s="310"/>
      <c r="F750" s="310"/>
      <c r="H750" s="310"/>
    </row>
    <row r="751" spans="2:8">
      <c r="B751" s="311"/>
      <c r="C751" s="310"/>
      <c r="D751" s="310"/>
      <c r="E751" s="310"/>
      <c r="F751" s="310"/>
      <c r="H751" s="310"/>
    </row>
    <row r="752" spans="2:8">
      <c r="B752" s="311"/>
      <c r="C752" s="310"/>
      <c r="D752" s="310"/>
      <c r="E752" s="310"/>
      <c r="F752" s="310"/>
      <c r="H752" s="310"/>
    </row>
    <row r="753" spans="2:8">
      <c r="B753" s="311"/>
      <c r="C753" s="310"/>
      <c r="D753" s="310"/>
      <c r="E753" s="310"/>
      <c r="F753" s="310"/>
      <c r="H753" s="310"/>
    </row>
    <row r="754" spans="2:8">
      <c r="B754" s="311"/>
      <c r="C754" s="310"/>
      <c r="D754" s="310"/>
      <c r="E754" s="310"/>
      <c r="F754" s="310"/>
      <c r="H754" s="310"/>
    </row>
    <row r="755" spans="2:8">
      <c r="B755" s="311"/>
      <c r="C755" s="310"/>
      <c r="D755" s="310"/>
      <c r="E755" s="310"/>
      <c r="F755" s="310"/>
      <c r="H755" s="310"/>
    </row>
    <row r="756" spans="2:8">
      <c r="B756" s="311"/>
      <c r="C756" s="310"/>
      <c r="D756" s="310"/>
      <c r="E756" s="310"/>
      <c r="F756" s="310"/>
      <c r="H756" s="310"/>
    </row>
    <row r="757" spans="2:8">
      <c r="B757" s="311"/>
      <c r="C757" s="310"/>
      <c r="D757" s="310"/>
      <c r="E757" s="310"/>
      <c r="F757" s="310"/>
      <c r="H757" s="310"/>
    </row>
    <row r="758" spans="2:8">
      <c r="B758" s="311"/>
      <c r="C758" s="310"/>
      <c r="D758" s="310"/>
      <c r="E758" s="310"/>
      <c r="F758" s="310"/>
      <c r="H758" s="310"/>
    </row>
    <row r="759" spans="2:8">
      <c r="B759" s="311"/>
      <c r="C759" s="310"/>
      <c r="D759" s="310"/>
      <c r="E759" s="310"/>
      <c r="F759" s="310"/>
      <c r="H759" s="310"/>
    </row>
    <row r="760" spans="2:8">
      <c r="B760" s="311"/>
      <c r="C760" s="310"/>
      <c r="D760" s="310"/>
      <c r="E760" s="310"/>
      <c r="F760" s="310"/>
      <c r="H760" s="310"/>
    </row>
    <row r="761" spans="2:8">
      <c r="B761" s="311"/>
      <c r="C761" s="310"/>
      <c r="D761" s="310"/>
      <c r="E761" s="310"/>
      <c r="F761" s="310"/>
      <c r="H761" s="310"/>
    </row>
    <row r="762" spans="2:8">
      <c r="B762" s="311"/>
      <c r="C762" s="310"/>
      <c r="D762" s="310"/>
      <c r="E762" s="310"/>
      <c r="F762" s="310"/>
      <c r="H762" s="310"/>
    </row>
    <row r="763" spans="2:8">
      <c r="B763" s="311"/>
      <c r="C763" s="310"/>
      <c r="D763" s="310"/>
      <c r="E763" s="310"/>
      <c r="F763" s="310"/>
      <c r="H763" s="310"/>
    </row>
    <row r="764" spans="2:8">
      <c r="B764" s="311"/>
      <c r="C764" s="310"/>
      <c r="D764" s="310"/>
      <c r="E764" s="310"/>
      <c r="F764" s="310"/>
      <c r="H764" s="310"/>
    </row>
    <row r="765" spans="2:8">
      <c r="B765" s="311"/>
      <c r="C765" s="310"/>
      <c r="D765" s="310"/>
      <c r="E765" s="310"/>
      <c r="F765" s="310"/>
      <c r="H765" s="310"/>
    </row>
    <row r="766" spans="2:8">
      <c r="B766" s="311"/>
      <c r="C766" s="310"/>
      <c r="D766" s="310"/>
      <c r="E766" s="310"/>
      <c r="F766" s="310"/>
      <c r="H766" s="310"/>
    </row>
    <row r="767" spans="2:8">
      <c r="B767" s="311"/>
      <c r="C767" s="310"/>
      <c r="D767" s="310"/>
      <c r="E767" s="310"/>
      <c r="F767" s="310"/>
      <c r="H767" s="310"/>
    </row>
    <row r="768" spans="2:8">
      <c r="B768" s="311"/>
      <c r="C768" s="310"/>
      <c r="D768" s="310"/>
      <c r="E768" s="310"/>
      <c r="F768" s="310"/>
      <c r="H768" s="310"/>
    </row>
    <row r="769" spans="2:8">
      <c r="B769" s="311"/>
      <c r="C769" s="310"/>
      <c r="D769" s="310"/>
      <c r="E769" s="310"/>
      <c r="F769" s="310"/>
      <c r="H769" s="310"/>
    </row>
    <row r="770" spans="2:8">
      <c r="B770" s="311"/>
      <c r="C770" s="310"/>
      <c r="D770" s="310"/>
      <c r="E770" s="310"/>
      <c r="F770" s="310"/>
      <c r="H770" s="310"/>
    </row>
    <row r="771" spans="2:8">
      <c r="B771" s="311"/>
      <c r="C771" s="310"/>
      <c r="D771" s="310"/>
      <c r="E771" s="310"/>
      <c r="F771" s="310"/>
      <c r="H771" s="310"/>
    </row>
    <row r="772" spans="2:8">
      <c r="B772" s="311"/>
      <c r="C772" s="310"/>
      <c r="D772" s="310"/>
      <c r="E772" s="310"/>
      <c r="F772" s="310"/>
      <c r="H772" s="310"/>
    </row>
    <row r="773" spans="2:8">
      <c r="B773" s="311"/>
      <c r="C773" s="310"/>
      <c r="D773" s="310"/>
      <c r="E773" s="310"/>
      <c r="F773" s="310"/>
      <c r="H773" s="310"/>
    </row>
    <row r="774" spans="2:8">
      <c r="B774" s="311"/>
      <c r="C774" s="310"/>
      <c r="D774" s="310"/>
      <c r="E774" s="310"/>
      <c r="F774" s="310"/>
      <c r="H774" s="310"/>
    </row>
    <row r="775" spans="2:8">
      <c r="B775" s="311"/>
      <c r="C775" s="310"/>
      <c r="D775" s="310"/>
      <c r="E775" s="310"/>
      <c r="F775" s="310"/>
      <c r="H775" s="310"/>
    </row>
    <row r="776" spans="2:8">
      <c r="B776" s="311"/>
      <c r="C776" s="310"/>
      <c r="D776" s="310"/>
      <c r="E776" s="310"/>
      <c r="F776" s="310"/>
      <c r="H776" s="310"/>
    </row>
    <row r="777" spans="2:8">
      <c r="B777" s="311"/>
      <c r="C777" s="310"/>
      <c r="D777" s="310"/>
      <c r="E777" s="310"/>
      <c r="F777" s="310"/>
      <c r="H777" s="310"/>
    </row>
    <row r="778" spans="2:8">
      <c r="B778" s="311"/>
      <c r="C778" s="310"/>
      <c r="D778" s="310"/>
      <c r="E778" s="310"/>
      <c r="F778" s="310"/>
      <c r="H778" s="310"/>
    </row>
    <row r="779" spans="2:8">
      <c r="B779" s="311"/>
      <c r="C779" s="310"/>
      <c r="D779" s="310"/>
      <c r="E779" s="310"/>
      <c r="F779" s="310"/>
      <c r="H779" s="310"/>
    </row>
    <row r="780" spans="2:8">
      <c r="B780" s="311"/>
      <c r="C780" s="310"/>
      <c r="D780" s="310"/>
      <c r="E780" s="310"/>
      <c r="F780" s="310"/>
      <c r="H780" s="310"/>
    </row>
    <row r="781" spans="2:8">
      <c r="B781" s="311"/>
      <c r="C781" s="310"/>
      <c r="D781" s="310"/>
      <c r="E781" s="310"/>
      <c r="F781" s="310"/>
      <c r="H781" s="310"/>
    </row>
    <row r="782" spans="2:8">
      <c r="B782" s="311"/>
      <c r="C782" s="310"/>
      <c r="D782" s="310"/>
      <c r="E782" s="310"/>
      <c r="F782" s="310"/>
      <c r="H782" s="310"/>
    </row>
    <row r="783" spans="2:8">
      <c r="B783" s="311"/>
      <c r="C783" s="310"/>
      <c r="D783" s="310"/>
      <c r="E783" s="310"/>
      <c r="F783" s="310"/>
      <c r="H783" s="310"/>
    </row>
    <row r="784" spans="2:8">
      <c r="B784" s="311"/>
      <c r="C784" s="310"/>
      <c r="D784" s="310"/>
      <c r="E784" s="310"/>
      <c r="F784" s="310"/>
      <c r="H784" s="310"/>
    </row>
    <row r="785" spans="2:8">
      <c r="B785" s="311"/>
      <c r="C785" s="310"/>
      <c r="D785" s="310"/>
      <c r="E785" s="310"/>
      <c r="F785" s="310"/>
      <c r="H785" s="310"/>
    </row>
    <row r="786" spans="2:8">
      <c r="B786" s="311"/>
      <c r="C786" s="310"/>
      <c r="D786" s="310"/>
      <c r="E786" s="310"/>
      <c r="F786" s="310"/>
      <c r="H786" s="310"/>
    </row>
    <row r="787" spans="2:8">
      <c r="B787" s="311"/>
      <c r="C787" s="310"/>
      <c r="D787" s="310"/>
      <c r="E787" s="310"/>
      <c r="F787" s="310"/>
      <c r="H787" s="310"/>
    </row>
    <row r="788" spans="2:8">
      <c r="B788" s="311"/>
      <c r="C788" s="310"/>
      <c r="D788" s="310"/>
      <c r="E788" s="310"/>
      <c r="F788" s="310"/>
      <c r="H788" s="310"/>
    </row>
    <row r="789" spans="2:8">
      <c r="B789" s="311"/>
      <c r="C789" s="310"/>
      <c r="D789" s="310"/>
      <c r="E789" s="310"/>
      <c r="F789" s="310"/>
      <c r="H789" s="310"/>
    </row>
    <row r="790" spans="2:8">
      <c r="B790" s="311"/>
      <c r="C790" s="310"/>
      <c r="D790" s="310"/>
      <c r="E790" s="310"/>
      <c r="F790" s="310"/>
      <c r="H790" s="310"/>
    </row>
    <row r="791" spans="2:8">
      <c r="B791" s="311"/>
      <c r="C791" s="310"/>
      <c r="D791" s="310"/>
      <c r="E791" s="310"/>
      <c r="F791" s="310"/>
      <c r="H791" s="310"/>
    </row>
    <row r="792" spans="2:8">
      <c r="B792" s="311"/>
      <c r="C792" s="310"/>
      <c r="D792" s="310"/>
      <c r="E792" s="310"/>
      <c r="F792" s="310"/>
      <c r="H792" s="310"/>
    </row>
    <row r="793" spans="2:8">
      <c r="B793" s="311"/>
      <c r="C793" s="310"/>
      <c r="D793" s="310"/>
      <c r="E793" s="310"/>
      <c r="F793" s="310"/>
      <c r="H793" s="310"/>
    </row>
    <row r="794" spans="2:8">
      <c r="B794" s="311"/>
      <c r="C794" s="310"/>
      <c r="D794" s="310"/>
      <c r="E794" s="310"/>
      <c r="F794" s="310"/>
      <c r="H794" s="310"/>
    </row>
    <row r="795" spans="2:8">
      <c r="B795" s="311"/>
      <c r="C795" s="310"/>
      <c r="D795" s="310"/>
      <c r="E795" s="310"/>
      <c r="F795" s="310"/>
      <c r="H795" s="310"/>
    </row>
    <row r="796" spans="2:8">
      <c r="B796" s="311"/>
      <c r="C796" s="310"/>
      <c r="D796" s="310"/>
      <c r="E796" s="310"/>
      <c r="F796" s="310"/>
      <c r="H796" s="310"/>
    </row>
    <row r="797" spans="2:8">
      <c r="B797" s="311"/>
      <c r="C797" s="310"/>
      <c r="D797" s="310"/>
      <c r="E797" s="310"/>
      <c r="F797" s="310"/>
      <c r="H797" s="310"/>
    </row>
    <row r="798" spans="2:8">
      <c r="B798" s="311"/>
      <c r="C798" s="310"/>
      <c r="D798" s="310"/>
      <c r="E798" s="310"/>
      <c r="F798" s="310"/>
      <c r="H798" s="310"/>
    </row>
    <row r="799" spans="2:8">
      <c r="B799" s="311"/>
      <c r="C799" s="310"/>
      <c r="D799" s="310"/>
      <c r="E799" s="310"/>
      <c r="F799" s="310"/>
      <c r="H799" s="310"/>
    </row>
    <row r="800" spans="2:8">
      <c r="B800" s="311"/>
      <c r="C800" s="310"/>
      <c r="D800" s="310"/>
      <c r="E800" s="310"/>
      <c r="F800" s="310"/>
      <c r="H800" s="310"/>
    </row>
    <row r="801" spans="2:8">
      <c r="B801" s="311"/>
      <c r="C801" s="310"/>
      <c r="D801" s="310"/>
      <c r="E801" s="310"/>
      <c r="F801" s="310"/>
      <c r="H801" s="310"/>
    </row>
    <row r="802" spans="2:8">
      <c r="B802" s="311"/>
      <c r="C802" s="310"/>
      <c r="D802" s="310"/>
      <c r="E802" s="310"/>
      <c r="F802" s="310"/>
      <c r="H802" s="310"/>
    </row>
    <row r="803" spans="2:8">
      <c r="B803" s="311"/>
      <c r="C803" s="310"/>
      <c r="D803" s="310"/>
      <c r="E803" s="310"/>
      <c r="F803" s="310"/>
      <c r="H803" s="310"/>
    </row>
    <row r="804" spans="2:8">
      <c r="B804" s="311"/>
      <c r="C804" s="310"/>
      <c r="D804" s="310"/>
      <c r="E804" s="310"/>
      <c r="F804" s="310"/>
      <c r="H804" s="310"/>
    </row>
    <row r="805" spans="2:8">
      <c r="B805" s="311"/>
      <c r="C805" s="310"/>
      <c r="D805" s="310"/>
      <c r="E805" s="310"/>
      <c r="F805" s="310"/>
      <c r="H805" s="310"/>
    </row>
    <row r="806" spans="2:8">
      <c r="B806" s="311"/>
      <c r="C806" s="310"/>
      <c r="D806" s="310"/>
      <c r="E806" s="310"/>
      <c r="F806" s="310"/>
      <c r="H806" s="310"/>
    </row>
    <row r="807" spans="2:8">
      <c r="B807" s="311"/>
      <c r="C807" s="310"/>
      <c r="D807" s="310"/>
      <c r="E807" s="310"/>
      <c r="F807" s="310"/>
      <c r="H807" s="310"/>
    </row>
    <row r="808" spans="2:8">
      <c r="B808" s="311"/>
      <c r="C808" s="310"/>
      <c r="D808" s="310"/>
      <c r="E808" s="310"/>
      <c r="F808" s="310"/>
      <c r="H808" s="310"/>
    </row>
    <row r="809" spans="2:8">
      <c r="B809" s="311"/>
      <c r="C809" s="310"/>
      <c r="D809" s="310"/>
      <c r="E809" s="310"/>
      <c r="F809" s="310"/>
      <c r="H809" s="310"/>
    </row>
    <row r="810" spans="2:8">
      <c r="B810" s="311"/>
      <c r="C810" s="310"/>
      <c r="D810" s="310"/>
      <c r="E810" s="310"/>
      <c r="F810" s="310"/>
      <c r="H810" s="310"/>
    </row>
    <row r="811" spans="2:8">
      <c r="B811" s="311"/>
      <c r="C811" s="310"/>
      <c r="D811" s="310"/>
      <c r="E811" s="310"/>
      <c r="F811" s="310"/>
      <c r="H811" s="310"/>
    </row>
    <row r="812" spans="2:8">
      <c r="B812" s="311"/>
      <c r="C812" s="310"/>
      <c r="D812" s="310"/>
      <c r="E812" s="310"/>
      <c r="F812" s="310"/>
      <c r="H812" s="310"/>
    </row>
    <row r="813" spans="2:8">
      <c r="B813" s="311"/>
      <c r="C813" s="310"/>
      <c r="D813" s="310"/>
      <c r="E813" s="310"/>
      <c r="F813" s="310"/>
      <c r="H813" s="310"/>
    </row>
    <row r="814" spans="2:8">
      <c r="B814" s="311"/>
      <c r="C814" s="310"/>
      <c r="D814" s="310"/>
      <c r="E814" s="310"/>
      <c r="F814" s="310"/>
      <c r="H814" s="310"/>
    </row>
    <row r="815" spans="2:8">
      <c r="B815" s="311"/>
      <c r="C815" s="310"/>
      <c r="D815" s="310"/>
      <c r="E815" s="310"/>
      <c r="F815" s="310"/>
      <c r="H815" s="310"/>
    </row>
    <row r="816" spans="2:8">
      <c r="B816" s="311"/>
      <c r="C816" s="310"/>
      <c r="D816" s="310"/>
      <c r="E816" s="310"/>
      <c r="F816" s="310"/>
      <c r="H816" s="310"/>
    </row>
    <row r="817" spans="2:8">
      <c r="B817" s="311"/>
      <c r="C817" s="310"/>
      <c r="D817" s="310"/>
      <c r="E817" s="310"/>
      <c r="F817" s="310"/>
      <c r="H817" s="310"/>
    </row>
    <row r="818" spans="2:8">
      <c r="B818" s="311"/>
      <c r="C818" s="310"/>
      <c r="D818" s="310"/>
      <c r="E818" s="310"/>
      <c r="F818" s="310"/>
      <c r="H818" s="310"/>
    </row>
    <row r="819" spans="2:8">
      <c r="B819" s="311"/>
      <c r="C819" s="310"/>
      <c r="D819" s="310"/>
      <c r="E819" s="310"/>
      <c r="F819" s="310"/>
      <c r="H819" s="310"/>
    </row>
    <row r="820" spans="2:8">
      <c r="B820" s="311"/>
      <c r="C820" s="310"/>
      <c r="D820" s="310"/>
      <c r="E820" s="310"/>
      <c r="F820" s="310"/>
      <c r="H820" s="310"/>
    </row>
    <row r="821" spans="2:8">
      <c r="B821" s="311"/>
      <c r="C821" s="310"/>
      <c r="D821" s="310"/>
      <c r="E821" s="310"/>
      <c r="F821" s="310"/>
      <c r="H821" s="310"/>
    </row>
    <row r="822" spans="2:8">
      <c r="B822" s="311"/>
      <c r="C822" s="310"/>
      <c r="D822" s="310"/>
      <c r="E822" s="310"/>
      <c r="F822" s="310"/>
      <c r="H822" s="310"/>
    </row>
    <row r="823" spans="2:8">
      <c r="B823" s="311"/>
      <c r="C823" s="310"/>
      <c r="D823" s="310"/>
      <c r="E823" s="310"/>
      <c r="F823" s="310"/>
      <c r="H823" s="310"/>
    </row>
    <row r="824" spans="2:8">
      <c r="B824" s="311"/>
      <c r="C824" s="310"/>
      <c r="D824" s="310"/>
      <c r="E824" s="310"/>
      <c r="F824" s="310"/>
      <c r="H824" s="310"/>
    </row>
    <row r="825" spans="2:8">
      <c r="B825" s="311"/>
      <c r="C825" s="310"/>
      <c r="D825" s="310"/>
      <c r="E825" s="310"/>
      <c r="F825" s="310"/>
      <c r="H825" s="310"/>
    </row>
    <row r="826" spans="2:8">
      <c r="B826" s="311"/>
      <c r="C826" s="310"/>
      <c r="D826" s="310"/>
      <c r="E826" s="310"/>
      <c r="F826" s="310"/>
      <c r="H826" s="310"/>
    </row>
    <row r="827" spans="2:8">
      <c r="B827" s="311"/>
      <c r="C827" s="310"/>
      <c r="D827" s="310"/>
      <c r="E827" s="310"/>
      <c r="F827" s="310"/>
      <c r="H827" s="310"/>
    </row>
    <row r="828" spans="2:8">
      <c r="B828" s="311"/>
      <c r="C828" s="310"/>
      <c r="D828" s="310"/>
      <c r="E828" s="310"/>
      <c r="F828" s="310"/>
      <c r="H828" s="310"/>
    </row>
    <row r="829" spans="2:8">
      <c r="B829" s="311"/>
      <c r="C829" s="310"/>
      <c r="D829" s="310"/>
      <c r="E829" s="310"/>
      <c r="F829" s="310"/>
      <c r="H829" s="310"/>
    </row>
    <row r="830" spans="2:8">
      <c r="B830" s="311"/>
      <c r="C830" s="310"/>
      <c r="D830" s="310"/>
      <c r="E830" s="310"/>
      <c r="F830" s="310"/>
      <c r="H830" s="310"/>
    </row>
    <row r="831" spans="2:8">
      <c r="B831" s="311"/>
      <c r="C831" s="310"/>
      <c r="D831" s="310"/>
      <c r="E831" s="310"/>
      <c r="F831" s="310"/>
      <c r="H831" s="310"/>
    </row>
    <row r="832" spans="2:8">
      <c r="B832" s="311"/>
      <c r="C832" s="310"/>
      <c r="D832" s="310"/>
      <c r="E832" s="310"/>
      <c r="F832" s="310"/>
      <c r="H832" s="310"/>
    </row>
    <row r="833" spans="2:8">
      <c r="B833" s="311"/>
      <c r="C833" s="310"/>
      <c r="D833" s="310"/>
      <c r="E833" s="310"/>
      <c r="F833" s="310"/>
      <c r="H833" s="310"/>
    </row>
    <row r="834" spans="2:8">
      <c r="B834" s="311"/>
      <c r="C834" s="310"/>
      <c r="D834" s="310"/>
      <c r="E834" s="310"/>
      <c r="F834" s="310"/>
      <c r="H834" s="310"/>
    </row>
    <row r="835" spans="2:8">
      <c r="B835" s="311"/>
      <c r="C835" s="310"/>
      <c r="D835" s="310"/>
      <c r="E835" s="310"/>
      <c r="F835" s="310"/>
      <c r="H835" s="310"/>
    </row>
    <row r="836" spans="2:8">
      <c r="B836" s="311"/>
      <c r="C836" s="310"/>
      <c r="D836" s="310"/>
      <c r="E836" s="310"/>
      <c r="F836" s="310"/>
      <c r="H836" s="310"/>
    </row>
    <row r="837" spans="2:8">
      <c r="B837" s="311"/>
      <c r="C837" s="310"/>
      <c r="D837" s="310"/>
      <c r="E837" s="310"/>
      <c r="F837" s="310"/>
      <c r="H837" s="310"/>
    </row>
    <row r="838" spans="2:8">
      <c r="B838" s="311"/>
      <c r="C838" s="310"/>
      <c r="D838" s="310"/>
      <c r="E838" s="310"/>
      <c r="F838" s="310"/>
      <c r="H838" s="310"/>
    </row>
    <row r="839" spans="2:8">
      <c r="B839" s="311"/>
      <c r="C839" s="310"/>
      <c r="D839" s="310"/>
      <c r="E839" s="310"/>
      <c r="F839" s="310"/>
      <c r="H839" s="310"/>
    </row>
    <row r="840" spans="2:8">
      <c r="B840" s="311"/>
      <c r="C840" s="310"/>
      <c r="D840" s="310"/>
      <c r="E840" s="310"/>
      <c r="F840" s="310"/>
      <c r="H840" s="310"/>
    </row>
    <row r="841" spans="2:8">
      <c r="B841" s="311"/>
      <c r="C841" s="310"/>
      <c r="D841" s="310"/>
      <c r="E841" s="310"/>
      <c r="F841" s="310"/>
      <c r="H841" s="310"/>
    </row>
    <row r="842" spans="2:8">
      <c r="B842" s="311"/>
      <c r="C842" s="310"/>
      <c r="D842" s="310"/>
      <c r="E842" s="310"/>
      <c r="F842" s="310"/>
      <c r="H842" s="310"/>
    </row>
    <row r="843" spans="2:8">
      <c r="B843" s="311"/>
      <c r="C843" s="310"/>
      <c r="D843" s="310"/>
      <c r="E843" s="310"/>
      <c r="F843" s="310"/>
      <c r="H843" s="310"/>
    </row>
    <row r="844" spans="2:8">
      <c r="B844" s="311"/>
      <c r="C844" s="310"/>
      <c r="D844" s="310"/>
      <c r="E844" s="310"/>
      <c r="F844" s="310"/>
      <c r="H844" s="310"/>
    </row>
    <row r="845" spans="2:8">
      <c r="B845" s="311"/>
      <c r="C845" s="310"/>
      <c r="D845" s="310"/>
      <c r="E845" s="310"/>
      <c r="F845" s="310"/>
      <c r="H845" s="310"/>
    </row>
    <row r="846" spans="2:8">
      <c r="B846" s="311"/>
      <c r="C846" s="310"/>
      <c r="D846" s="310"/>
      <c r="E846" s="310"/>
      <c r="F846" s="310"/>
      <c r="H846" s="310"/>
    </row>
    <row r="847" spans="2:8">
      <c r="B847" s="311"/>
      <c r="C847" s="310"/>
      <c r="D847" s="310"/>
      <c r="E847" s="310"/>
      <c r="F847" s="310"/>
      <c r="H847" s="310"/>
    </row>
    <row r="848" spans="2:8">
      <c r="B848" s="311"/>
      <c r="C848" s="310"/>
      <c r="D848" s="310"/>
      <c r="E848" s="310"/>
      <c r="F848" s="310"/>
      <c r="H848" s="310"/>
    </row>
    <row r="849" spans="2:8">
      <c r="B849" s="311"/>
      <c r="C849" s="310"/>
      <c r="D849" s="310"/>
      <c r="E849" s="310"/>
      <c r="F849" s="310"/>
      <c r="H849" s="310"/>
    </row>
    <row r="850" spans="2:8">
      <c r="B850" s="311"/>
      <c r="C850" s="310"/>
      <c r="D850" s="310"/>
      <c r="E850" s="310"/>
      <c r="F850" s="310"/>
      <c r="H850" s="310"/>
    </row>
    <row r="851" spans="2:8">
      <c r="B851" s="311"/>
      <c r="C851" s="310"/>
      <c r="D851" s="310"/>
      <c r="E851" s="310"/>
      <c r="F851" s="310"/>
      <c r="H851" s="310"/>
    </row>
    <row r="852" spans="2:8">
      <c r="B852" s="311"/>
      <c r="C852" s="310"/>
      <c r="D852" s="310"/>
      <c r="E852" s="310"/>
      <c r="F852" s="310"/>
      <c r="H852" s="310"/>
    </row>
    <row r="853" spans="2:8">
      <c r="B853" s="311"/>
      <c r="C853" s="310"/>
      <c r="D853" s="310"/>
      <c r="E853" s="310"/>
      <c r="F853" s="310"/>
      <c r="H853" s="310"/>
    </row>
    <row r="854" spans="2:8">
      <c r="B854" s="311"/>
      <c r="C854" s="310"/>
      <c r="D854" s="310"/>
      <c r="E854" s="310"/>
      <c r="F854" s="310"/>
      <c r="H854" s="310"/>
    </row>
    <row r="855" spans="2:8">
      <c r="B855" s="311"/>
      <c r="C855" s="310"/>
      <c r="D855" s="310"/>
      <c r="E855" s="310"/>
      <c r="F855" s="310"/>
      <c r="H855" s="310"/>
    </row>
    <row r="856" spans="2:8">
      <c r="B856" s="311"/>
      <c r="C856" s="310"/>
      <c r="D856" s="310"/>
      <c r="E856" s="310"/>
      <c r="F856" s="310"/>
      <c r="H856" s="310"/>
    </row>
    <row r="857" spans="2:8">
      <c r="B857" s="311"/>
      <c r="C857" s="310"/>
      <c r="D857" s="310"/>
      <c r="E857" s="310"/>
      <c r="F857" s="310"/>
      <c r="H857" s="310"/>
    </row>
    <row r="858" spans="2:8">
      <c r="B858" s="311"/>
      <c r="C858" s="310"/>
      <c r="D858" s="310"/>
      <c r="E858" s="310"/>
      <c r="F858" s="310"/>
      <c r="H858" s="310"/>
    </row>
    <row r="859" spans="2:8">
      <c r="B859" s="311"/>
      <c r="C859" s="310"/>
      <c r="D859" s="310"/>
      <c r="E859" s="310"/>
      <c r="F859" s="310"/>
      <c r="H859" s="310"/>
    </row>
    <row r="860" spans="2:8">
      <c r="B860" s="311"/>
      <c r="C860" s="310"/>
      <c r="D860" s="310"/>
      <c r="E860" s="310"/>
      <c r="F860" s="310"/>
      <c r="H860" s="310"/>
    </row>
    <row r="861" spans="2:8">
      <c r="B861" s="311"/>
      <c r="C861" s="310"/>
      <c r="D861" s="310"/>
      <c r="E861" s="310"/>
      <c r="F861" s="310"/>
      <c r="H861" s="310"/>
    </row>
    <row r="862" spans="2:8">
      <c r="B862" s="311"/>
      <c r="C862" s="310"/>
      <c r="D862" s="310"/>
      <c r="E862" s="310"/>
      <c r="F862" s="310"/>
      <c r="H862" s="310"/>
    </row>
    <row r="863" spans="2:8">
      <c r="B863" s="311"/>
      <c r="C863" s="310"/>
      <c r="D863" s="310"/>
      <c r="E863" s="310"/>
      <c r="F863" s="310"/>
      <c r="H863" s="310"/>
    </row>
    <row r="864" spans="2:8">
      <c r="B864" s="311"/>
      <c r="C864" s="310"/>
      <c r="D864" s="310"/>
      <c r="E864" s="310"/>
      <c r="F864" s="310"/>
      <c r="H864" s="310"/>
    </row>
    <row r="865" spans="2:8">
      <c r="B865" s="311"/>
      <c r="C865" s="310"/>
      <c r="D865" s="310"/>
      <c r="E865" s="310"/>
      <c r="F865" s="310"/>
      <c r="H865" s="310"/>
    </row>
    <row r="866" spans="2:8">
      <c r="B866" s="311"/>
      <c r="C866" s="310"/>
      <c r="D866" s="310"/>
      <c r="E866" s="310"/>
      <c r="F866" s="310"/>
      <c r="H866" s="310"/>
    </row>
    <row r="867" spans="2:8">
      <c r="B867" s="311"/>
      <c r="C867" s="310"/>
      <c r="D867" s="310"/>
      <c r="E867" s="310"/>
      <c r="F867" s="310"/>
      <c r="H867" s="310"/>
    </row>
    <row r="868" spans="2:8">
      <c r="B868" s="311"/>
      <c r="C868" s="310"/>
      <c r="D868" s="310"/>
      <c r="E868" s="310"/>
      <c r="F868" s="310"/>
      <c r="H868" s="310"/>
    </row>
    <row r="869" spans="2:8">
      <c r="B869" s="311"/>
      <c r="C869" s="310"/>
      <c r="D869" s="310"/>
      <c r="E869" s="310"/>
      <c r="F869" s="310"/>
      <c r="H869" s="310"/>
    </row>
    <row r="870" spans="2:8">
      <c r="B870" s="311"/>
      <c r="C870" s="310"/>
      <c r="D870" s="310"/>
      <c r="E870" s="310"/>
      <c r="F870" s="310"/>
      <c r="H870" s="310"/>
    </row>
    <row r="871" spans="2:8">
      <c r="B871" s="311"/>
      <c r="C871" s="310"/>
      <c r="D871" s="310"/>
      <c r="E871" s="310"/>
      <c r="F871" s="310"/>
      <c r="H871" s="310"/>
    </row>
    <row r="872" spans="2:8">
      <c r="B872" s="311"/>
      <c r="C872" s="310"/>
      <c r="D872" s="310"/>
      <c r="E872" s="310"/>
      <c r="F872" s="310"/>
      <c r="H872" s="310"/>
    </row>
    <row r="873" spans="2:8">
      <c r="B873" s="311"/>
      <c r="C873" s="310"/>
      <c r="D873" s="310"/>
      <c r="E873" s="310"/>
      <c r="F873" s="310"/>
      <c r="H873" s="310"/>
    </row>
    <row r="874" spans="2:8">
      <c r="B874" s="311"/>
      <c r="C874" s="310"/>
      <c r="D874" s="310"/>
      <c r="E874" s="310"/>
      <c r="F874" s="310"/>
      <c r="H874" s="310"/>
    </row>
    <row r="875" spans="2:8">
      <c r="B875" s="311"/>
      <c r="C875" s="310"/>
      <c r="D875" s="310"/>
      <c r="E875" s="310"/>
      <c r="F875" s="310"/>
      <c r="H875" s="310"/>
    </row>
    <row r="876" spans="2:8">
      <c r="B876" s="311"/>
      <c r="C876" s="310"/>
      <c r="D876" s="310"/>
      <c r="E876" s="310"/>
      <c r="F876" s="310"/>
      <c r="H876" s="310"/>
    </row>
    <row r="877" spans="2:8">
      <c r="B877" s="311"/>
      <c r="C877" s="310"/>
      <c r="D877" s="310"/>
      <c r="E877" s="310"/>
      <c r="F877" s="310"/>
      <c r="H877" s="310"/>
    </row>
    <row r="878" spans="2:8">
      <c r="B878" s="311"/>
      <c r="C878" s="310"/>
      <c r="D878" s="310"/>
      <c r="E878" s="310"/>
      <c r="F878" s="310"/>
      <c r="H878" s="310"/>
    </row>
    <row r="879" spans="2:8">
      <c r="B879" s="311"/>
      <c r="C879" s="310"/>
      <c r="D879" s="310"/>
      <c r="E879" s="310"/>
      <c r="F879" s="310"/>
      <c r="H879" s="310"/>
    </row>
    <row r="880" spans="2:8">
      <c r="B880" s="311"/>
      <c r="C880" s="310"/>
      <c r="D880" s="310"/>
      <c r="E880" s="310"/>
      <c r="F880" s="310"/>
      <c r="H880" s="310"/>
    </row>
    <row r="881" spans="2:8">
      <c r="B881" s="311"/>
      <c r="C881" s="310"/>
      <c r="D881" s="310"/>
      <c r="E881" s="310"/>
      <c r="F881" s="310"/>
      <c r="H881" s="310"/>
    </row>
    <row r="882" spans="2:8">
      <c r="B882" s="311"/>
      <c r="C882" s="310"/>
      <c r="D882" s="310"/>
      <c r="E882" s="310"/>
      <c r="F882" s="310"/>
      <c r="H882" s="310"/>
    </row>
    <row r="883" spans="2:8">
      <c r="B883" s="311"/>
      <c r="C883" s="310"/>
      <c r="D883" s="310"/>
      <c r="E883" s="310"/>
      <c r="F883" s="310"/>
      <c r="H883" s="310"/>
    </row>
    <row r="884" spans="2:8">
      <c r="B884" s="311"/>
      <c r="C884" s="310"/>
      <c r="D884" s="310"/>
      <c r="E884" s="310"/>
      <c r="F884" s="310"/>
      <c r="H884" s="310"/>
    </row>
    <row r="885" spans="2:8">
      <c r="B885" s="311"/>
      <c r="C885" s="310"/>
      <c r="D885" s="310"/>
      <c r="E885" s="310"/>
      <c r="F885" s="310"/>
      <c r="H885" s="310"/>
    </row>
    <row r="886" spans="2:8">
      <c r="B886" s="311"/>
      <c r="C886" s="310"/>
      <c r="D886" s="310"/>
      <c r="E886" s="310"/>
      <c r="F886" s="310"/>
      <c r="H886" s="310"/>
    </row>
    <row r="887" spans="2:8">
      <c r="B887" s="311"/>
      <c r="C887" s="310"/>
      <c r="D887" s="310"/>
      <c r="E887" s="310"/>
      <c r="F887" s="310"/>
      <c r="H887" s="310"/>
    </row>
    <row r="888" spans="2:8">
      <c r="B888" s="311"/>
      <c r="C888" s="310"/>
      <c r="D888" s="310"/>
      <c r="E888" s="310"/>
      <c r="F888" s="310"/>
      <c r="H888" s="310"/>
    </row>
    <row r="889" spans="2:8">
      <c r="B889" s="311"/>
      <c r="C889" s="310"/>
      <c r="D889" s="310"/>
      <c r="E889" s="310"/>
      <c r="F889" s="310"/>
      <c r="H889" s="310"/>
    </row>
    <row r="890" spans="2:8">
      <c r="B890" s="311"/>
      <c r="C890" s="310"/>
      <c r="D890" s="310"/>
      <c r="E890" s="310"/>
      <c r="F890" s="310"/>
      <c r="H890" s="310"/>
    </row>
    <row r="891" spans="2:8">
      <c r="B891" s="311"/>
      <c r="C891" s="310"/>
      <c r="D891" s="310"/>
      <c r="E891" s="310"/>
      <c r="F891" s="310"/>
      <c r="H891" s="310"/>
    </row>
    <row r="892" spans="2:8">
      <c r="B892" s="311"/>
      <c r="C892" s="310"/>
      <c r="D892" s="310"/>
      <c r="E892" s="310"/>
      <c r="F892" s="310"/>
      <c r="H892" s="310"/>
    </row>
    <row r="893" spans="2:8">
      <c r="B893" s="311"/>
      <c r="C893" s="310"/>
      <c r="D893" s="310"/>
      <c r="E893" s="310"/>
      <c r="F893" s="310"/>
      <c r="H893" s="310"/>
    </row>
    <row r="894" spans="2:8">
      <c r="B894" s="311"/>
      <c r="C894" s="310"/>
      <c r="D894" s="310"/>
      <c r="E894" s="310"/>
      <c r="F894" s="310"/>
      <c r="H894" s="310"/>
    </row>
    <row r="895" spans="2:8">
      <c r="B895" s="311"/>
      <c r="C895" s="310"/>
      <c r="D895" s="310"/>
      <c r="E895" s="310"/>
      <c r="F895" s="310"/>
      <c r="H895" s="310"/>
    </row>
    <row r="896" spans="2:8">
      <c r="B896" s="311"/>
      <c r="C896" s="310"/>
      <c r="D896" s="310"/>
      <c r="E896" s="310"/>
      <c r="F896" s="310"/>
      <c r="H896" s="310"/>
    </row>
    <row r="897" spans="2:8">
      <c r="B897" s="311"/>
      <c r="C897" s="310"/>
      <c r="D897" s="310"/>
      <c r="E897" s="310"/>
      <c r="F897" s="310"/>
      <c r="H897" s="310"/>
    </row>
    <row r="898" spans="2:8">
      <c r="B898" s="311"/>
      <c r="C898" s="310"/>
      <c r="D898" s="310"/>
      <c r="E898" s="310"/>
      <c r="F898" s="310"/>
      <c r="H898" s="310"/>
    </row>
    <row r="899" spans="2:8">
      <c r="B899" s="311"/>
      <c r="C899" s="310"/>
      <c r="D899" s="310"/>
      <c r="E899" s="310"/>
      <c r="F899" s="310"/>
      <c r="H899" s="310"/>
    </row>
    <row r="900" spans="2:8">
      <c r="B900" s="311"/>
      <c r="C900" s="310"/>
      <c r="D900" s="310"/>
      <c r="E900" s="310"/>
      <c r="F900" s="310"/>
      <c r="H900" s="310"/>
    </row>
    <row r="901" spans="2:8">
      <c r="B901" s="311"/>
      <c r="C901" s="310"/>
      <c r="D901" s="310"/>
      <c r="E901" s="310"/>
      <c r="F901" s="310"/>
      <c r="H901" s="310"/>
    </row>
    <row r="902" spans="2:8">
      <c r="B902" s="311"/>
      <c r="C902" s="310"/>
      <c r="D902" s="310"/>
      <c r="E902" s="310"/>
      <c r="F902" s="310"/>
      <c r="H902" s="310"/>
    </row>
    <row r="903" spans="2:8">
      <c r="B903" s="311"/>
      <c r="C903" s="310"/>
      <c r="D903" s="310"/>
      <c r="E903" s="310"/>
      <c r="F903" s="310"/>
      <c r="H903" s="310"/>
    </row>
    <row r="904" spans="2:8">
      <c r="B904" s="311"/>
      <c r="C904" s="310"/>
      <c r="D904" s="310"/>
      <c r="E904" s="310"/>
      <c r="F904" s="310"/>
      <c r="H904" s="310"/>
    </row>
    <row r="905" spans="2:8">
      <c r="B905" s="311"/>
      <c r="C905" s="310"/>
      <c r="D905" s="310"/>
      <c r="E905" s="310"/>
      <c r="F905" s="310"/>
      <c r="H905" s="310"/>
    </row>
    <row r="906" spans="2:8">
      <c r="B906" s="311"/>
      <c r="C906" s="310"/>
      <c r="D906" s="310"/>
      <c r="E906" s="310"/>
      <c r="F906" s="310"/>
      <c r="H906" s="310"/>
    </row>
    <row r="907" spans="2:8">
      <c r="B907" s="311"/>
      <c r="C907" s="310"/>
      <c r="D907" s="310"/>
      <c r="E907" s="310"/>
      <c r="F907" s="310"/>
      <c r="H907" s="310"/>
    </row>
    <row r="908" spans="2:8">
      <c r="B908" s="311"/>
      <c r="C908" s="310"/>
      <c r="D908" s="310"/>
      <c r="E908" s="310"/>
      <c r="F908" s="310"/>
      <c r="H908" s="310"/>
    </row>
    <row r="909" spans="2:8">
      <c r="B909" s="311"/>
      <c r="C909" s="310"/>
      <c r="D909" s="310"/>
      <c r="E909" s="310"/>
      <c r="F909" s="310"/>
      <c r="H909" s="310"/>
    </row>
    <row r="910" spans="2:8">
      <c r="B910" s="311"/>
      <c r="C910" s="310"/>
      <c r="D910" s="310"/>
      <c r="E910" s="310"/>
      <c r="F910" s="310"/>
      <c r="H910" s="310"/>
    </row>
    <row r="911" spans="2:8">
      <c r="B911" s="311"/>
      <c r="C911" s="310"/>
      <c r="D911" s="310"/>
      <c r="E911" s="310"/>
      <c r="F911" s="310"/>
      <c r="H911" s="310"/>
    </row>
    <row r="912" spans="2:8">
      <c r="B912" s="311"/>
      <c r="C912" s="310"/>
      <c r="D912" s="310"/>
      <c r="E912" s="310"/>
      <c r="F912" s="310"/>
      <c r="H912" s="310"/>
    </row>
    <row r="913" spans="2:8">
      <c r="B913" s="311"/>
      <c r="C913" s="310"/>
      <c r="D913" s="310"/>
      <c r="E913" s="310"/>
      <c r="F913" s="310"/>
      <c r="H913" s="310"/>
    </row>
    <row r="914" spans="2:8">
      <c r="B914" s="311"/>
      <c r="C914" s="310"/>
      <c r="D914" s="310"/>
      <c r="E914" s="310"/>
      <c r="F914" s="310"/>
      <c r="H914" s="310"/>
    </row>
    <row r="915" spans="2:8">
      <c r="B915" s="311"/>
      <c r="C915" s="310"/>
      <c r="D915" s="310"/>
      <c r="E915" s="310"/>
      <c r="F915" s="310"/>
      <c r="H915" s="310"/>
    </row>
    <row r="916" spans="2:8">
      <c r="B916" s="311"/>
      <c r="C916" s="310"/>
      <c r="D916" s="310"/>
      <c r="E916" s="310"/>
      <c r="F916" s="310"/>
      <c r="H916" s="310"/>
    </row>
    <row r="917" spans="2:8">
      <c r="B917" s="311"/>
      <c r="C917" s="310"/>
      <c r="D917" s="310"/>
      <c r="E917" s="310"/>
      <c r="F917" s="310"/>
      <c r="H917" s="310"/>
    </row>
    <row r="918" spans="2:8">
      <c r="B918" s="311"/>
      <c r="C918" s="310"/>
      <c r="D918" s="310"/>
      <c r="E918" s="310"/>
      <c r="F918" s="310"/>
      <c r="H918" s="310"/>
    </row>
    <row r="919" spans="2:8">
      <c r="B919" s="311"/>
      <c r="C919" s="310"/>
      <c r="D919" s="310"/>
      <c r="E919" s="310"/>
      <c r="F919" s="310"/>
      <c r="H919" s="310"/>
    </row>
    <row r="920" spans="2:8">
      <c r="B920" s="311"/>
      <c r="C920" s="310"/>
      <c r="D920" s="310"/>
      <c r="E920" s="310"/>
      <c r="F920" s="310"/>
      <c r="H920" s="310"/>
    </row>
    <row r="921" spans="2:8">
      <c r="B921" s="311"/>
      <c r="C921" s="310"/>
      <c r="D921" s="310"/>
      <c r="E921" s="310"/>
      <c r="F921" s="310"/>
      <c r="H921" s="310"/>
    </row>
    <row r="922" spans="2:8">
      <c r="B922" s="311"/>
      <c r="C922" s="310"/>
      <c r="D922" s="310"/>
      <c r="E922" s="310"/>
      <c r="F922" s="310"/>
      <c r="H922" s="310"/>
    </row>
    <row r="923" spans="2:8">
      <c r="B923" s="311"/>
      <c r="C923" s="310"/>
      <c r="D923" s="310"/>
      <c r="E923" s="310"/>
      <c r="F923" s="310"/>
      <c r="H923" s="310"/>
    </row>
    <row r="924" spans="2:8">
      <c r="B924" s="311"/>
      <c r="C924" s="310"/>
      <c r="D924" s="310"/>
      <c r="E924" s="310"/>
      <c r="F924" s="310"/>
      <c r="H924" s="310"/>
    </row>
    <row r="925" spans="2:8">
      <c r="B925" s="311"/>
      <c r="C925" s="310"/>
      <c r="D925" s="310"/>
      <c r="E925" s="310"/>
      <c r="F925" s="310"/>
      <c r="H925" s="310"/>
    </row>
    <row r="926" spans="2:8">
      <c r="B926" s="311"/>
      <c r="C926" s="310"/>
      <c r="D926" s="310"/>
      <c r="E926" s="310"/>
      <c r="F926" s="310"/>
      <c r="H926" s="310"/>
    </row>
    <row r="927" spans="2:8">
      <c r="B927" s="311"/>
      <c r="C927" s="310"/>
      <c r="D927" s="310"/>
      <c r="E927" s="310"/>
      <c r="F927" s="310"/>
      <c r="H927" s="310"/>
    </row>
    <row r="928" spans="2:8">
      <c r="B928" s="311"/>
      <c r="C928" s="310"/>
      <c r="D928" s="310"/>
      <c r="E928" s="310"/>
      <c r="F928" s="310"/>
      <c r="H928" s="310"/>
    </row>
    <row r="929" spans="2:8">
      <c r="B929" s="311"/>
      <c r="C929" s="310"/>
      <c r="D929" s="310"/>
      <c r="E929" s="310"/>
      <c r="F929" s="310"/>
      <c r="H929" s="310"/>
    </row>
    <row r="930" spans="2:8">
      <c r="B930" s="311"/>
      <c r="C930" s="310"/>
      <c r="D930" s="310"/>
      <c r="E930" s="310"/>
      <c r="F930" s="310"/>
      <c r="H930" s="310"/>
    </row>
    <row r="931" spans="2:8">
      <c r="B931" s="311"/>
      <c r="C931" s="310"/>
      <c r="D931" s="310"/>
      <c r="E931" s="310"/>
      <c r="F931" s="310"/>
      <c r="H931" s="310"/>
    </row>
    <row r="932" spans="2:8">
      <c r="B932" s="311"/>
      <c r="C932" s="310"/>
      <c r="D932" s="310"/>
      <c r="E932" s="310"/>
      <c r="F932" s="310"/>
      <c r="H932" s="310"/>
    </row>
    <row r="933" spans="2:8">
      <c r="B933" s="311"/>
      <c r="C933" s="310"/>
      <c r="D933" s="310"/>
      <c r="E933" s="310"/>
      <c r="F933" s="310"/>
      <c r="H933" s="310"/>
    </row>
    <row r="934" spans="2:8">
      <c r="B934" s="311"/>
      <c r="C934" s="310"/>
      <c r="D934" s="310"/>
      <c r="E934" s="310"/>
      <c r="F934" s="310"/>
      <c r="H934" s="310"/>
    </row>
    <row r="935" spans="2:8">
      <c r="B935" s="311"/>
      <c r="C935" s="310"/>
      <c r="D935" s="310"/>
      <c r="E935" s="310"/>
      <c r="F935" s="310"/>
      <c r="H935" s="310"/>
    </row>
    <row r="936" spans="2:8">
      <c r="B936" s="311"/>
      <c r="C936" s="310"/>
      <c r="D936" s="310"/>
      <c r="E936" s="310"/>
      <c r="F936" s="310"/>
      <c r="H936" s="310"/>
    </row>
    <row r="937" spans="2:8">
      <c r="B937" s="311"/>
      <c r="C937" s="310"/>
      <c r="D937" s="310"/>
      <c r="E937" s="310"/>
      <c r="F937" s="310"/>
      <c r="H937" s="310"/>
    </row>
    <row r="938" spans="2:8">
      <c r="B938" s="311"/>
      <c r="C938" s="310"/>
      <c r="D938" s="310"/>
      <c r="E938" s="310"/>
      <c r="F938" s="310"/>
      <c r="H938" s="310"/>
    </row>
    <row r="939" spans="2:8">
      <c r="B939" s="311"/>
      <c r="C939" s="310"/>
      <c r="D939" s="310"/>
      <c r="E939" s="310"/>
      <c r="F939" s="310"/>
      <c r="H939" s="310"/>
    </row>
    <row r="940" spans="2:8">
      <c r="B940" s="311"/>
      <c r="C940" s="310"/>
      <c r="D940" s="310"/>
      <c r="E940" s="310"/>
      <c r="F940" s="310"/>
      <c r="H940" s="310"/>
    </row>
    <row r="941" spans="2:8">
      <c r="B941" s="311"/>
      <c r="C941" s="310"/>
      <c r="D941" s="310"/>
      <c r="E941" s="310"/>
      <c r="F941" s="310"/>
      <c r="H941" s="310"/>
    </row>
    <row r="942" spans="2:8">
      <c r="B942" s="311"/>
      <c r="C942" s="310"/>
      <c r="D942" s="310"/>
      <c r="E942" s="310"/>
      <c r="F942" s="310"/>
      <c r="H942" s="310"/>
    </row>
    <row r="943" spans="2:8">
      <c r="B943" s="311"/>
      <c r="C943" s="310"/>
      <c r="D943" s="310"/>
      <c r="E943" s="310"/>
      <c r="F943" s="310"/>
      <c r="H943" s="310"/>
    </row>
    <row r="944" spans="2:8">
      <c r="B944" s="311"/>
      <c r="C944" s="310"/>
      <c r="D944" s="310"/>
      <c r="E944" s="310"/>
      <c r="F944" s="310"/>
      <c r="H944" s="310"/>
    </row>
    <row r="945" spans="2:8">
      <c r="B945" s="311"/>
      <c r="C945" s="310"/>
      <c r="D945" s="310"/>
      <c r="E945" s="310"/>
      <c r="F945" s="310"/>
      <c r="H945" s="310"/>
    </row>
    <row r="946" spans="2:8">
      <c r="B946" s="311"/>
      <c r="C946" s="310"/>
      <c r="D946" s="310"/>
      <c r="E946" s="310"/>
      <c r="F946" s="310"/>
      <c r="H946" s="310"/>
    </row>
    <row r="947" spans="2:8">
      <c r="B947" s="311"/>
      <c r="C947" s="310"/>
      <c r="D947" s="310"/>
      <c r="E947" s="310"/>
      <c r="F947" s="310"/>
      <c r="H947" s="310"/>
    </row>
    <row r="948" spans="2:8">
      <c r="B948" s="311"/>
      <c r="C948" s="310"/>
      <c r="D948" s="310"/>
      <c r="E948" s="310"/>
      <c r="F948" s="310"/>
      <c r="H948" s="310"/>
    </row>
    <row r="949" spans="2:8">
      <c r="B949" s="311"/>
      <c r="C949" s="310"/>
      <c r="D949" s="310"/>
      <c r="E949" s="310"/>
      <c r="F949" s="310"/>
      <c r="H949" s="310"/>
    </row>
    <row r="950" spans="2:8">
      <c r="B950" s="311"/>
      <c r="C950" s="310"/>
      <c r="D950" s="310"/>
      <c r="E950" s="310"/>
      <c r="F950" s="310"/>
      <c r="H950" s="310"/>
    </row>
    <row r="951" spans="2:8">
      <c r="B951" s="311"/>
      <c r="C951" s="310"/>
      <c r="D951" s="310"/>
      <c r="E951" s="310"/>
      <c r="F951" s="310"/>
      <c r="H951" s="310"/>
    </row>
    <row r="952" spans="2:8">
      <c r="B952" s="311"/>
      <c r="C952" s="310"/>
      <c r="D952" s="310"/>
      <c r="E952" s="310"/>
      <c r="F952" s="310"/>
      <c r="H952" s="310"/>
    </row>
    <row r="953" spans="2:8">
      <c r="B953" s="311"/>
      <c r="C953" s="310"/>
      <c r="D953" s="310"/>
      <c r="E953" s="310"/>
      <c r="F953" s="310"/>
      <c r="H953" s="310"/>
    </row>
    <row r="954" spans="2:8">
      <c r="B954" s="311"/>
      <c r="C954" s="310"/>
      <c r="D954" s="310"/>
      <c r="E954" s="310"/>
      <c r="F954" s="310"/>
      <c r="H954" s="310"/>
    </row>
    <row r="955" spans="2:8">
      <c r="B955" s="311"/>
      <c r="C955" s="310"/>
      <c r="D955" s="310"/>
      <c r="E955" s="310"/>
      <c r="F955" s="310"/>
      <c r="H955" s="310"/>
    </row>
    <row r="956" spans="2:8">
      <c r="B956" s="311"/>
      <c r="C956" s="310"/>
      <c r="D956" s="310"/>
      <c r="E956" s="310"/>
      <c r="F956" s="310"/>
      <c r="H956" s="310"/>
    </row>
    <row r="957" spans="2:8">
      <c r="B957" s="311"/>
      <c r="C957" s="310"/>
      <c r="D957" s="310"/>
      <c r="E957" s="310"/>
      <c r="F957" s="310"/>
      <c r="H957" s="310"/>
    </row>
    <row r="958" spans="2:8">
      <c r="B958" s="311"/>
      <c r="C958" s="310"/>
      <c r="D958" s="310"/>
      <c r="E958" s="310"/>
      <c r="F958" s="310"/>
      <c r="H958" s="310"/>
    </row>
    <row r="959" spans="2:8">
      <c r="B959" s="311"/>
      <c r="C959" s="310"/>
      <c r="D959" s="310"/>
      <c r="E959" s="310"/>
      <c r="F959" s="310"/>
      <c r="H959" s="310"/>
    </row>
  </sheetData>
  <printOptions horizontalCentered="1"/>
  <pageMargins left="0.75" right="0.75" top="0.75" bottom="0.5" header="0.25" footer="0.25"/>
  <pageSetup scale="58" orientation="portrait" horizontalDpi="1200" verticalDpi="1200" r:id="rId1"/>
  <headerFooter alignWithMargins="0">
    <oddFooter xml:space="preserve">&amp;C &amp;R 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7030A0"/>
    <pageSetUpPr fitToPage="1"/>
  </sheetPr>
  <dimension ref="A1:BG298"/>
  <sheetViews>
    <sheetView zoomScale="86" zoomScaleNormal="86" workbookViewId="0">
      <selection activeCell="A2" sqref="A2"/>
    </sheetView>
  </sheetViews>
  <sheetFormatPr defaultRowHeight="15"/>
  <cols>
    <col min="1" max="1" width="6" style="138" customWidth="1"/>
    <col min="2" max="2" width="1.44140625" style="138" customWidth="1"/>
    <col min="3" max="3" width="51.21875" style="138" customWidth="1"/>
    <col min="4" max="4" width="1.44140625" style="138" customWidth="1"/>
    <col min="5" max="5" width="37.109375" style="138" customWidth="1"/>
    <col min="6" max="6" width="1.6640625" style="138" customWidth="1"/>
    <col min="7" max="7" width="14.109375" style="138" customWidth="1"/>
    <col min="8" max="8" width="1.44140625" style="138" customWidth="1"/>
    <col min="9" max="9" width="12.77734375" style="138" customWidth="1"/>
    <col min="10" max="10" width="5.109375" style="138" customWidth="1"/>
    <col min="11" max="11" width="6.44140625" style="138" customWidth="1"/>
    <col min="12" max="12" width="3.21875" style="138" customWidth="1"/>
    <col min="13" max="13" width="27.21875" style="138" customWidth="1"/>
    <col min="14" max="14" width="12" style="138" customWidth="1"/>
    <col min="15" max="15" width="10.33203125" style="138" customWidth="1"/>
    <col min="16" max="16" width="13" style="138" customWidth="1"/>
    <col min="17" max="17" width="13.77734375" style="138" customWidth="1"/>
    <col min="18" max="18" width="12" style="138" customWidth="1"/>
    <col min="19" max="19" width="13.77734375" style="138" customWidth="1"/>
    <col min="20" max="20" width="13.33203125" style="138" customWidth="1"/>
    <col min="21" max="21" width="12.5546875" style="138" bestFit="1" customWidth="1"/>
    <col min="22" max="22" width="17.5546875" style="138" customWidth="1"/>
    <col min="23" max="23" width="12" style="138" customWidth="1"/>
    <col min="24" max="24" width="15.6640625" style="138" customWidth="1"/>
    <col min="25" max="250" width="8.88671875" style="138"/>
    <col min="251" max="251" width="6" style="138" customWidth="1"/>
    <col min="252" max="252" width="1.44140625" style="138" customWidth="1"/>
    <col min="253" max="253" width="39.109375" style="138" customWidth="1"/>
    <col min="254" max="254" width="12" style="138" customWidth="1"/>
    <col min="255" max="255" width="14.44140625" style="138" customWidth="1"/>
    <col min="256" max="256" width="11.88671875" style="138" customWidth="1"/>
    <col min="257" max="257" width="14.109375" style="138" customWidth="1"/>
    <col min="258" max="258" width="13.88671875" style="138" customWidth="1"/>
    <col min="259" max="260" width="12.77734375" style="138" customWidth="1"/>
    <col min="261" max="261" width="13.5546875" style="138" customWidth="1"/>
    <col min="262" max="262" width="15.33203125" style="138" customWidth="1"/>
    <col min="263" max="263" width="12.77734375" style="138" customWidth="1"/>
    <col min="264" max="264" width="13.88671875" style="138" customWidth="1"/>
    <col min="265" max="265" width="1.88671875" style="138" customWidth="1"/>
    <col min="266" max="266" width="13" style="138" customWidth="1"/>
    <col min="267" max="506" width="8.88671875" style="138"/>
    <col min="507" max="507" width="6" style="138" customWidth="1"/>
    <col min="508" max="508" width="1.44140625" style="138" customWidth="1"/>
    <col min="509" max="509" width="39.109375" style="138" customWidth="1"/>
    <col min="510" max="510" width="12" style="138" customWidth="1"/>
    <col min="511" max="511" width="14.44140625" style="138" customWidth="1"/>
    <col min="512" max="512" width="11.88671875" style="138" customWidth="1"/>
    <col min="513" max="513" width="14.109375" style="138" customWidth="1"/>
    <col min="514" max="514" width="13.88671875" style="138" customWidth="1"/>
    <col min="515" max="516" width="12.77734375" style="138" customWidth="1"/>
    <col min="517" max="517" width="13.5546875" style="138" customWidth="1"/>
    <col min="518" max="518" width="15.33203125" style="138" customWidth="1"/>
    <col min="519" max="519" width="12.77734375" style="138" customWidth="1"/>
    <col min="520" max="520" width="13.88671875" style="138" customWidth="1"/>
    <col min="521" max="521" width="1.88671875" style="138" customWidth="1"/>
    <col min="522" max="522" width="13" style="138" customWidth="1"/>
    <col min="523" max="762" width="8.88671875" style="138"/>
    <col min="763" max="763" width="6" style="138" customWidth="1"/>
    <col min="764" max="764" width="1.44140625" style="138" customWidth="1"/>
    <col min="765" max="765" width="39.109375" style="138" customWidth="1"/>
    <col min="766" max="766" width="12" style="138" customWidth="1"/>
    <col min="767" max="767" width="14.44140625" style="138" customWidth="1"/>
    <col min="768" max="768" width="11.88671875" style="138" customWidth="1"/>
    <col min="769" max="769" width="14.109375" style="138" customWidth="1"/>
    <col min="770" max="770" width="13.88671875" style="138" customWidth="1"/>
    <col min="771" max="772" width="12.77734375" style="138" customWidth="1"/>
    <col min="773" max="773" width="13.5546875" style="138" customWidth="1"/>
    <col min="774" max="774" width="15.33203125" style="138" customWidth="1"/>
    <col min="775" max="775" width="12.77734375" style="138" customWidth="1"/>
    <col min="776" max="776" width="13.88671875" style="138" customWidth="1"/>
    <col min="777" max="777" width="1.88671875" style="138" customWidth="1"/>
    <col min="778" max="778" width="13" style="138" customWidth="1"/>
    <col min="779" max="1018" width="8.88671875" style="138"/>
    <col min="1019" max="1019" width="6" style="138" customWidth="1"/>
    <col min="1020" max="1020" width="1.44140625" style="138" customWidth="1"/>
    <col min="1021" max="1021" width="39.109375" style="138" customWidth="1"/>
    <col min="1022" max="1022" width="12" style="138" customWidth="1"/>
    <col min="1023" max="1023" width="14.44140625" style="138" customWidth="1"/>
    <col min="1024" max="1024" width="11.88671875" style="138" customWidth="1"/>
    <col min="1025" max="1025" width="14.109375" style="138" customWidth="1"/>
    <col min="1026" max="1026" width="13.88671875" style="138" customWidth="1"/>
    <col min="1027" max="1028" width="12.77734375" style="138" customWidth="1"/>
    <col min="1029" max="1029" width="13.5546875" style="138" customWidth="1"/>
    <col min="1030" max="1030" width="15.33203125" style="138" customWidth="1"/>
    <col min="1031" max="1031" width="12.77734375" style="138" customWidth="1"/>
    <col min="1032" max="1032" width="13.88671875" style="138" customWidth="1"/>
    <col min="1033" max="1033" width="1.88671875" style="138" customWidth="1"/>
    <col min="1034" max="1034" width="13" style="138" customWidth="1"/>
    <col min="1035" max="1274" width="8.88671875" style="138"/>
    <col min="1275" max="1275" width="6" style="138" customWidth="1"/>
    <col min="1276" max="1276" width="1.44140625" style="138" customWidth="1"/>
    <col min="1277" max="1277" width="39.109375" style="138" customWidth="1"/>
    <col min="1278" max="1278" width="12" style="138" customWidth="1"/>
    <col min="1279" max="1279" width="14.44140625" style="138" customWidth="1"/>
    <col min="1280" max="1280" width="11.88671875" style="138" customWidth="1"/>
    <col min="1281" max="1281" width="14.109375" style="138" customWidth="1"/>
    <col min="1282" max="1282" width="13.88671875" style="138" customWidth="1"/>
    <col min="1283" max="1284" width="12.77734375" style="138" customWidth="1"/>
    <col min="1285" max="1285" width="13.5546875" style="138" customWidth="1"/>
    <col min="1286" max="1286" width="15.33203125" style="138" customWidth="1"/>
    <col min="1287" max="1287" width="12.77734375" style="138" customWidth="1"/>
    <col min="1288" max="1288" width="13.88671875" style="138" customWidth="1"/>
    <col min="1289" max="1289" width="1.88671875" style="138" customWidth="1"/>
    <col min="1290" max="1290" width="13" style="138" customWidth="1"/>
    <col min="1291" max="1530" width="8.88671875" style="138"/>
    <col min="1531" max="1531" width="6" style="138" customWidth="1"/>
    <col min="1532" max="1532" width="1.44140625" style="138" customWidth="1"/>
    <col min="1533" max="1533" width="39.109375" style="138" customWidth="1"/>
    <col min="1534" max="1534" width="12" style="138" customWidth="1"/>
    <col min="1535" max="1535" width="14.44140625" style="138" customWidth="1"/>
    <col min="1536" max="1536" width="11.88671875" style="138" customWidth="1"/>
    <col min="1537" max="1537" width="14.109375" style="138" customWidth="1"/>
    <col min="1538" max="1538" width="13.88671875" style="138" customWidth="1"/>
    <col min="1539" max="1540" width="12.77734375" style="138" customWidth="1"/>
    <col min="1541" max="1541" width="13.5546875" style="138" customWidth="1"/>
    <col min="1542" max="1542" width="15.33203125" style="138" customWidth="1"/>
    <col min="1543" max="1543" width="12.77734375" style="138" customWidth="1"/>
    <col min="1544" max="1544" width="13.88671875" style="138" customWidth="1"/>
    <col min="1545" max="1545" width="1.88671875" style="138" customWidth="1"/>
    <col min="1546" max="1546" width="13" style="138" customWidth="1"/>
    <col min="1547" max="1786" width="8.88671875" style="138"/>
    <col min="1787" max="1787" width="6" style="138" customWidth="1"/>
    <col min="1788" max="1788" width="1.44140625" style="138" customWidth="1"/>
    <col min="1789" max="1789" width="39.109375" style="138" customWidth="1"/>
    <col min="1790" max="1790" width="12" style="138" customWidth="1"/>
    <col min="1791" max="1791" width="14.44140625" style="138" customWidth="1"/>
    <col min="1792" max="1792" width="11.88671875" style="138" customWidth="1"/>
    <col min="1793" max="1793" width="14.109375" style="138" customWidth="1"/>
    <col min="1794" max="1794" width="13.88671875" style="138" customWidth="1"/>
    <col min="1795" max="1796" width="12.77734375" style="138" customWidth="1"/>
    <col min="1797" max="1797" width="13.5546875" style="138" customWidth="1"/>
    <col min="1798" max="1798" width="15.33203125" style="138" customWidth="1"/>
    <col min="1799" max="1799" width="12.77734375" style="138" customWidth="1"/>
    <col min="1800" max="1800" width="13.88671875" style="138" customWidth="1"/>
    <col min="1801" max="1801" width="1.88671875" style="138" customWidth="1"/>
    <col min="1802" max="1802" width="13" style="138" customWidth="1"/>
    <col min="1803" max="2042" width="8.88671875" style="138"/>
    <col min="2043" max="2043" width="6" style="138" customWidth="1"/>
    <col min="2044" max="2044" width="1.44140625" style="138" customWidth="1"/>
    <col min="2045" max="2045" width="39.109375" style="138" customWidth="1"/>
    <col min="2046" max="2046" width="12" style="138" customWidth="1"/>
    <col min="2047" max="2047" width="14.44140625" style="138" customWidth="1"/>
    <col min="2048" max="2048" width="11.88671875" style="138" customWidth="1"/>
    <col min="2049" max="2049" width="14.109375" style="138" customWidth="1"/>
    <col min="2050" max="2050" width="13.88671875" style="138" customWidth="1"/>
    <col min="2051" max="2052" width="12.77734375" style="138" customWidth="1"/>
    <col min="2053" max="2053" width="13.5546875" style="138" customWidth="1"/>
    <col min="2054" max="2054" width="15.33203125" style="138" customWidth="1"/>
    <col min="2055" max="2055" width="12.77734375" style="138" customWidth="1"/>
    <col min="2056" max="2056" width="13.88671875" style="138" customWidth="1"/>
    <col min="2057" max="2057" width="1.88671875" style="138" customWidth="1"/>
    <col min="2058" max="2058" width="13" style="138" customWidth="1"/>
    <col min="2059" max="2298" width="8.88671875" style="138"/>
    <col min="2299" max="2299" width="6" style="138" customWidth="1"/>
    <col min="2300" max="2300" width="1.44140625" style="138" customWidth="1"/>
    <col min="2301" max="2301" width="39.109375" style="138" customWidth="1"/>
    <col min="2302" max="2302" width="12" style="138" customWidth="1"/>
    <col min="2303" max="2303" width="14.44140625" style="138" customWidth="1"/>
    <col min="2304" max="2304" width="11.88671875" style="138" customWidth="1"/>
    <col min="2305" max="2305" width="14.109375" style="138" customWidth="1"/>
    <col min="2306" max="2306" width="13.88671875" style="138" customWidth="1"/>
    <col min="2307" max="2308" width="12.77734375" style="138" customWidth="1"/>
    <col min="2309" max="2309" width="13.5546875" style="138" customWidth="1"/>
    <col min="2310" max="2310" width="15.33203125" style="138" customWidth="1"/>
    <col min="2311" max="2311" width="12.77734375" style="138" customWidth="1"/>
    <col min="2312" max="2312" width="13.88671875" style="138" customWidth="1"/>
    <col min="2313" max="2313" width="1.88671875" style="138" customWidth="1"/>
    <col min="2314" max="2314" width="13" style="138" customWidth="1"/>
    <col min="2315" max="2554" width="8.88671875" style="138"/>
    <col min="2555" max="2555" width="6" style="138" customWidth="1"/>
    <col min="2556" max="2556" width="1.44140625" style="138" customWidth="1"/>
    <col min="2557" max="2557" width="39.109375" style="138" customWidth="1"/>
    <col min="2558" max="2558" width="12" style="138" customWidth="1"/>
    <col min="2559" max="2559" width="14.44140625" style="138" customWidth="1"/>
    <col min="2560" max="2560" width="11.88671875" style="138" customWidth="1"/>
    <col min="2561" max="2561" width="14.109375" style="138" customWidth="1"/>
    <col min="2562" max="2562" width="13.88671875" style="138" customWidth="1"/>
    <col min="2563" max="2564" width="12.77734375" style="138" customWidth="1"/>
    <col min="2565" max="2565" width="13.5546875" style="138" customWidth="1"/>
    <col min="2566" max="2566" width="15.33203125" style="138" customWidth="1"/>
    <col min="2567" max="2567" width="12.77734375" style="138" customWidth="1"/>
    <col min="2568" max="2568" width="13.88671875" style="138" customWidth="1"/>
    <col min="2569" max="2569" width="1.88671875" style="138" customWidth="1"/>
    <col min="2570" max="2570" width="13" style="138" customWidth="1"/>
    <col min="2571" max="2810" width="8.88671875" style="138"/>
    <col min="2811" max="2811" width="6" style="138" customWidth="1"/>
    <col min="2812" max="2812" width="1.44140625" style="138" customWidth="1"/>
    <col min="2813" max="2813" width="39.109375" style="138" customWidth="1"/>
    <col min="2814" max="2814" width="12" style="138" customWidth="1"/>
    <col min="2815" max="2815" width="14.44140625" style="138" customWidth="1"/>
    <col min="2816" max="2816" width="11.88671875" style="138" customWidth="1"/>
    <col min="2817" max="2817" width="14.109375" style="138" customWidth="1"/>
    <col min="2818" max="2818" width="13.88671875" style="138" customWidth="1"/>
    <col min="2819" max="2820" width="12.77734375" style="138" customWidth="1"/>
    <col min="2821" max="2821" width="13.5546875" style="138" customWidth="1"/>
    <col min="2822" max="2822" width="15.33203125" style="138" customWidth="1"/>
    <col min="2823" max="2823" width="12.77734375" style="138" customWidth="1"/>
    <col min="2824" max="2824" width="13.88671875" style="138" customWidth="1"/>
    <col min="2825" max="2825" width="1.88671875" style="138" customWidth="1"/>
    <col min="2826" max="2826" width="13" style="138" customWidth="1"/>
    <col min="2827" max="3066" width="8.88671875" style="138"/>
    <col min="3067" max="3067" width="6" style="138" customWidth="1"/>
    <col min="3068" max="3068" width="1.44140625" style="138" customWidth="1"/>
    <col min="3069" max="3069" width="39.109375" style="138" customWidth="1"/>
    <col min="3070" max="3070" width="12" style="138" customWidth="1"/>
    <col min="3071" max="3071" width="14.44140625" style="138" customWidth="1"/>
    <col min="3072" max="3072" width="11.88671875" style="138" customWidth="1"/>
    <col min="3073" max="3073" width="14.109375" style="138" customWidth="1"/>
    <col min="3074" max="3074" width="13.88671875" style="138" customWidth="1"/>
    <col min="3075" max="3076" width="12.77734375" style="138" customWidth="1"/>
    <col min="3077" max="3077" width="13.5546875" style="138" customWidth="1"/>
    <col min="3078" max="3078" width="15.33203125" style="138" customWidth="1"/>
    <col min="3079" max="3079" width="12.77734375" style="138" customWidth="1"/>
    <col min="3080" max="3080" width="13.88671875" style="138" customWidth="1"/>
    <col min="3081" max="3081" width="1.88671875" style="138" customWidth="1"/>
    <col min="3082" max="3082" width="13" style="138" customWidth="1"/>
    <col min="3083" max="3322" width="8.88671875" style="138"/>
    <col min="3323" max="3323" width="6" style="138" customWidth="1"/>
    <col min="3324" max="3324" width="1.44140625" style="138" customWidth="1"/>
    <col min="3325" max="3325" width="39.109375" style="138" customWidth="1"/>
    <col min="3326" max="3326" width="12" style="138" customWidth="1"/>
    <col min="3327" max="3327" width="14.44140625" style="138" customWidth="1"/>
    <col min="3328" max="3328" width="11.88671875" style="138" customWidth="1"/>
    <col min="3329" max="3329" width="14.109375" style="138" customWidth="1"/>
    <col min="3330" max="3330" width="13.88671875" style="138" customWidth="1"/>
    <col min="3331" max="3332" width="12.77734375" style="138" customWidth="1"/>
    <col min="3333" max="3333" width="13.5546875" style="138" customWidth="1"/>
    <col min="3334" max="3334" width="15.33203125" style="138" customWidth="1"/>
    <col min="3335" max="3335" width="12.77734375" style="138" customWidth="1"/>
    <col min="3336" max="3336" width="13.88671875" style="138" customWidth="1"/>
    <col min="3337" max="3337" width="1.88671875" style="138" customWidth="1"/>
    <col min="3338" max="3338" width="13" style="138" customWidth="1"/>
    <col min="3339" max="3578" width="8.88671875" style="138"/>
    <col min="3579" max="3579" width="6" style="138" customWidth="1"/>
    <col min="3580" max="3580" width="1.44140625" style="138" customWidth="1"/>
    <col min="3581" max="3581" width="39.109375" style="138" customWidth="1"/>
    <col min="3582" max="3582" width="12" style="138" customWidth="1"/>
    <col min="3583" max="3583" width="14.44140625" style="138" customWidth="1"/>
    <col min="3584" max="3584" width="11.88671875" style="138" customWidth="1"/>
    <col min="3585" max="3585" width="14.109375" style="138" customWidth="1"/>
    <col min="3586" max="3586" width="13.88671875" style="138" customWidth="1"/>
    <col min="3587" max="3588" width="12.77734375" style="138" customWidth="1"/>
    <col min="3589" max="3589" width="13.5546875" style="138" customWidth="1"/>
    <col min="3590" max="3590" width="15.33203125" style="138" customWidth="1"/>
    <col min="3591" max="3591" width="12.77734375" style="138" customWidth="1"/>
    <col min="3592" max="3592" width="13.88671875" style="138" customWidth="1"/>
    <col min="3593" max="3593" width="1.88671875" style="138" customWidth="1"/>
    <col min="3594" max="3594" width="13" style="138" customWidth="1"/>
    <col min="3595" max="3834" width="8.88671875" style="138"/>
    <col min="3835" max="3835" width="6" style="138" customWidth="1"/>
    <col min="3836" max="3836" width="1.44140625" style="138" customWidth="1"/>
    <col min="3837" max="3837" width="39.109375" style="138" customWidth="1"/>
    <col min="3838" max="3838" width="12" style="138" customWidth="1"/>
    <col min="3839" max="3839" width="14.44140625" style="138" customWidth="1"/>
    <col min="3840" max="3840" width="11.88671875" style="138" customWidth="1"/>
    <col min="3841" max="3841" width="14.109375" style="138" customWidth="1"/>
    <col min="3842" max="3842" width="13.88671875" style="138" customWidth="1"/>
    <col min="3843" max="3844" width="12.77734375" style="138" customWidth="1"/>
    <col min="3845" max="3845" width="13.5546875" style="138" customWidth="1"/>
    <col min="3846" max="3846" width="15.33203125" style="138" customWidth="1"/>
    <col min="3847" max="3847" width="12.77734375" style="138" customWidth="1"/>
    <col min="3848" max="3848" width="13.88671875" style="138" customWidth="1"/>
    <col min="3849" max="3849" width="1.88671875" style="138" customWidth="1"/>
    <col min="3850" max="3850" width="13" style="138" customWidth="1"/>
    <col min="3851" max="4090" width="8.88671875" style="138"/>
    <col min="4091" max="4091" width="6" style="138" customWidth="1"/>
    <col min="4092" max="4092" width="1.44140625" style="138" customWidth="1"/>
    <col min="4093" max="4093" width="39.109375" style="138" customWidth="1"/>
    <col min="4094" max="4094" width="12" style="138" customWidth="1"/>
    <col min="4095" max="4095" width="14.44140625" style="138" customWidth="1"/>
    <col min="4096" max="4096" width="11.88671875" style="138" customWidth="1"/>
    <col min="4097" max="4097" width="14.109375" style="138" customWidth="1"/>
    <col min="4098" max="4098" width="13.88671875" style="138" customWidth="1"/>
    <col min="4099" max="4100" width="12.77734375" style="138" customWidth="1"/>
    <col min="4101" max="4101" width="13.5546875" style="138" customWidth="1"/>
    <col min="4102" max="4102" width="15.33203125" style="138" customWidth="1"/>
    <col min="4103" max="4103" width="12.77734375" style="138" customWidth="1"/>
    <col min="4104" max="4104" width="13.88671875" style="138" customWidth="1"/>
    <col min="4105" max="4105" width="1.88671875" style="138" customWidth="1"/>
    <col min="4106" max="4106" width="13" style="138" customWidth="1"/>
    <col min="4107" max="4346" width="8.88671875" style="138"/>
    <col min="4347" max="4347" width="6" style="138" customWidth="1"/>
    <col min="4348" max="4348" width="1.44140625" style="138" customWidth="1"/>
    <col min="4349" max="4349" width="39.109375" style="138" customWidth="1"/>
    <col min="4350" max="4350" width="12" style="138" customWidth="1"/>
    <col min="4351" max="4351" width="14.44140625" style="138" customWidth="1"/>
    <col min="4352" max="4352" width="11.88671875" style="138" customWidth="1"/>
    <col min="4353" max="4353" width="14.109375" style="138" customWidth="1"/>
    <col min="4354" max="4354" width="13.88671875" style="138" customWidth="1"/>
    <col min="4355" max="4356" width="12.77734375" style="138" customWidth="1"/>
    <col min="4357" max="4357" width="13.5546875" style="138" customWidth="1"/>
    <col min="4358" max="4358" width="15.33203125" style="138" customWidth="1"/>
    <col min="4359" max="4359" width="12.77734375" style="138" customWidth="1"/>
    <col min="4360" max="4360" width="13.88671875" style="138" customWidth="1"/>
    <col min="4361" max="4361" width="1.88671875" style="138" customWidth="1"/>
    <col min="4362" max="4362" width="13" style="138" customWidth="1"/>
    <col min="4363" max="4602" width="8.88671875" style="138"/>
    <col min="4603" max="4603" width="6" style="138" customWidth="1"/>
    <col min="4604" max="4604" width="1.44140625" style="138" customWidth="1"/>
    <col min="4605" max="4605" width="39.109375" style="138" customWidth="1"/>
    <col min="4606" max="4606" width="12" style="138" customWidth="1"/>
    <col min="4607" max="4607" width="14.44140625" style="138" customWidth="1"/>
    <col min="4608" max="4608" width="11.88671875" style="138" customWidth="1"/>
    <col min="4609" max="4609" width="14.109375" style="138" customWidth="1"/>
    <col min="4610" max="4610" width="13.88671875" style="138" customWidth="1"/>
    <col min="4611" max="4612" width="12.77734375" style="138" customWidth="1"/>
    <col min="4613" max="4613" width="13.5546875" style="138" customWidth="1"/>
    <col min="4614" max="4614" width="15.33203125" style="138" customWidth="1"/>
    <col min="4615" max="4615" width="12.77734375" style="138" customWidth="1"/>
    <col min="4616" max="4616" width="13.88671875" style="138" customWidth="1"/>
    <col min="4617" max="4617" width="1.88671875" style="138" customWidth="1"/>
    <col min="4618" max="4618" width="13" style="138" customWidth="1"/>
    <col min="4619" max="4858" width="8.88671875" style="138"/>
    <col min="4859" max="4859" width="6" style="138" customWidth="1"/>
    <col min="4860" max="4860" width="1.44140625" style="138" customWidth="1"/>
    <col min="4861" max="4861" width="39.109375" style="138" customWidth="1"/>
    <col min="4862" max="4862" width="12" style="138" customWidth="1"/>
    <col min="4863" max="4863" width="14.44140625" style="138" customWidth="1"/>
    <col min="4864" max="4864" width="11.88671875" style="138" customWidth="1"/>
    <col min="4865" max="4865" width="14.109375" style="138" customWidth="1"/>
    <col min="4866" max="4866" width="13.88671875" style="138" customWidth="1"/>
    <col min="4867" max="4868" width="12.77734375" style="138" customWidth="1"/>
    <col min="4869" max="4869" width="13.5546875" style="138" customWidth="1"/>
    <col min="4870" max="4870" width="15.33203125" style="138" customWidth="1"/>
    <col min="4871" max="4871" width="12.77734375" style="138" customWidth="1"/>
    <col min="4872" max="4872" width="13.88671875" style="138" customWidth="1"/>
    <col min="4873" max="4873" width="1.88671875" style="138" customWidth="1"/>
    <col min="4874" max="4874" width="13" style="138" customWidth="1"/>
    <col min="4875" max="5114" width="8.88671875" style="138"/>
    <col min="5115" max="5115" width="6" style="138" customWidth="1"/>
    <col min="5116" max="5116" width="1.44140625" style="138" customWidth="1"/>
    <col min="5117" max="5117" width="39.109375" style="138" customWidth="1"/>
    <col min="5118" max="5118" width="12" style="138" customWidth="1"/>
    <col min="5119" max="5119" width="14.44140625" style="138" customWidth="1"/>
    <col min="5120" max="5120" width="11.88671875" style="138" customWidth="1"/>
    <col min="5121" max="5121" width="14.109375" style="138" customWidth="1"/>
    <col min="5122" max="5122" width="13.88671875" style="138" customWidth="1"/>
    <col min="5123" max="5124" width="12.77734375" style="138" customWidth="1"/>
    <col min="5125" max="5125" width="13.5546875" style="138" customWidth="1"/>
    <col min="5126" max="5126" width="15.33203125" style="138" customWidth="1"/>
    <col min="5127" max="5127" width="12.77734375" style="138" customWidth="1"/>
    <col min="5128" max="5128" width="13.88671875" style="138" customWidth="1"/>
    <col min="5129" max="5129" width="1.88671875" style="138" customWidth="1"/>
    <col min="5130" max="5130" width="13" style="138" customWidth="1"/>
    <col min="5131" max="5370" width="8.88671875" style="138"/>
    <col min="5371" max="5371" width="6" style="138" customWidth="1"/>
    <col min="5372" max="5372" width="1.44140625" style="138" customWidth="1"/>
    <col min="5373" max="5373" width="39.109375" style="138" customWidth="1"/>
    <col min="5374" max="5374" width="12" style="138" customWidth="1"/>
    <col min="5375" max="5375" width="14.44140625" style="138" customWidth="1"/>
    <col min="5376" max="5376" width="11.88671875" style="138" customWidth="1"/>
    <col min="5377" max="5377" width="14.109375" style="138" customWidth="1"/>
    <col min="5378" max="5378" width="13.88671875" style="138" customWidth="1"/>
    <col min="5379" max="5380" width="12.77734375" style="138" customWidth="1"/>
    <col min="5381" max="5381" width="13.5546875" style="138" customWidth="1"/>
    <col min="5382" max="5382" width="15.33203125" style="138" customWidth="1"/>
    <col min="5383" max="5383" width="12.77734375" style="138" customWidth="1"/>
    <col min="5384" max="5384" width="13.88671875" style="138" customWidth="1"/>
    <col min="5385" max="5385" width="1.88671875" style="138" customWidth="1"/>
    <col min="5386" max="5386" width="13" style="138" customWidth="1"/>
    <col min="5387" max="5626" width="8.88671875" style="138"/>
    <col min="5627" max="5627" width="6" style="138" customWidth="1"/>
    <col min="5628" max="5628" width="1.44140625" style="138" customWidth="1"/>
    <col min="5629" max="5629" width="39.109375" style="138" customWidth="1"/>
    <col min="5630" max="5630" width="12" style="138" customWidth="1"/>
    <col min="5631" max="5631" width="14.44140625" style="138" customWidth="1"/>
    <col min="5632" max="5632" width="11.88671875" style="138" customWidth="1"/>
    <col min="5633" max="5633" width="14.109375" style="138" customWidth="1"/>
    <col min="5634" max="5634" width="13.88671875" style="138" customWidth="1"/>
    <col min="5635" max="5636" width="12.77734375" style="138" customWidth="1"/>
    <col min="5637" max="5637" width="13.5546875" style="138" customWidth="1"/>
    <col min="5638" max="5638" width="15.33203125" style="138" customWidth="1"/>
    <col min="5639" max="5639" width="12.77734375" style="138" customWidth="1"/>
    <col min="5640" max="5640" width="13.88671875" style="138" customWidth="1"/>
    <col min="5641" max="5641" width="1.88671875" style="138" customWidth="1"/>
    <col min="5642" max="5642" width="13" style="138" customWidth="1"/>
    <col min="5643" max="5882" width="8.88671875" style="138"/>
    <col min="5883" max="5883" width="6" style="138" customWidth="1"/>
    <col min="5884" max="5884" width="1.44140625" style="138" customWidth="1"/>
    <col min="5885" max="5885" width="39.109375" style="138" customWidth="1"/>
    <col min="5886" max="5886" width="12" style="138" customWidth="1"/>
    <col min="5887" max="5887" width="14.44140625" style="138" customWidth="1"/>
    <col min="5888" max="5888" width="11.88671875" style="138" customWidth="1"/>
    <col min="5889" max="5889" width="14.109375" style="138" customWidth="1"/>
    <col min="5890" max="5890" width="13.88671875" style="138" customWidth="1"/>
    <col min="5891" max="5892" width="12.77734375" style="138" customWidth="1"/>
    <col min="5893" max="5893" width="13.5546875" style="138" customWidth="1"/>
    <col min="5894" max="5894" width="15.33203125" style="138" customWidth="1"/>
    <col min="5895" max="5895" width="12.77734375" style="138" customWidth="1"/>
    <col min="5896" max="5896" width="13.88671875" style="138" customWidth="1"/>
    <col min="5897" max="5897" width="1.88671875" style="138" customWidth="1"/>
    <col min="5898" max="5898" width="13" style="138" customWidth="1"/>
    <col min="5899" max="6138" width="8.88671875" style="138"/>
    <col min="6139" max="6139" width="6" style="138" customWidth="1"/>
    <col min="6140" max="6140" width="1.44140625" style="138" customWidth="1"/>
    <col min="6141" max="6141" width="39.109375" style="138" customWidth="1"/>
    <col min="6142" max="6142" width="12" style="138" customWidth="1"/>
    <col min="6143" max="6143" width="14.44140625" style="138" customWidth="1"/>
    <col min="6144" max="6144" width="11.88671875" style="138" customWidth="1"/>
    <col min="6145" max="6145" width="14.109375" style="138" customWidth="1"/>
    <col min="6146" max="6146" width="13.88671875" style="138" customWidth="1"/>
    <col min="6147" max="6148" width="12.77734375" style="138" customWidth="1"/>
    <col min="6149" max="6149" width="13.5546875" style="138" customWidth="1"/>
    <col min="6150" max="6150" width="15.33203125" style="138" customWidth="1"/>
    <col min="6151" max="6151" width="12.77734375" style="138" customWidth="1"/>
    <col min="6152" max="6152" width="13.88671875" style="138" customWidth="1"/>
    <col min="6153" max="6153" width="1.88671875" style="138" customWidth="1"/>
    <col min="6154" max="6154" width="13" style="138" customWidth="1"/>
    <col min="6155" max="6394" width="8.88671875" style="138"/>
    <col min="6395" max="6395" width="6" style="138" customWidth="1"/>
    <col min="6396" max="6396" width="1.44140625" style="138" customWidth="1"/>
    <col min="6397" max="6397" width="39.109375" style="138" customWidth="1"/>
    <col min="6398" max="6398" width="12" style="138" customWidth="1"/>
    <col min="6399" max="6399" width="14.44140625" style="138" customWidth="1"/>
    <col min="6400" max="6400" width="11.88671875" style="138" customWidth="1"/>
    <col min="6401" max="6401" width="14.109375" style="138" customWidth="1"/>
    <col min="6402" max="6402" width="13.88671875" style="138" customWidth="1"/>
    <col min="6403" max="6404" width="12.77734375" style="138" customWidth="1"/>
    <col min="6405" max="6405" width="13.5546875" style="138" customWidth="1"/>
    <col min="6406" max="6406" width="15.33203125" style="138" customWidth="1"/>
    <col min="6407" max="6407" width="12.77734375" style="138" customWidth="1"/>
    <col min="6408" max="6408" width="13.88671875" style="138" customWidth="1"/>
    <col min="6409" max="6409" width="1.88671875" style="138" customWidth="1"/>
    <col min="6410" max="6410" width="13" style="138" customWidth="1"/>
    <col min="6411" max="6650" width="8.88671875" style="138"/>
    <col min="6651" max="6651" width="6" style="138" customWidth="1"/>
    <col min="6652" max="6652" width="1.44140625" style="138" customWidth="1"/>
    <col min="6653" max="6653" width="39.109375" style="138" customWidth="1"/>
    <col min="6654" max="6654" width="12" style="138" customWidth="1"/>
    <col min="6655" max="6655" width="14.44140625" style="138" customWidth="1"/>
    <col min="6656" max="6656" width="11.88671875" style="138" customWidth="1"/>
    <col min="6657" max="6657" width="14.109375" style="138" customWidth="1"/>
    <col min="6658" max="6658" width="13.88671875" style="138" customWidth="1"/>
    <col min="6659" max="6660" width="12.77734375" style="138" customWidth="1"/>
    <col min="6661" max="6661" width="13.5546875" style="138" customWidth="1"/>
    <col min="6662" max="6662" width="15.33203125" style="138" customWidth="1"/>
    <col min="6663" max="6663" width="12.77734375" style="138" customWidth="1"/>
    <col min="6664" max="6664" width="13.88671875" style="138" customWidth="1"/>
    <col min="6665" max="6665" width="1.88671875" style="138" customWidth="1"/>
    <col min="6666" max="6666" width="13" style="138" customWidth="1"/>
    <col min="6667" max="6906" width="8.88671875" style="138"/>
    <col min="6907" max="6907" width="6" style="138" customWidth="1"/>
    <col min="6908" max="6908" width="1.44140625" style="138" customWidth="1"/>
    <col min="6909" max="6909" width="39.109375" style="138" customWidth="1"/>
    <col min="6910" max="6910" width="12" style="138" customWidth="1"/>
    <col min="6911" max="6911" width="14.44140625" style="138" customWidth="1"/>
    <col min="6912" max="6912" width="11.88671875" style="138" customWidth="1"/>
    <col min="6913" max="6913" width="14.109375" style="138" customWidth="1"/>
    <col min="6914" max="6914" width="13.88671875" style="138" customWidth="1"/>
    <col min="6915" max="6916" width="12.77734375" style="138" customWidth="1"/>
    <col min="6917" max="6917" width="13.5546875" style="138" customWidth="1"/>
    <col min="6918" max="6918" width="15.33203125" style="138" customWidth="1"/>
    <col min="6919" max="6919" width="12.77734375" style="138" customWidth="1"/>
    <col min="6920" max="6920" width="13.88671875" style="138" customWidth="1"/>
    <col min="6921" max="6921" width="1.88671875" style="138" customWidth="1"/>
    <col min="6922" max="6922" width="13" style="138" customWidth="1"/>
    <col min="6923" max="7162" width="8.88671875" style="138"/>
    <col min="7163" max="7163" width="6" style="138" customWidth="1"/>
    <col min="7164" max="7164" width="1.44140625" style="138" customWidth="1"/>
    <col min="7165" max="7165" width="39.109375" style="138" customWidth="1"/>
    <col min="7166" max="7166" width="12" style="138" customWidth="1"/>
    <col min="7167" max="7167" width="14.44140625" style="138" customWidth="1"/>
    <col min="7168" max="7168" width="11.88671875" style="138" customWidth="1"/>
    <col min="7169" max="7169" width="14.109375" style="138" customWidth="1"/>
    <col min="7170" max="7170" width="13.88671875" style="138" customWidth="1"/>
    <col min="7171" max="7172" width="12.77734375" style="138" customWidth="1"/>
    <col min="7173" max="7173" width="13.5546875" style="138" customWidth="1"/>
    <col min="7174" max="7174" width="15.33203125" style="138" customWidth="1"/>
    <col min="7175" max="7175" width="12.77734375" style="138" customWidth="1"/>
    <col min="7176" max="7176" width="13.88671875" style="138" customWidth="1"/>
    <col min="7177" max="7177" width="1.88671875" style="138" customWidth="1"/>
    <col min="7178" max="7178" width="13" style="138" customWidth="1"/>
    <col min="7179" max="7418" width="8.88671875" style="138"/>
    <col min="7419" max="7419" width="6" style="138" customWidth="1"/>
    <col min="7420" max="7420" width="1.44140625" style="138" customWidth="1"/>
    <col min="7421" max="7421" width="39.109375" style="138" customWidth="1"/>
    <col min="7422" max="7422" width="12" style="138" customWidth="1"/>
    <col min="7423" max="7423" width="14.44140625" style="138" customWidth="1"/>
    <col min="7424" max="7424" width="11.88671875" style="138" customWidth="1"/>
    <col min="7425" max="7425" width="14.109375" style="138" customWidth="1"/>
    <col min="7426" max="7426" width="13.88671875" style="138" customWidth="1"/>
    <col min="7427" max="7428" width="12.77734375" style="138" customWidth="1"/>
    <col min="7429" max="7429" width="13.5546875" style="138" customWidth="1"/>
    <col min="7430" max="7430" width="15.33203125" style="138" customWidth="1"/>
    <col min="7431" max="7431" width="12.77734375" style="138" customWidth="1"/>
    <col min="7432" max="7432" width="13.88671875" style="138" customWidth="1"/>
    <col min="7433" max="7433" width="1.88671875" style="138" customWidth="1"/>
    <col min="7434" max="7434" width="13" style="138" customWidth="1"/>
    <col min="7435" max="7674" width="8.88671875" style="138"/>
    <col min="7675" max="7675" width="6" style="138" customWidth="1"/>
    <col min="7676" max="7676" width="1.44140625" style="138" customWidth="1"/>
    <col min="7677" max="7677" width="39.109375" style="138" customWidth="1"/>
    <col min="7678" max="7678" width="12" style="138" customWidth="1"/>
    <col min="7679" max="7679" width="14.44140625" style="138" customWidth="1"/>
    <col min="7680" max="7680" width="11.88671875" style="138" customWidth="1"/>
    <col min="7681" max="7681" width="14.109375" style="138" customWidth="1"/>
    <col min="7682" max="7682" width="13.88671875" style="138" customWidth="1"/>
    <col min="7683" max="7684" width="12.77734375" style="138" customWidth="1"/>
    <col min="7685" max="7685" width="13.5546875" style="138" customWidth="1"/>
    <col min="7686" max="7686" width="15.33203125" style="138" customWidth="1"/>
    <col min="7687" max="7687" width="12.77734375" style="138" customWidth="1"/>
    <col min="7688" max="7688" width="13.88671875" style="138" customWidth="1"/>
    <col min="7689" max="7689" width="1.88671875" style="138" customWidth="1"/>
    <col min="7690" max="7690" width="13" style="138" customWidth="1"/>
    <col min="7691" max="7930" width="8.88671875" style="138"/>
    <col min="7931" max="7931" width="6" style="138" customWidth="1"/>
    <col min="7932" max="7932" width="1.44140625" style="138" customWidth="1"/>
    <col min="7933" max="7933" width="39.109375" style="138" customWidth="1"/>
    <col min="7934" max="7934" width="12" style="138" customWidth="1"/>
    <col min="7935" max="7935" width="14.44140625" style="138" customWidth="1"/>
    <col min="7936" max="7936" width="11.88671875" style="138" customWidth="1"/>
    <col min="7937" max="7937" width="14.109375" style="138" customWidth="1"/>
    <col min="7938" max="7938" width="13.88671875" style="138" customWidth="1"/>
    <col min="7939" max="7940" width="12.77734375" style="138" customWidth="1"/>
    <col min="7941" max="7941" width="13.5546875" style="138" customWidth="1"/>
    <col min="7942" max="7942" width="15.33203125" style="138" customWidth="1"/>
    <col min="7943" max="7943" width="12.77734375" style="138" customWidth="1"/>
    <col min="7944" max="7944" width="13.88671875" style="138" customWidth="1"/>
    <col min="7945" max="7945" width="1.88671875" style="138" customWidth="1"/>
    <col min="7946" max="7946" width="13" style="138" customWidth="1"/>
    <col min="7947" max="8186" width="8.88671875" style="138"/>
    <col min="8187" max="8187" width="6" style="138" customWidth="1"/>
    <col min="8188" max="8188" width="1.44140625" style="138" customWidth="1"/>
    <col min="8189" max="8189" width="39.109375" style="138" customWidth="1"/>
    <col min="8190" max="8190" width="12" style="138" customWidth="1"/>
    <col min="8191" max="8191" width="14.44140625" style="138" customWidth="1"/>
    <col min="8192" max="8192" width="11.88671875" style="138" customWidth="1"/>
    <col min="8193" max="8193" width="14.109375" style="138" customWidth="1"/>
    <col min="8194" max="8194" width="13.88671875" style="138" customWidth="1"/>
    <col min="8195" max="8196" width="12.77734375" style="138" customWidth="1"/>
    <col min="8197" max="8197" width="13.5546875" style="138" customWidth="1"/>
    <col min="8198" max="8198" width="15.33203125" style="138" customWidth="1"/>
    <col min="8199" max="8199" width="12.77734375" style="138" customWidth="1"/>
    <col min="8200" max="8200" width="13.88671875" style="138" customWidth="1"/>
    <col min="8201" max="8201" width="1.88671875" style="138" customWidth="1"/>
    <col min="8202" max="8202" width="13" style="138" customWidth="1"/>
    <col min="8203" max="8442" width="8.88671875" style="138"/>
    <col min="8443" max="8443" width="6" style="138" customWidth="1"/>
    <col min="8444" max="8444" width="1.44140625" style="138" customWidth="1"/>
    <col min="8445" max="8445" width="39.109375" style="138" customWidth="1"/>
    <col min="8446" max="8446" width="12" style="138" customWidth="1"/>
    <col min="8447" max="8447" width="14.44140625" style="138" customWidth="1"/>
    <col min="8448" max="8448" width="11.88671875" style="138" customWidth="1"/>
    <col min="8449" max="8449" width="14.109375" style="138" customWidth="1"/>
    <col min="8450" max="8450" width="13.88671875" style="138" customWidth="1"/>
    <col min="8451" max="8452" width="12.77734375" style="138" customWidth="1"/>
    <col min="8453" max="8453" width="13.5546875" style="138" customWidth="1"/>
    <col min="8454" max="8454" width="15.33203125" style="138" customWidth="1"/>
    <col min="8455" max="8455" width="12.77734375" style="138" customWidth="1"/>
    <col min="8456" max="8456" width="13.88671875" style="138" customWidth="1"/>
    <col min="8457" max="8457" width="1.88671875" style="138" customWidth="1"/>
    <col min="8458" max="8458" width="13" style="138" customWidth="1"/>
    <col min="8459" max="8698" width="8.88671875" style="138"/>
    <col min="8699" max="8699" width="6" style="138" customWidth="1"/>
    <col min="8700" max="8700" width="1.44140625" style="138" customWidth="1"/>
    <col min="8701" max="8701" width="39.109375" style="138" customWidth="1"/>
    <col min="8702" max="8702" width="12" style="138" customWidth="1"/>
    <col min="8703" max="8703" width="14.44140625" style="138" customWidth="1"/>
    <col min="8704" max="8704" width="11.88671875" style="138" customWidth="1"/>
    <col min="8705" max="8705" width="14.109375" style="138" customWidth="1"/>
    <col min="8706" max="8706" width="13.88671875" style="138" customWidth="1"/>
    <col min="8707" max="8708" width="12.77734375" style="138" customWidth="1"/>
    <col min="8709" max="8709" width="13.5546875" style="138" customWidth="1"/>
    <col min="8710" max="8710" width="15.33203125" style="138" customWidth="1"/>
    <col min="8711" max="8711" width="12.77734375" style="138" customWidth="1"/>
    <col min="8712" max="8712" width="13.88671875" style="138" customWidth="1"/>
    <col min="8713" max="8713" width="1.88671875" style="138" customWidth="1"/>
    <col min="8714" max="8714" width="13" style="138" customWidth="1"/>
    <col min="8715" max="8954" width="8.88671875" style="138"/>
    <col min="8955" max="8955" width="6" style="138" customWidth="1"/>
    <col min="8956" max="8956" width="1.44140625" style="138" customWidth="1"/>
    <col min="8957" max="8957" width="39.109375" style="138" customWidth="1"/>
    <col min="8958" max="8958" width="12" style="138" customWidth="1"/>
    <col min="8959" max="8959" width="14.44140625" style="138" customWidth="1"/>
    <col min="8960" max="8960" width="11.88671875" style="138" customWidth="1"/>
    <col min="8961" max="8961" width="14.109375" style="138" customWidth="1"/>
    <col min="8962" max="8962" width="13.88671875" style="138" customWidth="1"/>
    <col min="8963" max="8964" width="12.77734375" style="138" customWidth="1"/>
    <col min="8965" max="8965" width="13.5546875" style="138" customWidth="1"/>
    <col min="8966" max="8966" width="15.33203125" style="138" customWidth="1"/>
    <col min="8967" max="8967" width="12.77734375" style="138" customWidth="1"/>
    <col min="8968" max="8968" width="13.88671875" style="138" customWidth="1"/>
    <col min="8969" max="8969" width="1.88671875" style="138" customWidth="1"/>
    <col min="8970" max="8970" width="13" style="138" customWidth="1"/>
    <col min="8971" max="9210" width="8.88671875" style="138"/>
    <col min="9211" max="9211" width="6" style="138" customWidth="1"/>
    <col min="9212" max="9212" width="1.44140625" style="138" customWidth="1"/>
    <col min="9213" max="9213" width="39.109375" style="138" customWidth="1"/>
    <col min="9214" max="9214" width="12" style="138" customWidth="1"/>
    <col min="9215" max="9215" width="14.44140625" style="138" customWidth="1"/>
    <col min="9216" max="9216" width="11.88671875" style="138" customWidth="1"/>
    <col min="9217" max="9217" width="14.109375" style="138" customWidth="1"/>
    <col min="9218" max="9218" width="13.88671875" style="138" customWidth="1"/>
    <col min="9219" max="9220" width="12.77734375" style="138" customWidth="1"/>
    <col min="9221" max="9221" width="13.5546875" style="138" customWidth="1"/>
    <col min="9222" max="9222" width="15.33203125" style="138" customWidth="1"/>
    <col min="9223" max="9223" width="12.77734375" style="138" customWidth="1"/>
    <col min="9224" max="9224" width="13.88671875" style="138" customWidth="1"/>
    <col min="9225" max="9225" width="1.88671875" style="138" customWidth="1"/>
    <col min="9226" max="9226" width="13" style="138" customWidth="1"/>
    <col min="9227" max="9466" width="8.88671875" style="138"/>
    <col min="9467" max="9467" width="6" style="138" customWidth="1"/>
    <col min="9468" max="9468" width="1.44140625" style="138" customWidth="1"/>
    <col min="9469" max="9469" width="39.109375" style="138" customWidth="1"/>
    <col min="9470" max="9470" width="12" style="138" customWidth="1"/>
    <col min="9471" max="9471" width="14.44140625" style="138" customWidth="1"/>
    <col min="9472" max="9472" width="11.88671875" style="138" customWidth="1"/>
    <col min="9473" max="9473" width="14.109375" style="138" customWidth="1"/>
    <col min="9474" max="9474" width="13.88671875" style="138" customWidth="1"/>
    <col min="9475" max="9476" width="12.77734375" style="138" customWidth="1"/>
    <col min="9477" max="9477" width="13.5546875" style="138" customWidth="1"/>
    <col min="9478" max="9478" width="15.33203125" style="138" customWidth="1"/>
    <col min="9479" max="9479" width="12.77734375" style="138" customWidth="1"/>
    <col min="9480" max="9480" width="13.88671875" style="138" customWidth="1"/>
    <col min="9481" max="9481" width="1.88671875" style="138" customWidth="1"/>
    <col min="9482" max="9482" width="13" style="138" customWidth="1"/>
    <col min="9483" max="9722" width="8.88671875" style="138"/>
    <col min="9723" max="9723" width="6" style="138" customWidth="1"/>
    <col min="9724" max="9724" width="1.44140625" style="138" customWidth="1"/>
    <col min="9725" max="9725" width="39.109375" style="138" customWidth="1"/>
    <col min="9726" max="9726" width="12" style="138" customWidth="1"/>
    <col min="9727" max="9727" width="14.44140625" style="138" customWidth="1"/>
    <col min="9728" max="9728" width="11.88671875" style="138" customWidth="1"/>
    <col min="9729" max="9729" width="14.109375" style="138" customWidth="1"/>
    <col min="9730" max="9730" width="13.88671875" style="138" customWidth="1"/>
    <col min="9731" max="9732" width="12.77734375" style="138" customWidth="1"/>
    <col min="9733" max="9733" width="13.5546875" style="138" customWidth="1"/>
    <col min="9734" max="9734" width="15.33203125" style="138" customWidth="1"/>
    <col min="9735" max="9735" width="12.77734375" style="138" customWidth="1"/>
    <col min="9736" max="9736" width="13.88671875" style="138" customWidth="1"/>
    <col min="9737" max="9737" width="1.88671875" style="138" customWidth="1"/>
    <col min="9738" max="9738" width="13" style="138" customWidth="1"/>
    <col min="9739" max="9978" width="8.88671875" style="138"/>
    <col min="9979" max="9979" width="6" style="138" customWidth="1"/>
    <col min="9980" max="9980" width="1.44140625" style="138" customWidth="1"/>
    <col min="9981" max="9981" width="39.109375" style="138" customWidth="1"/>
    <col min="9982" max="9982" width="12" style="138" customWidth="1"/>
    <col min="9983" max="9983" width="14.44140625" style="138" customWidth="1"/>
    <col min="9984" max="9984" width="11.88671875" style="138" customWidth="1"/>
    <col min="9985" max="9985" width="14.109375" style="138" customWidth="1"/>
    <col min="9986" max="9986" width="13.88671875" style="138" customWidth="1"/>
    <col min="9987" max="9988" width="12.77734375" style="138" customWidth="1"/>
    <col min="9989" max="9989" width="13.5546875" style="138" customWidth="1"/>
    <col min="9990" max="9990" width="15.33203125" style="138" customWidth="1"/>
    <col min="9991" max="9991" width="12.77734375" style="138" customWidth="1"/>
    <col min="9992" max="9992" width="13.88671875" style="138" customWidth="1"/>
    <col min="9993" max="9993" width="1.88671875" style="138" customWidth="1"/>
    <col min="9994" max="9994" width="13" style="138" customWidth="1"/>
    <col min="9995" max="10234" width="8.88671875" style="138"/>
    <col min="10235" max="10235" width="6" style="138" customWidth="1"/>
    <col min="10236" max="10236" width="1.44140625" style="138" customWidth="1"/>
    <col min="10237" max="10237" width="39.109375" style="138" customWidth="1"/>
    <col min="10238" max="10238" width="12" style="138" customWidth="1"/>
    <col min="10239" max="10239" width="14.44140625" style="138" customWidth="1"/>
    <col min="10240" max="10240" width="11.88671875" style="138" customWidth="1"/>
    <col min="10241" max="10241" width="14.109375" style="138" customWidth="1"/>
    <col min="10242" max="10242" width="13.88671875" style="138" customWidth="1"/>
    <col min="10243" max="10244" width="12.77734375" style="138" customWidth="1"/>
    <col min="10245" max="10245" width="13.5546875" style="138" customWidth="1"/>
    <col min="10246" max="10246" width="15.33203125" style="138" customWidth="1"/>
    <col min="10247" max="10247" width="12.77734375" style="138" customWidth="1"/>
    <col min="10248" max="10248" width="13.88671875" style="138" customWidth="1"/>
    <col min="10249" max="10249" width="1.88671875" style="138" customWidth="1"/>
    <col min="10250" max="10250" width="13" style="138" customWidth="1"/>
    <col min="10251" max="10490" width="8.88671875" style="138"/>
    <col min="10491" max="10491" width="6" style="138" customWidth="1"/>
    <col min="10492" max="10492" width="1.44140625" style="138" customWidth="1"/>
    <col min="10493" max="10493" width="39.109375" style="138" customWidth="1"/>
    <col min="10494" max="10494" width="12" style="138" customWidth="1"/>
    <col min="10495" max="10495" width="14.44140625" style="138" customWidth="1"/>
    <col min="10496" max="10496" width="11.88671875" style="138" customWidth="1"/>
    <col min="10497" max="10497" width="14.109375" style="138" customWidth="1"/>
    <col min="10498" max="10498" width="13.88671875" style="138" customWidth="1"/>
    <col min="10499" max="10500" width="12.77734375" style="138" customWidth="1"/>
    <col min="10501" max="10501" width="13.5546875" style="138" customWidth="1"/>
    <col min="10502" max="10502" width="15.33203125" style="138" customWidth="1"/>
    <col min="10503" max="10503" width="12.77734375" style="138" customWidth="1"/>
    <col min="10504" max="10504" width="13.88671875" style="138" customWidth="1"/>
    <col min="10505" max="10505" width="1.88671875" style="138" customWidth="1"/>
    <col min="10506" max="10506" width="13" style="138" customWidth="1"/>
    <col min="10507" max="10746" width="8.88671875" style="138"/>
    <col min="10747" max="10747" width="6" style="138" customWidth="1"/>
    <col min="10748" max="10748" width="1.44140625" style="138" customWidth="1"/>
    <col min="10749" max="10749" width="39.109375" style="138" customWidth="1"/>
    <col min="10750" max="10750" width="12" style="138" customWidth="1"/>
    <col min="10751" max="10751" width="14.44140625" style="138" customWidth="1"/>
    <col min="10752" max="10752" width="11.88671875" style="138" customWidth="1"/>
    <col min="10753" max="10753" width="14.109375" style="138" customWidth="1"/>
    <col min="10754" max="10754" width="13.88671875" style="138" customWidth="1"/>
    <col min="10755" max="10756" width="12.77734375" style="138" customWidth="1"/>
    <col min="10757" max="10757" width="13.5546875" style="138" customWidth="1"/>
    <col min="10758" max="10758" width="15.33203125" style="138" customWidth="1"/>
    <col min="10759" max="10759" width="12.77734375" style="138" customWidth="1"/>
    <col min="10760" max="10760" width="13.88671875" style="138" customWidth="1"/>
    <col min="10761" max="10761" width="1.88671875" style="138" customWidth="1"/>
    <col min="10762" max="10762" width="13" style="138" customWidth="1"/>
    <col min="10763" max="11002" width="8.88671875" style="138"/>
    <col min="11003" max="11003" width="6" style="138" customWidth="1"/>
    <col min="11004" max="11004" width="1.44140625" style="138" customWidth="1"/>
    <col min="11005" max="11005" width="39.109375" style="138" customWidth="1"/>
    <col min="11006" max="11006" width="12" style="138" customWidth="1"/>
    <col min="11007" max="11007" width="14.44140625" style="138" customWidth="1"/>
    <col min="11008" max="11008" width="11.88671875" style="138" customWidth="1"/>
    <col min="11009" max="11009" width="14.109375" style="138" customWidth="1"/>
    <col min="11010" max="11010" width="13.88671875" style="138" customWidth="1"/>
    <col min="11011" max="11012" width="12.77734375" style="138" customWidth="1"/>
    <col min="11013" max="11013" width="13.5546875" style="138" customWidth="1"/>
    <col min="11014" max="11014" width="15.33203125" style="138" customWidth="1"/>
    <col min="11015" max="11015" width="12.77734375" style="138" customWidth="1"/>
    <col min="11016" max="11016" width="13.88671875" style="138" customWidth="1"/>
    <col min="11017" max="11017" width="1.88671875" style="138" customWidth="1"/>
    <col min="11018" max="11018" width="13" style="138" customWidth="1"/>
    <col min="11019" max="11258" width="8.88671875" style="138"/>
    <col min="11259" max="11259" width="6" style="138" customWidth="1"/>
    <col min="11260" max="11260" width="1.44140625" style="138" customWidth="1"/>
    <col min="11261" max="11261" width="39.109375" style="138" customWidth="1"/>
    <col min="11262" max="11262" width="12" style="138" customWidth="1"/>
    <col min="11263" max="11263" width="14.44140625" style="138" customWidth="1"/>
    <col min="11264" max="11264" width="11.88671875" style="138" customWidth="1"/>
    <col min="11265" max="11265" width="14.109375" style="138" customWidth="1"/>
    <col min="11266" max="11266" width="13.88671875" style="138" customWidth="1"/>
    <col min="11267" max="11268" width="12.77734375" style="138" customWidth="1"/>
    <col min="11269" max="11269" width="13.5546875" style="138" customWidth="1"/>
    <col min="11270" max="11270" width="15.33203125" style="138" customWidth="1"/>
    <col min="11271" max="11271" width="12.77734375" style="138" customWidth="1"/>
    <col min="11272" max="11272" width="13.88671875" style="138" customWidth="1"/>
    <col min="11273" max="11273" width="1.88671875" style="138" customWidth="1"/>
    <col min="11274" max="11274" width="13" style="138" customWidth="1"/>
    <col min="11275" max="11514" width="8.88671875" style="138"/>
    <col min="11515" max="11515" width="6" style="138" customWidth="1"/>
    <col min="11516" max="11516" width="1.44140625" style="138" customWidth="1"/>
    <col min="11517" max="11517" width="39.109375" style="138" customWidth="1"/>
    <col min="11518" max="11518" width="12" style="138" customWidth="1"/>
    <col min="11519" max="11519" width="14.44140625" style="138" customWidth="1"/>
    <col min="11520" max="11520" width="11.88671875" style="138" customWidth="1"/>
    <col min="11521" max="11521" width="14.109375" style="138" customWidth="1"/>
    <col min="11522" max="11522" width="13.88671875" style="138" customWidth="1"/>
    <col min="11523" max="11524" width="12.77734375" style="138" customWidth="1"/>
    <col min="11525" max="11525" width="13.5546875" style="138" customWidth="1"/>
    <col min="11526" max="11526" width="15.33203125" style="138" customWidth="1"/>
    <col min="11527" max="11527" width="12.77734375" style="138" customWidth="1"/>
    <col min="11528" max="11528" width="13.88671875" style="138" customWidth="1"/>
    <col min="11529" max="11529" width="1.88671875" style="138" customWidth="1"/>
    <col min="11530" max="11530" width="13" style="138" customWidth="1"/>
    <col min="11531" max="11770" width="8.88671875" style="138"/>
    <col min="11771" max="11771" width="6" style="138" customWidth="1"/>
    <col min="11772" max="11772" width="1.44140625" style="138" customWidth="1"/>
    <col min="11773" max="11773" width="39.109375" style="138" customWidth="1"/>
    <col min="11774" max="11774" width="12" style="138" customWidth="1"/>
    <col min="11775" max="11775" width="14.44140625" style="138" customWidth="1"/>
    <col min="11776" max="11776" width="11.88671875" style="138" customWidth="1"/>
    <col min="11777" max="11777" width="14.109375" style="138" customWidth="1"/>
    <col min="11778" max="11778" width="13.88671875" style="138" customWidth="1"/>
    <col min="11779" max="11780" width="12.77734375" style="138" customWidth="1"/>
    <col min="11781" max="11781" width="13.5546875" style="138" customWidth="1"/>
    <col min="11782" max="11782" width="15.33203125" style="138" customWidth="1"/>
    <col min="11783" max="11783" width="12.77734375" style="138" customWidth="1"/>
    <col min="11784" max="11784" width="13.88671875" style="138" customWidth="1"/>
    <col min="11785" max="11785" width="1.88671875" style="138" customWidth="1"/>
    <col min="11786" max="11786" width="13" style="138" customWidth="1"/>
    <col min="11787" max="12026" width="8.88671875" style="138"/>
    <col min="12027" max="12027" width="6" style="138" customWidth="1"/>
    <col min="12028" max="12028" width="1.44140625" style="138" customWidth="1"/>
    <col min="12029" max="12029" width="39.109375" style="138" customWidth="1"/>
    <col min="12030" max="12030" width="12" style="138" customWidth="1"/>
    <col min="12031" max="12031" width="14.44140625" style="138" customWidth="1"/>
    <col min="12032" max="12032" width="11.88671875" style="138" customWidth="1"/>
    <col min="12033" max="12033" width="14.109375" style="138" customWidth="1"/>
    <col min="12034" max="12034" width="13.88671875" style="138" customWidth="1"/>
    <col min="12035" max="12036" width="12.77734375" style="138" customWidth="1"/>
    <col min="12037" max="12037" width="13.5546875" style="138" customWidth="1"/>
    <col min="12038" max="12038" width="15.33203125" style="138" customWidth="1"/>
    <col min="12039" max="12039" width="12.77734375" style="138" customWidth="1"/>
    <col min="12040" max="12040" width="13.88671875" style="138" customWidth="1"/>
    <col min="12041" max="12041" width="1.88671875" style="138" customWidth="1"/>
    <col min="12042" max="12042" width="13" style="138" customWidth="1"/>
    <col min="12043" max="12282" width="8.88671875" style="138"/>
    <col min="12283" max="12283" width="6" style="138" customWidth="1"/>
    <col min="12284" max="12284" width="1.44140625" style="138" customWidth="1"/>
    <col min="12285" max="12285" width="39.109375" style="138" customWidth="1"/>
    <col min="12286" max="12286" width="12" style="138" customWidth="1"/>
    <col min="12287" max="12287" width="14.44140625" style="138" customWidth="1"/>
    <col min="12288" max="12288" width="11.88671875" style="138" customWidth="1"/>
    <col min="12289" max="12289" width="14.109375" style="138" customWidth="1"/>
    <col min="12290" max="12290" width="13.88671875" style="138" customWidth="1"/>
    <col min="12291" max="12292" width="12.77734375" style="138" customWidth="1"/>
    <col min="12293" max="12293" width="13.5546875" style="138" customWidth="1"/>
    <col min="12294" max="12294" width="15.33203125" style="138" customWidth="1"/>
    <col min="12295" max="12295" width="12.77734375" style="138" customWidth="1"/>
    <col min="12296" max="12296" width="13.88671875" style="138" customWidth="1"/>
    <col min="12297" max="12297" width="1.88671875" style="138" customWidth="1"/>
    <col min="12298" max="12298" width="13" style="138" customWidth="1"/>
    <col min="12299" max="12538" width="8.88671875" style="138"/>
    <col min="12539" max="12539" width="6" style="138" customWidth="1"/>
    <col min="12540" max="12540" width="1.44140625" style="138" customWidth="1"/>
    <col min="12541" max="12541" width="39.109375" style="138" customWidth="1"/>
    <col min="12542" max="12542" width="12" style="138" customWidth="1"/>
    <col min="12543" max="12543" width="14.44140625" style="138" customWidth="1"/>
    <col min="12544" max="12544" width="11.88671875" style="138" customWidth="1"/>
    <col min="12545" max="12545" width="14.109375" style="138" customWidth="1"/>
    <col min="12546" max="12546" width="13.88671875" style="138" customWidth="1"/>
    <col min="12547" max="12548" width="12.77734375" style="138" customWidth="1"/>
    <col min="12549" max="12549" width="13.5546875" style="138" customWidth="1"/>
    <col min="12550" max="12550" width="15.33203125" style="138" customWidth="1"/>
    <col min="12551" max="12551" width="12.77734375" style="138" customWidth="1"/>
    <col min="12552" max="12552" width="13.88671875" style="138" customWidth="1"/>
    <col min="12553" max="12553" width="1.88671875" style="138" customWidth="1"/>
    <col min="12554" max="12554" width="13" style="138" customWidth="1"/>
    <col min="12555" max="12794" width="8.88671875" style="138"/>
    <col min="12795" max="12795" width="6" style="138" customWidth="1"/>
    <col min="12796" max="12796" width="1.44140625" style="138" customWidth="1"/>
    <col min="12797" max="12797" width="39.109375" style="138" customWidth="1"/>
    <col min="12798" max="12798" width="12" style="138" customWidth="1"/>
    <col min="12799" max="12799" width="14.44140625" style="138" customWidth="1"/>
    <col min="12800" max="12800" width="11.88671875" style="138" customWidth="1"/>
    <col min="12801" max="12801" width="14.109375" style="138" customWidth="1"/>
    <col min="12802" max="12802" width="13.88671875" style="138" customWidth="1"/>
    <col min="12803" max="12804" width="12.77734375" style="138" customWidth="1"/>
    <col min="12805" max="12805" width="13.5546875" style="138" customWidth="1"/>
    <col min="12806" max="12806" width="15.33203125" style="138" customWidth="1"/>
    <col min="12807" max="12807" width="12.77734375" style="138" customWidth="1"/>
    <col min="12808" max="12808" width="13.88671875" style="138" customWidth="1"/>
    <col min="12809" max="12809" width="1.88671875" style="138" customWidth="1"/>
    <col min="12810" max="12810" width="13" style="138" customWidth="1"/>
    <col min="12811" max="13050" width="8.88671875" style="138"/>
    <col min="13051" max="13051" width="6" style="138" customWidth="1"/>
    <col min="13052" max="13052" width="1.44140625" style="138" customWidth="1"/>
    <col min="13053" max="13053" width="39.109375" style="138" customWidth="1"/>
    <col min="13054" max="13054" width="12" style="138" customWidth="1"/>
    <col min="13055" max="13055" width="14.44140625" style="138" customWidth="1"/>
    <col min="13056" max="13056" width="11.88671875" style="138" customWidth="1"/>
    <col min="13057" max="13057" width="14.109375" style="138" customWidth="1"/>
    <col min="13058" max="13058" width="13.88671875" style="138" customWidth="1"/>
    <col min="13059" max="13060" width="12.77734375" style="138" customWidth="1"/>
    <col min="13061" max="13061" width="13.5546875" style="138" customWidth="1"/>
    <col min="13062" max="13062" width="15.33203125" style="138" customWidth="1"/>
    <col min="13063" max="13063" width="12.77734375" style="138" customWidth="1"/>
    <col min="13064" max="13064" width="13.88671875" style="138" customWidth="1"/>
    <col min="13065" max="13065" width="1.88671875" style="138" customWidth="1"/>
    <col min="13066" max="13066" width="13" style="138" customWidth="1"/>
    <col min="13067" max="13306" width="8.88671875" style="138"/>
    <col min="13307" max="13307" width="6" style="138" customWidth="1"/>
    <col min="13308" max="13308" width="1.44140625" style="138" customWidth="1"/>
    <col min="13309" max="13309" width="39.109375" style="138" customWidth="1"/>
    <col min="13310" max="13310" width="12" style="138" customWidth="1"/>
    <col min="13311" max="13311" width="14.44140625" style="138" customWidth="1"/>
    <col min="13312" max="13312" width="11.88671875" style="138" customWidth="1"/>
    <col min="13313" max="13313" width="14.109375" style="138" customWidth="1"/>
    <col min="13314" max="13314" width="13.88671875" style="138" customWidth="1"/>
    <col min="13315" max="13316" width="12.77734375" style="138" customWidth="1"/>
    <col min="13317" max="13317" width="13.5546875" style="138" customWidth="1"/>
    <col min="13318" max="13318" width="15.33203125" style="138" customWidth="1"/>
    <col min="13319" max="13319" width="12.77734375" style="138" customWidth="1"/>
    <col min="13320" max="13320" width="13.88671875" style="138" customWidth="1"/>
    <col min="13321" max="13321" width="1.88671875" style="138" customWidth="1"/>
    <col min="13322" max="13322" width="13" style="138" customWidth="1"/>
    <col min="13323" max="13562" width="8.88671875" style="138"/>
    <col min="13563" max="13563" width="6" style="138" customWidth="1"/>
    <col min="13564" max="13564" width="1.44140625" style="138" customWidth="1"/>
    <col min="13565" max="13565" width="39.109375" style="138" customWidth="1"/>
    <col min="13566" max="13566" width="12" style="138" customWidth="1"/>
    <col min="13567" max="13567" width="14.44140625" style="138" customWidth="1"/>
    <col min="13568" max="13568" width="11.88671875" style="138" customWidth="1"/>
    <col min="13569" max="13569" width="14.109375" style="138" customWidth="1"/>
    <col min="13570" max="13570" width="13.88671875" style="138" customWidth="1"/>
    <col min="13571" max="13572" width="12.77734375" style="138" customWidth="1"/>
    <col min="13573" max="13573" width="13.5546875" style="138" customWidth="1"/>
    <col min="13574" max="13574" width="15.33203125" style="138" customWidth="1"/>
    <col min="13575" max="13575" width="12.77734375" style="138" customWidth="1"/>
    <col min="13576" max="13576" width="13.88671875" style="138" customWidth="1"/>
    <col min="13577" max="13577" width="1.88671875" style="138" customWidth="1"/>
    <col min="13578" max="13578" width="13" style="138" customWidth="1"/>
    <col min="13579" max="13818" width="8.88671875" style="138"/>
    <col min="13819" max="13819" width="6" style="138" customWidth="1"/>
    <col min="13820" max="13820" width="1.44140625" style="138" customWidth="1"/>
    <col min="13821" max="13821" width="39.109375" style="138" customWidth="1"/>
    <col min="13822" max="13822" width="12" style="138" customWidth="1"/>
    <col min="13823" max="13823" width="14.44140625" style="138" customWidth="1"/>
    <col min="13824" max="13824" width="11.88671875" style="138" customWidth="1"/>
    <col min="13825" max="13825" width="14.109375" style="138" customWidth="1"/>
    <col min="13826" max="13826" width="13.88671875" style="138" customWidth="1"/>
    <col min="13827" max="13828" width="12.77734375" style="138" customWidth="1"/>
    <col min="13829" max="13829" width="13.5546875" style="138" customWidth="1"/>
    <col min="13830" max="13830" width="15.33203125" style="138" customWidth="1"/>
    <col min="13831" max="13831" width="12.77734375" style="138" customWidth="1"/>
    <col min="13832" max="13832" width="13.88671875" style="138" customWidth="1"/>
    <col min="13833" max="13833" width="1.88671875" style="138" customWidth="1"/>
    <col min="13834" max="13834" width="13" style="138" customWidth="1"/>
    <col min="13835" max="14074" width="8.88671875" style="138"/>
    <col min="14075" max="14075" width="6" style="138" customWidth="1"/>
    <col min="14076" max="14076" width="1.44140625" style="138" customWidth="1"/>
    <col min="14077" max="14077" width="39.109375" style="138" customWidth="1"/>
    <col min="14078" max="14078" width="12" style="138" customWidth="1"/>
    <col min="14079" max="14079" width="14.44140625" style="138" customWidth="1"/>
    <col min="14080" max="14080" width="11.88671875" style="138" customWidth="1"/>
    <col min="14081" max="14081" width="14.109375" style="138" customWidth="1"/>
    <col min="14082" max="14082" width="13.88671875" style="138" customWidth="1"/>
    <col min="14083" max="14084" width="12.77734375" style="138" customWidth="1"/>
    <col min="14085" max="14085" width="13.5546875" style="138" customWidth="1"/>
    <col min="14086" max="14086" width="15.33203125" style="138" customWidth="1"/>
    <col min="14087" max="14087" width="12.77734375" style="138" customWidth="1"/>
    <col min="14088" max="14088" width="13.88671875" style="138" customWidth="1"/>
    <col min="14089" max="14089" width="1.88671875" style="138" customWidth="1"/>
    <col min="14090" max="14090" width="13" style="138" customWidth="1"/>
    <col min="14091" max="14330" width="8.88671875" style="138"/>
    <col min="14331" max="14331" width="6" style="138" customWidth="1"/>
    <col min="14332" max="14332" width="1.44140625" style="138" customWidth="1"/>
    <col min="14333" max="14333" width="39.109375" style="138" customWidth="1"/>
    <col min="14334" max="14334" width="12" style="138" customWidth="1"/>
    <col min="14335" max="14335" width="14.44140625" style="138" customWidth="1"/>
    <col min="14336" max="14336" width="11.88671875" style="138" customWidth="1"/>
    <col min="14337" max="14337" width="14.109375" style="138" customWidth="1"/>
    <col min="14338" max="14338" width="13.88671875" style="138" customWidth="1"/>
    <col min="14339" max="14340" width="12.77734375" style="138" customWidth="1"/>
    <col min="14341" max="14341" width="13.5546875" style="138" customWidth="1"/>
    <col min="14342" max="14342" width="15.33203125" style="138" customWidth="1"/>
    <col min="14343" max="14343" width="12.77734375" style="138" customWidth="1"/>
    <col min="14344" max="14344" width="13.88671875" style="138" customWidth="1"/>
    <col min="14345" max="14345" width="1.88671875" style="138" customWidth="1"/>
    <col min="14346" max="14346" width="13" style="138" customWidth="1"/>
    <col min="14347" max="14586" width="8.88671875" style="138"/>
    <col min="14587" max="14587" width="6" style="138" customWidth="1"/>
    <col min="14588" max="14588" width="1.44140625" style="138" customWidth="1"/>
    <col min="14589" max="14589" width="39.109375" style="138" customWidth="1"/>
    <col min="14590" max="14590" width="12" style="138" customWidth="1"/>
    <col min="14591" max="14591" width="14.44140625" style="138" customWidth="1"/>
    <col min="14592" max="14592" width="11.88671875" style="138" customWidth="1"/>
    <col min="14593" max="14593" width="14.109375" style="138" customWidth="1"/>
    <col min="14594" max="14594" width="13.88671875" style="138" customWidth="1"/>
    <col min="14595" max="14596" width="12.77734375" style="138" customWidth="1"/>
    <col min="14597" max="14597" width="13.5546875" style="138" customWidth="1"/>
    <col min="14598" max="14598" width="15.33203125" style="138" customWidth="1"/>
    <col min="14599" max="14599" width="12.77734375" style="138" customWidth="1"/>
    <col min="14600" max="14600" width="13.88671875" style="138" customWidth="1"/>
    <col min="14601" max="14601" width="1.88671875" style="138" customWidth="1"/>
    <col min="14602" max="14602" width="13" style="138" customWidth="1"/>
    <col min="14603" max="14842" width="8.88671875" style="138"/>
    <col min="14843" max="14843" width="6" style="138" customWidth="1"/>
    <col min="14844" max="14844" width="1.44140625" style="138" customWidth="1"/>
    <col min="14845" max="14845" width="39.109375" style="138" customWidth="1"/>
    <col min="14846" max="14846" width="12" style="138" customWidth="1"/>
    <col min="14847" max="14847" width="14.44140625" style="138" customWidth="1"/>
    <col min="14848" max="14848" width="11.88671875" style="138" customWidth="1"/>
    <col min="14849" max="14849" width="14.109375" style="138" customWidth="1"/>
    <col min="14850" max="14850" width="13.88671875" style="138" customWidth="1"/>
    <col min="14851" max="14852" width="12.77734375" style="138" customWidth="1"/>
    <col min="14853" max="14853" width="13.5546875" style="138" customWidth="1"/>
    <col min="14854" max="14854" width="15.33203125" style="138" customWidth="1"/>
    <col min="14855" max="14855" width="12.77734375" style="138" customWidth="1"/>
    <col min="14856" max="14856" width="13.88671875" style="138" customWidth="1"/>
    <col min="14857" max="14857" width="1.88671875" style="138" customWidth="1"/>
    <col min="14858" max="14858" width="13" style="138" customWidth="1"/>
    <col min="14859" max="15098" width="8.88671875" style="138"/>
    <col min="15099" max="15099" width="6" style="138" customWidth="1"/>
    <col min="15100" max="15100" width="1.44140625" style="138" customWidth="1"/>
    <col min="15101" max="15101" width="39.109375" style="138" customWidth="1"/>
    <col min="15102" max="15102" width="12" style="138" customWidth="1"/>
    <col min="15103" max="15103" width="14.44140625" style="138" customWidth="1"/>
    <col min="15104" max="15104" width="11.88671875" style="138" customWidth="1"/>
    <col min="15105" max="15105" width="14.109375" style="138" customWidth="1"/>
    <col min="15106" max="15106" width="13.88671875" style="138" customWidth="1"/>
    <col min="15107" max="15108" width="12.77734375" style="138" customWidth="1"/>
    <col min="15109" max="15109" width="13.5546875" style="138" customWidth="1"/>
    <col min="15110" max="15110" width="15.33203125" style="138" customWidth="1"/>
    <col min="15111" max="15111" width="12.77734375" style="138" customWidth="1"/>
    <col min="15112" max="15112" width="13.88671875" style="138" customWidth="1"/>
    <col min="15113" max="15113" width="1.88671875" style="138" customWidth="1"/>
    <col min="15114" max="15114" width="13" style="138" customWidth="1"/>
    <col min="15115" max="15354" width="8.88671875" style="138"/>
    <col min="15355" max="15355" width="6" style="138" customWidth="1"/>
    <col min="15356" max="15356" width="1.44140625" style="138" customWidth="1"/>
    <col min="15357" max="15357" width="39.109375" style="138" customWidth="1"/>
    <col min="15358" max="15358" width="12" style="138" customWidth="1"/>
    <col min="15359" max="15359" width="14.44140625" style="138" customWidth="1"/>
    <col min="15360" max="15360" width="11.88671875" style="138" customWidth="1"/>
    <col min="15361" max="15361" width="14.109375" style="138" customWidth="1"/>
    <col min="15362" max="15362" width="13.88671875" style="138" customWidth="1"/>
    <col min="15363" max="15364" width="12.77734375" style="138" customWidth="1"/>
    <col min="15365" max="15365" width="13.5546875" style="138" customWidth="1"/>
    <col min="15366" max="15366" width="15.33203125" style="138" customWidth="1"/>
    <col min="15367" max="15367" width="12.77734375" style="138" customWidth="1"/>
    <col min="15368" max="15368" width="13.88671875" style="138" customWidth="1"/>
    <col min="15369" max="15369" width="1.88671875" style="138" customWidth="1"/>
    <col min="15370" max="15370" width="13" style="138" customWidth="1"/>
    <col min="15371" max="15610" width="8.88671875" style="138"/>
    <col min="15611" max="15611" width="6" style="138" customWidth="1"/>
    <col min="15612" max="15612" width="1.44140625" style="138" customWidth="1"/>
    <col min="15613" max="15613" width="39.109375" style="138" customWidth="1"/>
    <col min="15614" max="15614" width="12" style="138" customWidth="1"/>
    <col min="15615" max="15615" width="14.44140625" style="138" customWidth="1"/>
    <col min="15616" max="15616" width="11.88671875" style="138" customWidth="1"/>
    <col min="15617" max="15617" width="14.109375" style="138" customWidth="1"/>
    <col min="15618" max="15618" width="13.88671875" style="138" customWidth="1"/>
    <col min="15619" max="15620" width="12.77734375" style="138" customWidth="1"/>
    <col min="15621" max="15621" width="13.5546875" style="138" customWidth="1"/>
    <col min="15622" max="15622" width="15.33203125" style="138" customWidth="1"/>
    <col min="15623" max="15623" width="12.77734375" style="138" customWidth="1"/>
    <col min="15624" max="15624" width="13.88671875" style="138" customWidth="1"/>
    <col min="15625" max="15625" width="1.88671875" style="138" customWidth="1"/>
    <col min="15626" max="15626" width="13" style="138" customWidth="1"/>
    <col min="15627" max="15866" width="8.88671875" style="138"/>
    <col min="15867" max="15867" width="6" style="138" customWidth="1"/>
    <col min="15868" max="15868" width="1.44140625" style="138" customWidth="1"/>
    <col min="15869" max="15869" width="39.109375" style="138" customWidth="1"/>
    <col min="15870" max="15870" width="12" style="138" customWidth="1"/>
    <col min="15871" max="15871" width="14.44140625" style="138" customWidth="1"/>
    <col min="15872" max="15872" width="11.88671875" style="138" customWidth="1"/>
    <col min="15873" max="15873" width="14.109375" style="138" customWidth="1"/>
    <col min="15874" max="15874" width="13.88671875" style="138" customWidth="1"/>
    <col min="15875" max="15876" width="12.77734375" style="138" customWidth="1"/>
    <col min="15877" max="15877" width="13.5546875" style="138" customWidth="1"/>
    <col min="15878" max="15878" width="15.33203125" style="138" customWidth="1"/>
    <col min="15879" max="15879" width="12.77734375" style="138" customWidth="1"/>
    <col min="15880" max="15880" width="13.88671875" style="138" customWidth="1"/>
    <col min="15881" max="15881" width="1.88671875" style="138" customWidth="1"/>
    <col min="15882" max="15882" width="13" style="138" customWidth="1"/>
    <col min="15883" max="16122" width="8.88671875" style="138"/>
    <col min="16123" max="16123" width="6" style="138" customWidth="1"/>
    <col min="16124" max="16124" width="1.44140625" style="138" customWidth="1"/>
    <col min="16125" max="16125" width="39.109375" style="138" customWidth="1"/>
    <col min="16126" max="16126" width="12" style="138" customWidth="1"/>
    <col min="16127" max="16127" width="14.44140625" style="138" customWidth="1"/>
    <col min="16128" max="16128" width="11.88671875" style="138" customWidth="1"/>
    <col min="16129" max="16129" width="14.109375" style="138" customWidth="1"/>
    <col min="16130" max="16130" width="13.88671875" style="138" customWidth="1"/>
    <col min="16131" max="16132" width="12.77734375" style="138" customWidth="1"/>
    <col min="16133" max="16133" width="13.5546875" style="138" customWidth="1"/>
    <col min="16134" max="16134" width="15.33203125" style="138" customWidth="1"/>
    <col min="16135" max="16135" width="12.77734375" style="138" customWidth="1"/>
    <col min="16136" max="16136" width="13.88671875" style="138" customWidth="1"/>
    <col min="16137" max="16137" width="1.88671875" style="138" customWidth="1"/>
    <col min="16138" max="16138" width="13" style="138" customWidth="1"/>
    <col min="16139" max="16378" width="8.88671875" style="138"/>
    <col min="16379" max="16384" width="8.88671875" style="138" customWidth="1"/>
  </cols>
  <sheetData>
    <row r="1" spans="1:59">
      <c r="I1" s="445" t="s">
        <v>369</v>
      </c>
    </row>
    <row r="2" spans="1:59">
      <c r="I2" s="445" t="s">
        <v>421</v>
      </c>
    </row>
    <row r="3" spans="1:59">
      <c r="I3" s="424" t="s">
        <v>231</v>
      </c>
    </row>
    <row r="4" spans="1:59">
      <c r="I4" s="139" t="str">
        <f>'DE Ohio &amp; Kentucky'!J7</f>
        <v>For the 12 months ended: 12/31/2015</v>
      </c>
    </row>
    <row r="5" spans="1:59">
      <c r="C5" s="113"/>
    </row>
    <row r="6" spans="1:59">
      <c r="A6" s="221" t="s">
        <v>309</v>
      </c>
      <c r="B6" s="283"/>
      <c r="C6" s="283"/>
      <c r="D6" s="221"/>
      <c r="E6" s="221"/>
      <c r="F6" s="221"/>
      <c r="G6" s="283"/>
      <c r="H6" s="221"/>
      <c r="I6" s="223"/>
      <c r="J6" s="221"/>
      <c r="K6" s="141"/>
      <c r="L6" s="140"/>
      <c r="M6" s="142"/>
      <c r="N6" s="142"/>
      <c r="O6" s="142"/>
      <c r="P6" s="142"/>
      <c r="Q6" s="142"/>
      <c r="R6" s="142"/>
      <c r="S6" s="142"/>
      <c r="T6" s="142"/>
      <c r="U6" s="142"/>
      <c r="V6" s="142"/>
      <c r="W6" s="142"/>
      <c r="X6" s="142"/>
      <c r="Y6" s="142"/>
      <c r="Z6" s="142"/>
      <c r="AA6" s="142"/>
      <c r="AB6" s="142"/>
      <c r="AC6" s="142"/>
      <c r="AD6" s="142"/>
      <c r="AE6" s="142"/>
      <c r="AF6" s="142"/>
      <c r="AG6" s="142"/>
      <c r="AH6" s="142"/>
      <c r="AI6" s="142"/>
      <c r="AJ6" s="142"/>
      <c r="AK6" s="142"/>
      <c r="AL6" s="142"/>
      <c r="AM6" s="142"/>
      <c r="AN6" s="142"/>
      <c r="AO6" s="142"/>
      <c r="AP6" s="142"/>
      <c r="AQ6" s="142"/>
      <c r="AR6" s="142"/>
      <c r="AS6" s="142"/>
      <c r="AT6" s="142"/>
      <c r="AU6" s="142"/>
      <c r="AV6" s="142"/>
      <c r="AW6" s="142"/>
      <c r="AX6" s="142"/>
      <c r="AY6" s="142"/>
      <c r="AZ6" s="142"/>
      <c r="BA6" s="142"/>
      <c r="BB6" s="142"/>
      <c r="BC6" s="142"/>
      <c r="BD6" s="142"/>
      <c r="BE6" s="142"/>
      <c r="BF6" s="142"/>
      <c r="BG6" s="142"/>
    </row>
    <row r="7" spans="1:59">
      <c r="A7" s="222" t="s">
        <v>370</v>
      </c>
      <c r="B7" s="283"/>
      <c r="C7" s="221"/>
      <c r="D7" s="221"/>
      <c r="E7" s="221"/>
      <c r="F7" s="221"/>
      <c r="G7" s="283"/>
      <c r="H7" s="221"/>
      <c r="I7" s="223"/>
      <c r="J7" s="221"/>
      <c r="K7" s="141"/>
      <c r="L7" s="140"/>
      <c r="M7" s="142"/>
      <c r="N7" s="142"/>
      <c r="O7" s="142"/>
      <c r="P7" s="142"/>
      <c r="Q7" s="142"/>
      <c r="R7" s="142"/>
      <c r="S7" s="142"/>
      <c r="T7" s="142"/>
      <c r="U7" s="142"/>
      <c r="V7" s="142"/>
      <c r="W7" s="142"/>
      <c r="X7" s="142"/>
      <c r="Y7" s="142"/>
      <c r="Z7" s="142"/>
      <c r="AA7" s="142"/>
      <c r="AB7" s="142"/>
      <c r="AC7" s="142"/>
      <c r="AD7" s="142"/>
      <c r="AE7" s="142"/>
      <c r="AF7" s="142"/>
      <c r="AG7" s="142"/>
      <c r="AH7" s="142"/>
      <c r="AI7" s="142"/>
      <c r="AJ7" s="142"/>
      <c r="AK7" s="142"/>
      <c r="AL7" s="142"/>
      <c r="AM7" s="142"/>
      <c r="AN7" s="142"/>
      <c r="AO7" s="142"/>
      <c r="AP7" s="142"/>
      <c r="AQ7" s="142"/>
      <c r="AR7" s="142"/>
      <c r="AS7" s="142"/>
      <c r="AT7" s="142"/>
      <c r="AU7" s="142"/>
      <c r="AV7" s="142"/>
      <c r="AW7" s="142"/>
      <c r="AX7" s="142"/>
      <c r="AY7" s="142"/>
      <c r="AZ7" s="142"/>
      <c r="BA7" s="142"/>
      <c r="BB7" s="142"/>
      <c r="BC7" s="142"/>
      <c r="BD7" s="142"/>
      <c r="BE7" s="142"/>
      <c r="BF7" s="142"/>
      <c r="BG7" s="142"/>
    </row>
    <row r="8" spans="1:59">
      <c r="A8" s="223"/>
      <c r="B8" s="283"/>
      <c r="C8" s="223"/>
      <c r="D8" s="223"/>
      <c r="E8" s="223"/>
      <c r="F8" s="223"/>
      <c r="G8" s="283"/>
      <c r="H8" s="223"/>
      <c r="I8" s="223"/>
      <c r="J8" s="111"/>
      <c r="K8" s="141"/>
      <c r="L8" s="140"/>
      <c r="M8" s="142"/>
      <c r="N8" s="142"/>
      <c r="O8" s="142"/>
      <c r="P8" s="142"/>
      <c r="Q8" s="142"/>
      <c r="R8" s="142"/>
      <c r="S8" s="142"/>
      <c r="T8" s="142"/>
      <c r="U8" s="142"/>
      <c r="V8" s="142"/>
      <c r="W8" s="142"/>
      <c r="X8" s="142"/>
      <c r="Y8" s="142"/>
      <c r="Z8" s="142"/>
      <c r="AA8" s="142"/>
      <c r="AB8" s="142"/>
      <c r="AC8" s="142"/>
      <c r="AD8" s="142"/>
      <c r="AE8" s="142"/>
      <c r="AF8" s="142"/>
      <c r="AG8" s="142"/>
      <c r="AH8" s="142"/>
      <c r="AI8" s="142"/>
      <c r="AJ8" s="142"/>
      <c r="AK8" s="142"/>
      <c r="AL8" s="142"/>
      <c r="AM8" s="142"/>
      <c r="AN8" s="142"/>
      <c r="AO8" s="142"/>
      <c r="AP8" s="142"/>
      <c r="AQ8" s="142"/>
      <c r="AR8" s="142"/>
      <c r="AS8" s="142"/>
      <c r="AT8" s="142"/>
      <c r="AU8" s="142"/>
      <c r="AV8" s="142"/>
      <c r="AW8" s="142"/>
      <c r="AX8" s="142"/>
      <c r="AY8" s="142"/>
      <c r="AZ8" s="142"/>
      <c r="BA8" s="142"/>
      <c r="BB8" s="142"/>
      <c r="BC8" s="142"/>
      <c r="BD8" s="142"/>
      <c r="BE8" s="142"/>
      <c r="BF8" s="142"/>
      <c r="BG8" s="142"/>
    </row>
    <row r="9" spans="1:59">
      <c r="A9" s="446" t="s">
        <v>528</v>
      </c>
      <c r="B9" s="283"/>
      <c r="C9" s="223"/>
      <c r="D9" s="223"/>
      <c r="E9" s="223"/>
      <c r="F9" s="223"/>
      <c r="G9" s="283"/>
      <c r="H9" s="286"/>
      <c r="I9" s="223"/>
      <c r="J9" s="223"/>
      <c r="K9" s="141"/>
      <c r="L9" s="140"/>
      <c r="M9" s="142"/>
      <c r="N9" s="142"/>
      <c r="O9" s="142"/>
      <c r="P9" s="142"/>
      <c r="Q9" s="142"/>
      <c r="R9" s="142"/>
      <c r="S9" s="142"/>
      <c r="T9" s="142"/>
      <c r="U9" s="142"/>
      <c r="V9" s="142"/>
      <c r="W9" s="142"/>
      <c r="X9" s="142"/>
      <c r="Y9" s="142"/>
      <c r="Z9" s="142"/>
      <c r="AA9" s="142"/>
      <c r="AB9" s="142"/>
      <c r="AC9" s="142"/>
      <c r="AD9" s="142"/>
      <c r="AE9" s="142"/>
      <c r="AF9" s="142"/>
      <c r="AG9" s="142"/>
      <c r="AH9" s="142"/>
      <c r="AI9" s="142"/>
      <c r="AJ9" s="142"/>
      <c r="AK9" s="142"/>
      <c r="AL9" s="142"/>
      <c r="AM9" s="142"/>
      <c r="AN9" s="142"/>
      <c r="AO9" s="142"/>
      <c r="AP9" s="142"/>
      <c r="AQ9" s="142"/>
      <c r="AR9" s="142"/>
      <c r="AS9" s="142"/>
      <c r="AT9" s="142"/>
      <c r="AU9" s="142"/>
      <c r="AV9" s="142"/>
      <c r="AW9" s="142"/>
      <c r="AX9" s="142"/>
      <c r="AY9" s="142"/>
      <c r="AZ9" s="142"/>
      <c r="BA9" s="142"/>
      <c r="BB9" s="142"/>
      <c r="BC9" s="142"/>
      <c r="BD9" s="142"/>
      <c r="BE9" s="142"/>
      <c r="BF9" s="142"/>
      <c r="BG9" s="142"/>
    </row>
    <row r="10" spans="1:59">
      <c r="A10" s="364" t="s">
        <v>367</v>
      </c>
      <c r="B10" s="283"/>
      <c r="C10" s="364"/>
      <c r="D10" s="223"/>
      <c r="E10" s="223"/>
      <c r="F10" s="223"/>
      <c r="G10" s="283"/>
      <c r="H10" s="286"/>
      <c r="I10" s="223"/>
      <c r="J10" s="223"/>
      <c r="K10" s="141"/>
      <c r="L10" s="140"/>
      <c r="M10" s="142"/>
      <c r="N10" s="142"/>
      <c r="O10" s="142"/>
      <c r="P10" s="142"/>
      <c r="Q10" s="142"/>
      <c r="R10" s="142"/>
      <c r="S10" s="142"/>
      <c r="T10" s="142"/>
      <c r="U10" s="142"/>
      <c r="V10" s="142"/>
      <c r="W10" s="142"/>
      <c r="X10" s="142"/>
      <c r="Y10" s="142"/>
      <c r="Z10" s="142"/>
      <c r="AA10" s="142"/>
      <c r="AB10" s="142"/>
      <c r="AC10" s="142"/>
      <c r="AD10" s="142"/>
      <c r="AE10" s="142"/>
      <c r="AF10" s="142"/>
      <c r="AG10" s="142"/>
      <c r="AH10" s="142"/>
      <c r="AI10" s="142"/>
      <c r="AJ10" s="142"/>
      <c r="AK10" s="142"/>
      <c r="AL10" s="142"/>
      <c r="AM10" s="142"/>
      <c r="AN10" s="142"/>
      <c r="AO10" s="142"/>
      <c r="AP10" s="142"/>
      <c r="AQ10" s="142"/>
      <c r="AR10" s="142"/>
      <c r="AS10" s="142"/>
      <c r="AT10" s="142"/>
      <c r="AU10" s="142"/>
      <c r="AV10" s="142"/>
      <c r="AW10" s="142"/>
      <c r="AX10" s="142"/>
      <c r="AY10" s="142"/>
      <c r="AZ10" s="142"/>
      <c r="BA10" s="142"/>
      <c r="BB10" s="142"/>
      <c r="BC10" s="142"/>
      <c r="BD10" s="142"/>
      <c r="BE10" s="142"/>
      <c r="BF10" s="142"/>
      <c r="BG10" s="142"/>
    </row>
    <row r="11" spans="1:59">
      <c r="A11" s="143"/>
      <c r="C11" s="111"/>
      <c r="D11" s="111"/>
      <c r="E11" s="111"/>
      <c r="F11" s="111"/>
      <c r="G11" s="144"/>
      <c r="H11" s="111"/>
      <c r="I11" s="111"/>
      <c r="J11" s="111"/>
      <c r="K11" s="141"/>
      <c r="L11" s="140"/>
      <c r="M11" s="142"/>
      <c r="N11" s="142"/>
      <c r="O11" s="142"/>
      <c r="P11" s="142"/>
      <c r="Q11" s="142"/>
      <c r="R11" s="142"/>
      <c r="S11" s="142"/>
      <c r="T11" s="142"/>
      <c r="U11" s="142"/>
      <c r="V11" s="142"/>
      <c r="W11" s="142"/>
      <c r="X11" s="142"/>
      <c r="Y11" s="142"/>
      <c r="Z11" s="142"/>
      <c r="AA11" s="142"/>
      <c r="AB11" s="142"/>
      <c r="AC11" s="142"/>
      <c r="AD11" s="142"/>
      <c r="AE11" s="142"/>
      <c r="AF11" s="142"/>
      <c r="AG11" s="142"/>
      <c r="AH11" s="142"/>
      <c r="AI11" s="142"/>
      <c r="AJ11" s="142"/>
      <c r="AK11" s="142"/>
      <c r="AL11" s="142"/>
      <c r="AM11" s="142"/>
      <c r="AN11" s="142"/>
      <c r="AO11" s="142"/>
      <c r="AP11" s="142"/>
      <c r="AQ11" s="142"/>
      <c r="AR11" s="142"/>
      <c r="AS11" s="142"/>
      <c r="AT11" s="142"/>
      <c r="AU11" s="142"/>
      <c r="AV11" s="142"/>
      <c r="AW11" s="142"/>
      <c r="AX11" s="142"/>
      <c r="AY11" s="142"/>
      <c r="AZ11" s="142"/>
      <c r="BA11" s="142"/>
      <c r="BB11" s="142"/>
      <c r="BC11" s="142"/>
      <c r="BD11" s="142"/>
      <c r="BE11" s="142"/>
      <c r="BF11" s="142"/>
      <c r="BG11" s="142"/>
    </row>
    <row r="12" spans="1:59">
      <c r="A12" s="223" t="s">
        <v>709</v>
      </c>
      <c r="B12" s="283"/>
      <c r="C12" s="283"/>
      <c r="D12" s="223"/>
      <c r="E12" s="223"/>
      <c r="F12" s="223"/>
      <c r="G12" s="286"/>
      <c r="H12" s="223"/>
      <c r="I12" s="223"/>
      <c r="J12" s="111"/>
      <c r="K12" s="141"/>
      <c r="L12" s="140"/>
      <c r="M12" s="142"/>
      <c r="N12" s="142"/>
      <c r="O12" s="142"/>
      <c r="P12" s="142"/>
      <c r="Q12" s="142"/>
      <c r="R12" s="142"/>
      <c r="S12" s="142"/>
      <c r="T12" s="142"/>
      <c r="U12" s="142"/>
      <c r="V12" s="142"/>
      <c r="W12" s="142"/>
      <c r="X12" s="142"/>
      <c r="Y12" s="142"/>
      <c r="Z12" s="142"/>
      <c r="AA12" s="142"/>
      <c r="AB12" s="142"/>
      <c r="AC12" s="142"/>
      <c r="AD12" s="142"/>
      <c r="AE12" s="142"/>
      <c r="AF12" s="142"/>
      <c r="AG12" s="142"/>
      <c r="AH12" s="142"/>
      <c r="AI12" s="142"/>
      <c r="AJ12" s="142"/>
      <c r="AK12" s="142"/>
      <c r="AL12" s="142"/>
      <c r="AM12" s="142"/>
      <c r="AN12" s="142"/>
      <c r="AO12" s="142"/>
      <c r="AP12" s="142"/>
      <c r="AQ12" s="142"/>
      <c r="AR12" s="142"/>
      <c r="AS12" s="142"/>
      <c r="AT12" s="142"/>
      <c r="AU12" s="142"/>
      <c r="AV12" s="142"/>
      <c r="AW12" s="142"/>
      <c r="AX12" s="142"/>
      <c r="AY12" s="142"/>
      <c r="AZ12" s="142"/>
      <c r="BA12" s="142"/>
      <c r="BB12" s="142"/>
      <c r="BC12" s="142"/>
      <c r="BD12" s="142"/>
      <c r="BE12" s="142"/>
      <c r="BF12" s="142"/>
      <c r="BG12" s="142"/>
    </row>
    <row r="13" spans="1:59">
      <c r="A13" s="143"/>
      <c r="C13" s="111"/>
      <c r="D13" s="111"/>
      <c r="E13" s="111"/>
      <c r="F13" s="111"/>
      <c r="G13" s="144"/>
      <c r="K13" s="140"/>
      <c r="L13" s="140"/>
      <c r="M13" s="142"/>
      <c r="N13" s="142"/>
      <c r="O13" s="142"/>
      <c r="P13" s="142"/>
      <c r="Q13" s="142"/>
      <c r="R13" s="142"/>
      <c r="S13" s="142"/>
      <c r="T13" s="142"/>
      <c r="U13" s="142"/>
      <c r="V13" s="142"/>
      <c r="W13" s="142"/>
      <c r="X13" s="142"/>
      <c r="Y13" s="142"/>
      <c r="Z13" s="142"/>
      <c r="AA13" s="142"/>
      <c r="AB13" s="142"/>
      <c r="AC13" s="142"/>
      <c r="AD13" s="142"/>
      <c r="AE13" s="142"/>
      <c r="AF13" s="142"/>
      <c r="AG13" s="142"/>
      <c r="AH13" s="142"/>
      <c r="AI13" s="142"/>
      <c r="AJ13" s="142"/>
      <c r="AK13" s="142"/>
      <c r="AL13" s="142"/>
      <c r="AM13" s="142"/>
      <c r="AN13" s="142"/>
      <c r="AO13" s="142"/>
      <c r="AP13" s="142"/>
      <c r="AQ13" s="142"/>
      <c r="AR13" s="142"/>
      <c r="AS13" s="142"/>
      <c r="AT13" s="142"/>
      <c r="AU13" s="142"/>
      <c r="AV13" s="142"/>
      <c r="AW13" s="142"/>
      <c r="AX13" s="142"/>
      <c r="AY13" s="142"/>
      <c r="AZ13" s="142"/>
      <c r="BA13" s="142"/>
      <c r="BB13" s="142"/>
      <c r="BC13" s="142"/>
      <c r="BD13" s="142"/>
      <c r="BE13" s="142"/>
      <c r="BF13" s="142"/>
      <c r="BG13" s="142"/>
    </row>
    <row r="14" spans="1:59">
      <c r="A14" s="143"/>
      <c r="C14" s="111"/>
      <c r="D14" s="111"/>
      <c r="E14" s="111"/>
      <c r="F14" s="111"/>
      <c r="G14" s="111"/>
      <c r="K14" s="140"/>
      <c r="L14" s="140"/>
      <c r="M14" s="142"/>
      <c r="N14" s="142"/>
      <c r="O14" s="142"/>
      <c r="P14" s="142"/>
      <c r="Q14" s="142"/>
      <c r="R14" s="142"/>
      <c r="S14" s="142"/>
      <c r="T14" s="142"/>
      <c r="U14" s="142"/>
      <c r="V14" s="142"/>
      <c r="W14" s="142"/>
      <c r="X14" s="142"/>
      <c r="Y14" s="142"/>
      <c r="Z14" s="142"/>
      <c r="AA14" s="142"/>
      <c r="AB14" s="142"/>
      <c r="AC14" s="142"/>
      <c r="AD14" s="142"/>
      <c r="AE14" s="142"/>
      <c r="AF14" s="142"/>
      <c r="AG14" s="142"/>
      <c r="AH14" s="142"/>
      <c r="AI14" s="142"/>
      <c r="AJ14" s="142"/>
      <c r="AK14" s="142"/>
      <c r="AL14" s="142"/>
      <c r="AM14" s="142"/>
      <c r="AN14" s="142"/>
      <c r="AO14" s="142"/>
      <c r="AP14" s="142"/>
      <c r="AQ14" s="142"/>
      <c r="AR14" s="142"/>
      <c r="AS14" s="142"/>
      <c r="AT14" s="142"/>
      <c r="AU14" s="142"/>
      <c r="AV14" s="142"/>
      <c r="AW14" s="142"/>
      <c r="AX14" s="142"/>
      <c r="AY14" s="142"/>
      <c r="AZ14" s="142"/>
      <c r="BA14" s="142"/>
      <c r="BB14" s="142"/>
      <c r="BC14" s="142"/>
      <c r="BD14" s="142"/>
      <c r="BE14" s="142"/>
      <c r="BF14" s="142"/>
      <c r="BG14" s="142"/>
    </row>
    <row r="15" spans="1:59">
      <c r="C15" s="109" t="s">
        <v>24</v>
      </c>
      <c r="D15" s="109"/>
      <c r="E15" s="109" t="s">
        <v>25</v>
      </c>
      <c r="F15" s="109"/>
      <c r="G15" s="109" t="s">
        <v>26</v>
      </c>
      <c r="I15" s="145" t="s">
        <v>27</v>
      </c>
      <c r="K15" s="146"/>
      <c r="L15" s="147"/>
      <c r="M15" s="142"/>
      <c r="N15" s="142"/>
      <c r="O15" s="142"/>
      <c r="P15" s="142"/>
      <c r="Q15" s="142"/>
      <c r="R15" s="142"/>
      <c r="S15" s="142"/>
      <c r="T15" s="142"/>
      <c r="U15" s="142"/>
      <c r="V15" s="142"/>
      <c r="W15" s="142"/>
      <c r="X15" s="142"/>
      <c r="Y15" s="142"/>
      <c r="Z15" s="142"/>
      <c r="AA15" s="142"/>
      <c r="AB15" s="142"/>
      <c r="AC15" s="142"/>
      <c r="AD15" s="142"/>
      <c r="AE15" s="142"/>
      <c r="AF15" s="142"/>
      <c r="AG15" s="142"/>
      <c r="AH15" s="142"/>
      <c r="AI15" s="142"/>
      <c r="AJ15" s="142"/>
      <c r="AK15" s="142"/>
      <c r="AL15" s="142"/>
      <c r="AM15" s="142"/>
      <c r="AN15" s="142"/>
      <c r="AO15" s="142"/>
      <c r="AP15" s="142"/>
      <c r="AQ15" s="142"/>
      <c r="AR15" s="142"/>
      <c r="AS15" s="142"/>
      <c r="AT15" s="142"/>
      <c r="AU15" s="142"/>
      <c r="AV15" s="142"/>
      <c r="AW15" s="142"/>
      <c r="AX15" s="142"/>
      <c r="AY15" s="142"/>
      <c r="AZ15" s="142"/>
      <c r="BA15" s="142"/>
      <c r="BB15" s="142"/>
      <c r="BC15" s="142"/>
      <c r="BD15" s="142"/>
      <c r="BE15" s="142"/>
      <c r="BF15" s="142"/>
      <c r="BG15" s="142"/>
    </row>
    <row r="16" spans="1:59">
      <c r="C16" s="108"/>
      <c r="D16" s="108"/>
      <c r="K16" s="149"/>
      <c r="L16" s="147"/>
      <c r="M16" s="142"/>
      <c r="N16" s="142"/>
      <c r="O16" s="142"/>
      <c r="P16" s="142"/>
      <c r="Q16" s="142"/>
      <c r="R16" s="142"/>
      <c r="S16" s="142"/>
      <c r="T16" s="142"/>
      <c r="U16" s="142"/>
      <c r="V16" s="142"/>
      <c r="W16" s="142"/>
      <c r="X16" s="142"/>
      <c r="Y16" s="142"/>
      <c r="Z16" s="142"/>
      <c r="AA16" s="142"/>
      <c r="AB16" s="142"/>
      <c r="AC16" s="142"/>
      <c r="AD16" s="142"/>
      <c r="AE16" s="142"/>
      <c r="AF16" s="142"/>
      <c r="AG16" s="142"/>
      <c r="AH16" s="142"/>
      <c r="AI16" s="142"/>
      <c r="AJ16" s="142"/>
      <c r="AK16" s="142"/>
      <c r="AL16" s="142"/>
      <c r="AM16" s="142"/>
      <c r="AN16" s="142"/>
      <c r="AO16" s="142"/>
      <c r="AP16" s="142"/>
      <c r="AQ16" s="142"/>
      <c r="AR16" s="142"/>
      <c r="AS16" s="142"/>
      <c r="AT16" s="142"/>
      <c r="AU16" s="142"/>
      <c r="AV16" s="142"/>
      <c r="AW16" s="142"/>
      <c r="AX16" s="142"/>
      <c r="AY16" s="142"/>
      <c r="AZ16" s="142"/>
      <c r="BA16" s="142"/>
      <c r="BB16" s="142"/>
      <c r="BC16" s="142"/>
      <c r="BD16" s="142"/>
      <c r="BE16" s="142"/>
      <c r="BF16" s="142"/>
      <c r="BG16" s="142"/>
    </row>
    <row r="17" spans="1:59">
      <c r="A17" s="375" t="s">
        <v>13</v>
      </c>
      <c r="B17" s="142"/>
      <c r="C17" s="108"/>
      <c r="D17" s="108"/>
      <c r="E17" s="154" t="s">
        <v>369</v>
      </c>
      <c r="F17" s="154"/>
      <c r="G17" s="112"/>
      <c r="H17" s="142"/>
      <c r="I17" s="142"/>
      <c r="K17" s="149"/>
      <c r="L17" s="147"/>
      <c r="M17" s="142"/>
      <c r="N17" s="142"/>
      <c r="O17" s="142"/>
      <c r="P17" s="142"/>
      <c r="Q17" s="142"/>
      <c r="R17" s="142"/>
      <c r="S17" s="142"/>
      <c r="T17" s="142"/>
      <c r="U17" s="142"/>
      <c r="V17" s="142"/>
      <c r="W17" s="142"/>
      <c r="X17" s="142"/>
      <c r="Y17" s="142"/>
      <c r="Z17" s="142"/>
      <c r="AA17" s="142"/>
      <c r="AB17" s="142"/>
      <c r="AC17" s="142"/>
      <c r="AD17" s="142"/>
      <c r="AE17" s="142"/>
      <c r="AF17" s="142"/>
      <c r="AG17" s="142"/>
      <c r="AH17" s="142"/>
      <c r="AI17" s="142"/>
      <c r="AJ17" s="142"/>
      <c r="AK17" s="142"/>
      <c r="AL17" s="142"/>
      <c r="AM17" s="142"/>
      <c r="AN17" s="142"/>
      <c r="AO17" s="142"/>
      <c r="AP17" s="142"/>
      <c r="AQ17" s="142"/>
      <c r="AR17" s="142"/>
      <c r="AS17" s="142"/>
      <c r="AT17" s="142"/>
      <c r="AU17" s="142"/>
      <c r="AV17" s="142"/>
      <c r="AW17" s="142"/>
      <c r="AX17" s="142"/>
      <c r="AY17" s="142"/>
      <c r="AZ17" s="142"/>
      <c r="BA17" s="142"/>
      <c r="BB17" s="142"/>
      <c r="BC17" s="142"/>
      <c r="BD17" s="142"/>
      <c r="BE17" s="142"/>
      <c r="BF17" s="142"/>
      <c r="BG17" s="142"/>
    </row>
    <row r="18" spans="1:59">
      <c r="A18" s="419" t="s">
        <v>15</v>
      </c>
      <c r="B18" s="420"/>
      <c r="C18" s="421"/>
      <c r="D18" s="421"/>
      <c r="E18" s="422" t="s">
        <v>31</v>
      </c>
      <c r="F18" s="422"/>
      <c r="G18" s="419" t="s">
        <v>30</v>
      </c>
      <c r="H18" s="420"/>
      <c r="I18" s="419" t="s">
        <v>18</v>
      </c>
      <c r="K18" s="146"/>
      <c r="L18" s="147"/>
      <c r="M18" s="142"/>
      <c r="N18" s="142"/>
      <c r="O18" s="142"/>
      <c r="P18" s="142"/>
      <c r="Q18" s="142"/>
      <c r="R18" s="142"/>
      <c r="S18" s="142"/>
      <c r="T18" s="142"/>
      <c r="U18" s="142"/>
      <c r="V18" s="142"/>
      <c r="W18" s="142"/>
      <c r="X18" s="142"/>
      <c r="Y18" s="142"/>
      <c r="Z18" s="142"/>
      <c r="AA18" s="142"/>
      <c r="AB18" s="142"/>
      <c r="AC18" s="142"/>
      <c r="AD18" s="142"/>
      <c r="AE18" s="142"/>
      <c r="AF18" s="142"/>
      <c r="AG18" s="142"/>
      <c r="AH18" s="142"/>
      <c r="AI18" s="142"/>
      <c r="AJ18" s="142"/>
      <c r="AK18" s="142"/>
      <c r="AL18" s="142"/>
      <c r="AM18" s="142"/>
      <c r="AN18" s="142"/>
      <c r="AO18" s="142"/>
      <c r="AP18" s="142"/>
      <c r="AQ18" s="142"/>
      <c r="AR18" s="142"/>
      <c r="AS18" s="142"/>
      <c r="AT18" s="142"/>
      <c r="AU18" s="142"/>
      <c r="AV18" s="142"/>
      <c r="AW18" s="142"/>
      <c r="AX18" s="142"/>
      <c r="AY18" s="142"/>
      <c r="AZ18" s="142"/>
      <c r="BA18" s="142"/>
      <c r="BB18" s="142"/>
      <c r="BC18" s="142"/>
      <c r="BD18" s="142"/>
      <c r="BE18" s="142"/>
      <c r="BF18" s="142"/>
      <c r="BG18" s="142"/>
    </row>
    <row r="19" spans="1:59" ht="15.75">
      <c r="A19" s="152"/>
      <c r="C19" s="108" t="s">
        <v>417</v>
      </c>
      <c r="D19" s="108"/>
      <c r="E19" s="112"/>
      <c r="F19" s="112"/>
      <c r="G19" s="112"/>
      <c r="I19" s="112"/>
      <c r="K19" s="146"/>
      <c r="L19" s="147"/>
      <c r="M19" s="142"/>
      <c r="N19" s="142"/>
      <c r="O19" s="142"/>
      <c r="P19" s="142"/>
      <c r="Q19" s="142"/>
      <c r="R19" s="142"/>
      <c r="S19" s="142"/>
      <c r="T19" s="142"/>
      <c r="U19" s="142"/>
      <c r="V19" s="142"/>
      <c r="W19" s="142"/>
      <c r="X19" s="142"/>
      <c r="Y19" s="142"/>
      <c r="Z19" s="142"/>
      <c r="AA19" s="142"/>
      <c r="AB19" s="142"/>
      <c r="AC19" s="142"/>
      <c r="AD19" s="142"/>
      <c r="AE19" s="142"/>
      <c r="AF19" s="142"/>
      <c r="AG19" s="142"/>
      <c r="AH19" s="142"/>
      <c r="AI19" s="142"/>
      <c r="AJ19" s="142"/>
      <c r="AK19" s="142"/>
      <c r="AL19" s="142"/>
      <c r="AM19" s="142"/>
      <c r="AN19" s="142"/>
      <c r="AO19" s="142"/>
      <c r="AP19" s="142"/>
      <c r="AQ19" s="142"/>
      <c r="AR19" s="142"/>
      <c r="AS19" s="142"/>
      <c r="AT19" s="142"/>
      <c r="AU19" s="142"/>
      <c r="AV19" s="142"/>
      <c r="AW19" s="142"/>
      <c r="AX19" s="142"/>
      <c r="AY19" s="142"/>
      <c r="AZ19" s="142"/>
      <c r="BA19" s="142"/>
      <c r="BB19" s="142"/>
      <c r="BC19" s="142"/>
      <c r="BD19" s="142"/>
      <c r="BE19" s="142"/>
      <c r="BF19" s="142"/>
      <c r="BG19" s="142"/>
    </row>
    <row r="20" spans="1:59">
      <c r="A20" s="153">
        <v>1</v>
      </c>
      <c r="C20" s="108" t="s">
        <v>266</v>
      </c>
      <c r="D20" s="108"/>
      <c r="E20" s="868" t="s">
        <v>803</v>
      </c>
      <c r="F20" s="154"/>
      <c r="G20" s="503">
        <f>'DE Ohio &amp; Kentucky'!J77</f>
        <v>761393849</v>
      </c>
      <c r="K20" s="146"/>
      <c r="L20" s="147"/>
      <c r="M20" s="142"/>
      <c r="N20" s="142"/>
      <c r="O20" s="142"/>
      <c r="P20" s="142"/>
      <c r="Q20" s="142"/>
      <c r="R20" s="142"/>
      <c r="S20" s="142"/>
      <c r="T20" s="142"/>
      <c r="U20" s="142"/>
      <c r="V20" s="142"/>
      <c r="W20" s="142"/>
      <c r="X20" s="142"/>
      <c r="Y20" s="142"/>
      <c r="Z20" s="142"/>
      <c r="AA20" s="142"/>
      <c r="AB20" s="142"/>
      <c r="AC20" s="142"/>
      <c r="AD20" s="142"/>
      <c r="AE20" s="142"/>
      <c r="AF20" s="142"/>
      <c r="AG20" s="142"/>
      <c r="AH20" s="142"/>
      <c r="AI20" s="142"/>
      <c r="AJ20" s="142"/>
      <c r="AK20" s="142"/>
      <c r="AL20" s="142"/>
      <c r="AM20" s="142"/>
      <c r="AN20" s="142"/>
      <c r="AO20" s="142"/>
      <c r="AP20" s="142"/>
      <c r="AQ20" s="142"/>
      <c r="AR20" s="142"/>
      <c r="AS20" s="142"/>
      <c r="AT20" s="142"/>
      <c r="AU20" s="142"/>
      <c r="AV20" s="142"/>
      <c r="AW20" s="142"/>
      <c r="AX20" s="142"/>
      <c r="AY20" s="142"/>
      <c r="AZ20" s="142"/>
      <c r="BA20" s="142"/>
      <c r="BB20" s="142"/>
      <c r="BC20" s="142"/>
      <c r="BD20" s="142"/>
      <c r="BE20" s="142"/>
      <c r="BF20" s="142"/>
      <c r="BG20" s="142"/>
    </row>
    <row r="21" spans="1:59">
      <c r="A21" s="153">
        <v>2</v>
      </c>
      <c r="C21" s="108" t="s">
        <v>267</v>
      </c>
      <c r="D21" s="108"/>
      <c r="E21" s="868" t="s">
        <v>804</v>
      </c>
      <c r="F21" s="154"/>
      <c r="G21" s="503">
        <f>'DE Ohio &amp; Kentucky'!J93</f>
        <v>507414455.24084401</v>
      </c>
      <c r="K21" s="146"/>
      <c r="L21" s="147"/>
      <c r="M21" s="142"/>
      <c r="N21" s="142"/>
      <c r="O21" s="142"/>
      <c r="P21" s="142"/>
      <c r="Q21" s="142"/>
      <c r="R21" s="142"/>
      <c r="S21" s="142"/>
      <c r="T21" s="142"/>
      <c r="U21" s="142"/>
      <c r="V21" s="142"/>
      <c r="W21" s="142"/>
      <c r="X21" s="142"/>
      <c r="Y21" s="142"/>
      <c r="Z21" s="142"/>
      <c r="AA21" s="142"/>
      <c r="AB21" s="142"/>
      <c r="AC21" s="142"/>
      <c r="AD21" s="142"/>
      <c r="AE21" s="142"/>
      <c r="AF21" s="142"/>
      <c r="AG21" s="142"/>
      <c r="AH21" s="142"/>
      <c r="AI21" s="142"/>
      <c r="AJ21" s="142"/>
      <c r="AK21" s="142"/>
      <c r="AL21" s="142"/>
      <c r="AM21" s="142"/>
      <c r="AN21" s="142"/>
      <c r="AO21" s="142"/>
      <c r="AP21" s="142"/>
      <c r="AQ21" s="142"/>
      <c r="AR21" s="142"/>
      <c r="AS21" s="142"/>
      <c r="AT21" s="142"/>
      <c r="AU21" s="142"/>
      <c r="AV21" s="142"/>
      <c r="AW21" s="142"/>
      <c r="AX21" s="142"/>
      <c r="AY21" s="142"/>
      <c r="AZ21" s="142"/>
      <c r="BA21" s="142"/>
      <c r="BB21" s="142"/>
      <c r="BC21" s="142"/>
      <c r="BD21" s="142"/>
      <c r="BE21" s="142"/>
      <c r="BF21" s="142"/>
      <c r="BG21" s="142"/>
    </row>
    <row r="22" spans="1:59">
      <c r="A22" s="153"/>
      <c r="E22" s="868"/>
      <c r="F22" s="154"/>
      <c r="K22" s="146"/>
      <c r="L22" s="147"/>
      <c r="M22" s="142"/>
      <c r="N22" s="142"/>
      <c r="O22" s="142"/>
      <c r="P22" s="142"/>
      <c r="Q22" s="142"/>
      <c r="R22" s="142"/>
      <c r="S22" s="142"/>
      <c r="T22" s="142"/>
      <c r="U22" s="142"/>
      <c r="V22" s="142"/>
      <c r="W22" s="142"/>
      <c r="X22" s="142"/>
      <c r="Y22" s="142"/>
      <c r="Z22" s="142"/>
      <c r="AA22" s="142"/>
      <c r="AB22" s="142"/>
      <c r="AC22" s="142"/>
      <c r="AD22" s="142"/>
      <c r="AE22" s="142"/>
      <c r="AF22" s="142"/>
      <c r="AG22" s="142"/>
      <c r="AH22" s="142"/>
      <c r="AI22" s="142"/>
      <c r="AJ22" s="142"/>
      <c r="AK22" s="142"/>
      <c r="AL22" s="142"/>
      <c r="AM22" s="142"/>
      <c r="AN22" s="142"/>
      <c r="AO22" s="142"/>
      <c r="AP22" s="142"/>
      <c r="AQ22" s="142"/>
      <c r="AR22" s="142"/>
      <c r="AS22" s="142"/>
      <c r="AT22" s="142"/>
      <c r="AU22" s="142"/>
      <c r="AV22" s="142"/>
      <c r="AW22" s="142"/>
      <c r="AX22" s="142"/>
      <c r="AY22" s="142"/>
      <c r="AZ22" s="142"/>
      <c r="BA22" s="142"/>
      <c r="BB22" s="142"/>
      <c r="BC22" s="142"/>
      <c r="BD22" s="142"/>
      <c r="BE22" s="142"/>
      <c r="BF22" s="142"/>
      <c r="BG22" s="142"/>
    </row>
    <row r="23" spans="1:59">
      <c r="A23" s="153"/>
      <c r="C23" s="108" t="s">
        <v>232</v>
      </c>
      <c r="D23" s="108"/>
      <c r="E23" s="868"/>
      <c r="F23" s="154"/>
      <c r="G23" s="112"/>
      <c r="I23" s="112"/>
      <c r="K23" s="146"/>
      <c r="L23" s="147"/>
      <c r="M23" s="142"/>
      <c r="N23" s="142"/>
      <c r="O23" s="142"/>
      <c r="P23" s="142"/>
      <c r="Q23" s="142"/>
      <c r="R23" s="142"/>
      <c r="S23" s="142"/>
      <c r="T23" s="142"/>
      <c r="U23" s="142"/>
      <c r="V23" s="142"/>
      <c r="W23" s="142"/>
      <c r="X23" s="142"/>
      <c r="Y23" s="142"/>
      <c r="Z23" s="142"/>
      <c r="AA23" s="142"/>
      <c r="AB23" s="142"/>
      <c r="AC23" s="142"/>
      <c r="AD23" s="142"/>
      <c r="AE23" s="142"/>
      <c r="AF23" s="142"/>
      <c r="AG23" s="142"/>
      <c r="AH23" s="142"/>
      <c r="AI23" s="142"/>
      <c r="AJ23" s="142"/>
      <c r="AK23" s="142"/>
      <c r="AL23" s="142"/>
      <c r="AM23" s="142"/>
      <c r="AN23" s="142"/>
      <c r="AO23" s="142"/>
      <c r="AP23" s="142"/>
      <c r="AQ23" s="142"/>
      <c r="AR23" s="142"/>
      <c r="AS23" s="142"/>
      <c r="AT23" s="142"/>
      <c r="AU23" s="142"/>
      <c r="AV23" s="142"/>
      <c r="AW23" s="142"/>
      <c r="AX23" s="142"/>
      <c r="AY23" s="142"/>
      <c r="AZ23" s="142"/>
      <c r="BA23" s="142"/>
      <c r="BB23" s="142"/>
      <c r="BC23" s="142"/>
      <c r="BD23" s="142"/>
      <c r="BE23" s="142"/>
      <c r="BF23" s="142"/>
      <c r="BG23" s="142"/>
    </row>
    <row r="24" spans="1:59">
      <c r="A24" s="153">
        <v>3</v>
      </c>
      <c r="C24" s="108" t="s">
        <v>268</v>
      </c>
      <c r="D24" s="108"/>
      <c r="E24" s="868" t="s">
        <v>805</v>
      </c>
      <c r="F24" s="154"/>
      <c r="G24" s="503">
        <f>'DE Ohio &amp; Kentucky'!J149</f>
        <v>25735737</v>
      </c>
      <c r="K24" s="146"/>
      <c r="L24" s="147"/>
      <c r="M24" s="142"/>
      <c r="N24" s="142"/>
      <c r="O24" s="142"/>
      <c r="P24" s="142"/>
      <c r="Q24" s="142"/>
      <c r="R24" s="142"/>
      <c r="S24" s="142"/>
      <c r="T24" s="142"/>
      <c r="U24" s="142"/>
      <c r="V24" s="142"/>
      <c r="W24" s="142"/>
      <c r="X24" s="142"/>
      <c r="Y24" s="142"/>
      <c r="Z24" s="142"/>
      <c r="AA24" s="142"/>
      <c r="AB24" s="142"/>
      <c r="AC24" s="142"/>
      <c r="AD24" s="142"/>
      <c r="AE24" s="142"/>
      <c r="AF24" s="142"/>
      <c r="AG24" s="142"/>
      <c r="AH24" s="142"/>
      <c r="AI24" s="142"/>
      <c r="AJ24" s="142"/>
      <c r="AK24" s="142"/>
      <c r="AL24" s="142"/>
      <c r="AM24" s="142"/>
      <c r="AN24" s="142"/>
      <c r="AO24" s="142"/>
      <c r="AP24" s="142"/>
      <c r="AQ24" s="142"/>
      <c r="AR24" s="142"/>
      <c r="AS24" s="142"/>
      <c r="AT24" s="142"/>
      <c r="AU24" s="142"/>
      <c r="AV24" s="142"/>
      <c r="AW24" s="142"/>
      <c r="AX24" s="142"/>
      <c r="AY24" s="142"/>
      <c r="AZ24" s="142"/>
      <c r="BA24" s="142"/>
      <c r="BB24" s="142"/>
      <c r="BC24" s="142"/>
      <c r="BD24" s="142"/>
      <c r="BE24" s="142"/>
      <c r="BF24" s="142"/>
      <c r="BG24" s="142"/>
    </row>
    <row r="25" spans="1:59">
      <c r="A25" s="153">
        <v>4</v>
      </c>
      <c r="C25" s="108" t="s">
        <v>269</v>
      </c>
      <c r="D25" s="108"/>
      <c r="E25" s="868" t="s">
        <v>700</v>
      </c>
      <c r="F25" s="154"/>
      <c r="G25" s="156">
        <f>IF(G24=0,0,G24/G20)</f>
        <v>3.3800820736601456E-2</v>
      </c>
      <c r="I25" s="157">
        <f>G25</f>
        <v>3.3800820736601456E-2</v>
      </c>
      <c r="K25" s="146"/>
      <c r="L25" s="147"/>
      <c r="M25" s="142"/>
      <c r="N25" s="142"/>
      <c r="O25" s="142"/>
      <c r="P25" s="142"/>
      <c r="Q25" s="142"/>
      <c r="R25" s="142"/>
      <c r="S25" s="142"/>
      <c r="T25" s="142"/>
      <c r="U25" s="142"/>
      <c r="V25" s="142"/>
      <c r="W25" s="142"/>
      <c r="X25" s="142"/>
      <c r="Y25" s="142"/>
      <c r="Z25" s="142"/>
      <c r="AA25" s="142"/>
      <c r="AB25" s="142"/>
      <c r="AC25" s="142"/>
      <c r="AD25" s="142"/>
      <c r="AE25" s="142"/>
      <c r="AF25" s="142"/>
      <c r="AG25" s="142"/>
      <c r="AH25" s="142"/>
      <c r="AI25" s="142"/>
      <c r="AJ25" s="142"/>
      <c r="AK25" s="142"/>
      <c r="AL25" s="142"/>
      <c r="AM25" s="142"/>
      <c r="AN25" s="142"/>
      <c r="AO25" s="142"/>
      <c r="AP25" s="142"/>
      <c r="AQ25" s="142"/>
      <c r="AR25" s="142"/>
      <c r="AS25" s="142"/>
      <c r="AT25" s="142"/>
      <c r="AU25" s="142"/>
      <c r="AV25" s="142"/>
      <c r="AW25" s="142"/>
      <c r="AX25" s="142"/>
      <c r="AY25" s="142"/>
      <c r="AZ25" s="142"/>
      <c r="BA25" s="142"/>
      <c r="BB25" s="142"/>
      <c r="BC25" s="142"/>
      <c r="BD25" s="142"/>
      <c r="BE25" s="142"/>
      <c r="BF25" s="142"/>
      <c r="BG25" s="142"/>
    </row>
    <row r="26" spans="1:59">
      <c r="A26" s="153"/>
      <c r="E26" s="868"/>
      <c r="F26" s="154"/>
      <c r="K26" s="146"/>
      <c r="L26" s="147"/>
      <c r="M26" s="142"/>
      <c r="N26" s="142"/>
      <c r="O26" s="142"/>
      <c r="P26" s="142"/>
      <c r="Q26" s="142"/>
      <c r="R26" s="142"/>
      <c r="S26" s="142"/>
      <c r="T26" s="142"/>
      <c r="U26" s="142"/>
      <c r="V26" s="142"/>
      <c r="W26" s="142"/>
      <c r="X26" s="142"/>
      <c r="Y26" s="142"/>
      <c r="Z26" s="142"/>
      <c r="AA26" s="142"/>
      <c r="AB26" s="142"/>
      <c r="AC26" s="142"/>
      <c r="AD26" s="142"/>
      <c r="AE26" s="142"/>
      <c r="AF26" s="142"/>
      <c r="AG26" s="142"/>
      <c r="AH26" s="142"/>
      <c r="AI26" s="142"/>
      <c r="AJ26" s="142"/>
      <c r="AK26" s="142"/>
      <c r="AL26" s="142"/>
      <c r="AM26" s="142"/>
      <c r="AN26" s="142"/>
      <c r="AO26" s="142"/>
      <c r="AP26" s="142"/>
      <c r="AQ26" s="142"/>
      <c r="AR26" s="142"/>
      <c r="AS26" s="142"/>
      <c r="AT26" s="142"/>
      <c r="AU26" s="142"/>
      <c r="AV26" s="142"/>
      <c r="AW26" s="142"/>
      <c r="AX26" s="142"/>
      <c r="AY26" s="142"/>
      <c r="AZ26" s="142"/>
      <c r="BA26" s="142"/>
      <c r="BB26" s="142"/>
      <c r="BC26" s="142"/>
      <c r="BD26" s="142"/>
      <c r="BE26" s="142"/>
      <c r="BF26" s="142"/>
      <c r="BG26" s="142"/>
    </row>
    <row r="27" spans="1:59">
      <c r="A27" s="153"/>
      <c r="C27" s="108" t="s">
        <v>320</v>
      </c>
      <c r="D27" s="108"/>
      <c r="E27" s="866"/>
      <c r="F27" s="154"/>
      <c r="K27" s="146"/>
      <c r="L27" s="147"/>
      <c r="M27" s="142"/>
      <c r="N27" s="142"/>
      <c r="O27" s="142"/>
      <c r="P27" s="142"/>
      <c r="Q27" s="142"/>
      <c r="R27" s="142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  <c r="AF27" s="142"/>
      <c r="AG27" s="142"/>
      <c r="AH27" s="142"/>
      <c r="AI27" s="142"/>
      <c r="AJ27" s="142"/>
      <c r="AK27" s="142"/>
      <c r="AL27" s="142"/>
      <c r="AM27" s="142"/>
      <c r="AN27" s="142"/>
      <c r="AO27" s="142"/>
      <c r="AP27" s="142"/>
      <c r="AQ27" s="142"/>
      <c r="AR27" s="142"/>
      <c r="AS27" s="142"/>
      <c r="AT27" s="142"/>
      <c r="AU27" s="142"/>
      <c r="AV27" s="142"/>
      <c r="AW27" s="142"/>
      <c r="AX27" s="142"/>
      <c r="AY27" s="142"/>
      <c r="AZ27" s="142"/>
      <c r="BA27" s="142"/>
      <c r="BB27" s="142"/>
      <c r="BC27" s="142"/>
      <c r="BD27" s="142"/>
      <c r="BE27" s="142"/>
      <c r="BF27" s="142"/>
      <c r="BG27" s="142"/>
    </row>
    <row r="28" spans="1:59">
      <c r="A28" s="166" t="s">
        <v>270</v>
      </c>
      <c r="C28" s="108" t="s">
        <v>321</v>
      </c>
      <c r="D28" s="108"/>
      <c r="E28" s="868" t="s">
        <v>806</v>
      </c>
      <c r="F28" s="154"/>
      <c r="G28" s="503">
        <f>'DE Ohio &amp; Kentucky'!J153+'DE Ohio &amp; Kentucky'!J154</f>
        <v>2504044</v>
      </c>
      <c r="K28" s="146"/>
      <c r="L28" s="147"/>
      <c r="M28" s="142"/>
      <c r="N28" s="142"/>
      <c r="O28" s="142"/>
      <c r="P28" s="142"/>
      <c r="Q28" s="142"/>
      <c r="R28" s="142"/>
      <c r="S28" s="142"/>
      <c r="T28" s="142"/>
      <c r="U28" s="142"/>
      <c r="V28" s="142"/>
      <c r="W28" s="142"/>
      <c r="X28" s="142"/>
      <c r="Y28" s="142"/>
      <c r="Z28" s="142"/>
      <c r="AA28" s="142"/>
      <c r="AB28" s="142"/>
      <c r="AC28" s="142"/>
      <c r="AD28" s="142"/>
      <c r="AE28" s="142"/>
      <c r="AF28" s="142"/>
      <c r="AG28" s="142"/>
      <c r="AH28" s="142"/>
      <c r="AI28" s="142"/>
      <c r="AJ28" s="142"/>
      <c r="AK28" s="142"/>
      <c r="AL28" s="142"/>
      <c r="AM28" s="142"/>
      <c r="AN28" s="142"/>
      <c r="AO28" s="142"/>
      <c r="AP28" s="142"/>
      <c r="AQ28" s="142"/>
      <c r="AR28" s="142"/>
      <c r="AS28" s="142"/>
      <c r="AT28" s="142"/>
      <c r="AU28" s="142"/>
      <c r="AV28" s="142"/>
      <c r="AW28" s="142"/>
      <c r="AX28" s="142"/>
      <c r="AY28" s="142"/>
      <c r="AZ28" s="142"/>
      <c r="BA28" s="142"/>
      <c r="BB28" s="142"/>
      <c r="BC28" s="142"/>
      <c r="BD28" s="142"/>
      <c r="BE28" s="142"/>
      <c r="BF28" s="142"/>
      <c r="BG28" s="142"/>
    </row>
    <row r="29" spans="1:59">
      <c r="A29" s="166" t="s">
        <v>271</v>
      </c>
      <c r="C29" s="108" t="s">
        <v>322</v>
      </c>
      <c r="D29" s="108"/>
      <c r="E29" s="868" t="s">
        <v>701</v>
      </c>
      <c r="F29" s="154"/>
      <c r="G29" s="156">
        <f>IF(G28=0,0,G28/G20)</f>
        <v>3.2887631063591638E-3</v>
      </c>
      <c r="I29" s="157">
        <f>G29</f>
        <v>3.2887631063591638E-3</v>
      </c>
      <c r="K29" s="146"/>
      <c r="L29" s="147"/>
      <c r="M29" s="142"/>
      <c r="N29" s="142"/>
      <c r="O29" s="142"/>
      <c r="P29" s="142"/>
      <c r="Q29" s="142"/>
      <c r="R29" s="142"/>
      <c r="S29" s="142"/>
      <c r="T29" s="142"/>
      <c r="U29" s="142"/>
      <c r="V29" s="142"/>
      <c r="W29" s="142"/>
      <c r="X29" s="142"/>
      <c r="Y29" s="142"/>
      <c r="Z29" s="142"/>
      <c r="AA29" s="142"/>
      <c r="AB29" s="142"/>
      <c r="AC29" s="142"/>
      <c r="AD29" s="142"/>
      <c r="AE29" s="142"/>
      <c r="AF29" s="142"/>
      <c r="AG29" s="142"/>
      <c r="AH29" s="142"/>
      <c r="AI29" s="142"/>
      <c r="AJ29" s="142"/>
      <c r="AK29" s="142"/>
      <c r="AL29" s="142"/>
      <c r="AM29" s="142"/>
      <c r="AN29" s="142"/>
      <c r="AO29" s="142"/>
      <c r="AP29" s="142"/>
      <c r="AQ29" s="142"/>
      <c r="AR29" s="142"/>
      <c r="AS29" s="142"/>
      <c r="AT29" s="142"/>
      <c r="AU29" s="142"/>
      <c r="AV29" s="142"/>
      <c r="AW29" s="142"/>
      <c r="AX29" s="142"/>
      <c r="AY29" s="142"/>
      <c r="AZ29" s="142"/>
      <c r="BA29" s="142"/>
      <c r="BB29" s="142"/>
      <c r="BC29" s="142"/>
      <c r="BD29" s="142"/>
      <c r="BE29" s="142"/>
      <c r="BF29" s="142"/>
      <c r="BG29" s="142"/>
    </row>
    <row r="30" spans="1:59">
      <c r="A30" s="153"/>
      <c r="E30" s="868"/>
      <c r="F30" s="154"/>
      <c r="K30" s="146"/>
      <c r="L30" s="147"/>
      <c r="M30" s="142"/>
      <c r="N30" s="142"/>
      <c r="O30" s="142"/>
      <c r="P30" s="142"/>
      <c r="Q30" s="142"/>
      <c r="R30" s="142"/>
      <c r="S30" s="142"/>
      <c r="T30" s="142"/>
      <c r="U30" s="142"/>
      <c r="V30" s="142"/>
      <c r="W30" s="142"/>
      <c r="X30" s="142"/>
      <c r="Y30" s="142"/>
      <c r="Z30" s="142"/>
      <c r="AA30" s="142"/>
      <c r="AB30" s="142"/>
      <c r="AC30" s="142"/>
      <c r="AD30" s="142"/>
      <c r="AE30" s="142"/>
      <c r="AF30" s="142"/>
      <c r="AG30" s="142"/>
      <c r="AH30" s="142"/>
      <c r="AI30" s="142"/>
      <c r="AJ30" s="142"/>
      <c r="AK30" s="142"/>
      <c r="AL30" s="142"/>
      <c r="AM30" s="142"/>
      <c r="AN30" s="142"/>
      <c r="AO30" s="142"/>
      <c r="AP30" s="142"/>
      <c r="AQ30" s="142"/>
      <c r="AR30" s="142"/>
      <c r="AS30" s="142"/>
      <c r="AT30" s="142"/>
      <c r="AU30" s="142"/>
      <c r="AV30" s="142"/>
      <c r="AW30" s="142"/>
      <c r="AX30" s="142"/>
      <c r="AY30" s="142"/>
      <c r="AZ30" s="142"/>
      <c r="BA30" s="142"/>
      <c r="BB30" s="142"/>
      <c r="BC30" s="142"/>
      <c r="BD30" s="142"/>
      <c r="BE30" s="142"/>
      <c r="BF30" s="142"/>
      <c r="BG30" s="142"/>
    </row>
    <row r="31" spans="1:59">
      <c r="A31" s="160"/>
      <c r="C31" s="108" t="s">
        <v>235</v>
      </c>
      <c r="D31" s="108"/>
      <c r="E31" s="866"/>
      <c r="F31" s="114"/>
      <c r="G31" s="112"/>
      <c r="I31" s="112"/>
      <c r="K31" s="146"/>
      <c r="L31" s="147"/>
      <c r="M31" s="142"/>
      <c r="N31" s="142"/>
      <c r="O31" s="142"/>
      <c r="P31" s="142"/>
      <c r="Q31" s="142"/>
      <c r="R31" s="142"/>
      <c r="S31" s="142"/>
      <c r="T31" s="142"/>
      <c r="U31" s="142"/>
      <c r="V31" s="142"/>
      <c r="W31" s="142"/>
      <c r="X31" s="142"/>
      <c r="Y31" s="142"/>
      <c r="Z31" s="142"/>
      <c r="AA31" s="142"/>
      <c r="AB31" s="142"/>
      <c r="AC31" s="142"/>
      <c r="AD31" s="142"/>
      <c r="AE31" s="142"/>
      <c r="AF31" s="142"/>
      <c r="AG31" s="142"/>
      <c r="AH31" s="142"/>
      <c r="AI31" s="142"/>
      <c r="AJ31" s="142"/>
      <c r="AK31" s="142"/>
      <c r="AL31" s="142"/>
      <c r="AM31" s="142"/>
      <c r="AN31" s="142"/>
      <c r="AO31" s="142"/>
      <c r="AP31" s="142"/>
      <c r="AQ31" s="142"/>
      <c r="AR31" s="142"/>
      <c r="AS31" s="142"/>
      <c r="AT31" s="142"/>
      <c r="AU31" s="142"/>
      <c r="AV31" s="142"/>
      <c r="AW31" s="142"/>
      <c r="AX31" s="142"/>
      <c r="AY31" s="142"/>
      <c r="AZ31" s="142"/>
      <c r="BA31" s="142"/>
      <c r="BB31" s="142"/>
      <c r="BC31" s="142"/>
      <c r="BD31" s="142"/>
      <c r="BE31" s="142"/>
      <c r="BF31" s="142"/>
      <c r="BG31" s="142"/>
    </row>
    <row r="32" spans="1:59">
      <c r="A32" s="160" t="s">
        <v>273</v>
      </c>
      <c r="C32" s="108" t="s">
        <v>237</v>
      </c>
      <c r="D32" s="108"/>
      <c r="E32" s="868" t="s">
        <v>807</v>
      </c>
      <c r="F32" s="154"/>
      <c r="G32" s="503">
        <f>'DE Ohio &amp; Kentucky'!J166</f>
        <v>18465287</v>
      </c>
      <c r="K32" s="149"/>
      <c r="L32" s="147"/>
      <c r="M32" s="142"/>
      <c r="N32" s="142"/>
      <c r="O32" s="142"/>
      <c r="P32" s="142"/>
      <c r="Q32" s="142"/>
      <c r="R32" s="142"/>
      <c r="S32" s="142"/>
      <c r="T32" s="142"/>
      <c r="U32" s="142"/>
      <c r="V32" s="142"/>
      <c r="W32" s="142"/>
      <c r="X32" s="142"/>
      <c r="Y32" s="142"/>
      <c r="Z32" s="142"/>
      <c r="AA32" s="142"/>
      <c r="AB32" s="142"/>
      <c r="AC32" s="142"/>
      <c r="AD32" s="142"/>
      <c r="AE32" s="142"/>
      <c r="AF32" s="142"/>
      <c r="AG32" s="142"/>
      <c r="AH32" s="142"/>
      <c r="AI32" s="142"/>
      <c r="AJ32" s="142"/>
      <c r="AK32" s="142"/>
      <c r="AL32" s="142"/>
      <c r="AM32" s="142"/>
      <c r="AN32" s="142"/>
      <c r="AO32" s="142"/>
      <c r="AP32" s="142"/>
      <c r="AQ32" s="142"/>
      <c r="AR32" s="142"/>
      <c r="AS32" s="142"/>
      <c r="AT32" s="142"/>
      <c r="AU32" s="142"/>
      <c r="AV32" s="142"/>
      <c r="AW32" s="142"/>
      <c r="AX32" s="142"/>
      <c r="AY32" s="142"/>
      <c r="AZ32" s="142"/>
      <c r="BA32" s="142"/>
      <c r="BB32" s="142"/>
      <c r="BC32" s="142"/>
      <c r="BD32" s="142"/>
      <c r="BE32" s="142"/>
      <c r="BF32" s="142"/>
      <c r="BG32" s="142"/>
    </row>
    <row r="33" spans="1:59">
      <c r="A33" s="160" t="s">
        <v>275</v>
      </c>
      <c r="C33" s="108" t="s">
        <v>272</v>
      </c>
      <c r="D33" s="108"/>
      <c r="E33" s="868" t="s">
        <v>798</v>
      </c>
      <c r="F33" s="154"/>
      <c r="G33" s="156">
        <f>IF(G32=0,0,G32/G20)</f>
        <v>2.4251951896186123E-2</v>
      </c>
      <c r="I33" s="157">
        <f>G33</f>
        <v>2.4251951896186123E-2</v>
      </c>
      <c r="K33" s="149"/>
      <c r="L33" s="147"/>
      <c r="M33" s="142"/>
      <c r="N33" s="142"/>
      <c r="O33" s="142"/>
      <c r="P33" s="142"/>
      <c r="Q33" s="142"/>
      <c r="R33" s="142"/>
      <c r="S33" s="142"/>
      <c r="T33" s="142"/>
      <c r="U33" s="142"/>
      <c r="V33" s="142"/>
      <c r="W33" s="142"/>
      <c r="X33" s="142"/>
      <c r="Y33" s="142"/>
      <c r="Z33" s="142"/>
      <c r="AA33" s="142"/>
      <c r="AB33" s="142"/>
      <c r="AC33" s="142"/>
      <c r="AD33" s="142"/>
      <c r="AE33" s="142"/>
      <c r="AF33" s="142"/>
      <c r="AG33" s="142"/>
      <c r="AH33" s="142"/>
      <c r="AI33" s="142"/>
      <c r="AJ33" s="142"/>
      <c r="AK33" s="142"/>
      <c r="AL33" s="142"/>
      <c r="AM33" s="142"/>
      <c r="AN33" s="142"/>
      <c r="AO33" s="142"/>
      <c r="AP33" s="142"/>
      <c r="AQ33" s="142"/>
      <c r="AR33" s="142"/>
      <c r="AS33" s="142"/>
      <c r="AT33" s="142"/>
      <c r="AU33" s="142"/>
      <c r="AV33" s="142"/>
      <c r="AW33" s="142"/>
      <c r="AX33" s="142"/>
      <c r="AY33" s="142"/>
      <c r="AZ33" s="142"/>
      <c r="BA33" s="142"/>
      <c r="BB33" s="142"/>
      <c r="BC33" s="142"/>
      <c r="BD33" s="142"/>
      <c r="BE33" s="142"/>
      <c r="BF33" s="142"/>
      <c r="BG33" s="142"/>
    </row>
    <row r="34" spans="1:59">
      <c r="A34" s="160"/>
      <c r="C34" s="108"/>
      <c r="D34" s="108"/>
      <c r="E34" s="868"/>
      <c r="F34" s="154"/>
      <c r="G34" s="112"/>
      <c r="I34" s="112"/>
      <c r="K34" s="146"/>
      <c r="L34" s="147"/>
      <c r="M34" s="142"/>
      <c r="N34" s="142"/>
      <c r="O34" s="142"/>
      <c r="P34" s="142"/>
      <c r="Q34" s="142"/>
      <c r="R34" s="142"/>
      <c r="S34" s="142"/>
      <c r="T34" s="142"/>
      <c r="U34" s="142"/>
      <c r="V34" s="142"/>
      <c r="W34" s="142"/>
      <c r="X34" s="142"/>
      <c r="Y34" s="142"/>
      <c r="Z34" s="142"/>
      <c r="AA34" s="142"/>
      <c r="AB34" s="142"/>
      <c r="AC34" s="142"/>
      <c r="AD34" s="142"/>
      <c r="AE34" s="142"/>
      <c r="AF34" s="142"/>
      <c r="AG34" s="142"/>
      <c r="AH34" s="142"/>
      <c r="AI34" s="142"/>
      <c r="AJ34" s="142"/>
      <c r="AK34" s="142"/>
      <c r="AL34" s="142"/>
      <c r="AM34" s="142"/>
      <c r="AN34" s="142"/>
      <c r="AO34" s="142"/>
      <c r="AP34" s="142"/>
      <c r="AQ34" s="142"/>
      <c r="AR34" s="142"/>
      <c r="AS34" s="142"/>
      <c r="AT34" s="142"/>
      <c r="AU34" s="142"/>
      <c r="AV34" s="142"/>
      <c r="AW34" s="142"/>
      <c r="AX34" s="142"/>
      <c r="AY34" s="142"/>
      <c r="AZ34" s="142"/>
      <c r="BA34" s="142"/>
      <c r="BB34" s="142"/>
      <c r="BC34" s="142"/>
      <c r="BD34" s="142"/>
      <c r="BE34" s="142"/>
      <c r="BF34" s="142"/>
      <c r="BG34" s="142"/>
    </row>
    <row r="35" spans="1:59" ht="15.75">
      <c r="A35" s="162" t="s">
        <v>233</v>
      </c>
      <c r="B35" s="163"/>
      <c r="C35" s="151" t="s">
        <v>274</v>
      </c>
      <c r="D35" s="151"/>
      <c r="E35" s="867" t="s">
        <v>568</v>
      </c>
      <c r="F35" s="148"/>
      <c r="G35" s="164"/>
      <c r="I35" s="165">
        <f>I25+I29+I33</f>
        <v>6.1341535739146746E-2</v>
      </c>
      <c r="K35" s="146"/>
      <c r="L35" s="147"/>
      <c r="M35" s="142"/>
      <c r="N35" s="142"/>
      <c r="O35" s="142"/>
      <c r="P35" s="142"/>
      <c r="Q35" s="142"/>
      <c r="R35" s="142"/>
      <c r="S35" s="142"/>
      <c r="T35" s="142"/>
      <c r="U35" s="142"/>
      <c r="V35" s="142"/>
      <c r="W35" s="142"/>
      <c r="X35" s="142"/>
      <c r="Y35" s="142"/>
      <c r="Z35" s="142"/>
      <c r="AA35" s="142"/>
      <c r="AB35" s="142"/>
      <c r="AC35" s="142"/>
      <c r="AD35" s="142"/>
      <c r="AE35" s="142"/>
      <c r="AF35" s="142"/>
      <c r="AG35" s="142"/>
      <c r="AH35" s="142"/>
      <c r="AI35" s="142"/>
      <c r="AJ35" s="142"/>
      <c r="AK35" s="142"/>
      <c r="AL35" s="142"/>
      <c r="AM35" s="142"/>
      <c r="AN35" s="142"/>
      <c r="AO35" s="142"/>
      <c r="AP35" s="142"/>
      <c r="AQ35" s="142"/>
      <c r="AR35" s="142"/>
      <c r="AS35" s="142"/>
      <c r="AT35" s="142"/>
      <c r="AU35" s="142"/>
      <c r="AV35" s="142"/>
      <c r="AW35" s="142"/>
      <c r="AX35" s="142"/>
      <c r="AY35" s="142"/>
      <c r="AZ35" s="142"/>
      <c r="BA35" s="142"/>
      <c r="BB35" s="142"/>
      <c r="BC35" s="142"/>
      <c r="BD35" s="142"/>
      <c r="BE35" s="142"/>
      <c r="BF35" s="142"/>
      <c r="BG35" s="142"/>
    </row>
    <row r="36" spans="1:59">
      <c r="A36" s="371"/>
      <c r="C36" s="108"/>
      <c r="D36" s="108"/>
      <c r="E36" s="868"/>
      <c r="F36" s="154"/>
      <c r="G36" s="112"/>
      <c r="I36" s="112"/>
      <c r="K36" s="146"/>
      <c r="L36" s="147"/>
      <c r="M36" s="142"/>
      <c r="N36" s="142"/>
      <c r="O36" s="142"/>
      <c r="P36" s="142"/>
      <c r="Q36" s="142"/>
      <c r="R36" s="142"/>
      <c r="S36" s="142"/>
      <c r="T36" s="142"/>
      <c r="U36" s="142"/>
      <c r="V36" s="142"/>
      <c r="W36" s="142"/>
      <c r="X36" s="142"/>
      <c r="Y36" s="142"/>
      <c r="Z36" s="142"/>
      <c r="AA36" s="142"/>
      <c r="AB36" s="142"/>
      <c r="AC36" s="142"/>
      <c r="AD36" s="142"/>
      <c r="AE36" s="142"/>
      <c r="AF36" s="142"/>
      <c r="AG36" s="142"/>
      <c r="AH36" s="142"/>
      <c r="AI36" s="142"/>
      <c r="AJ36" s="142"/>
      <c r="AK36" s="142"/>
      <c r="AL36" s="142"/>
      <c r="AM36" s="142"/>
      <c r="AN36" s="142"/>
      <c r="AO36" s="142"/>
      <c r="AP36" s="142"/>
      <c r="AQ36" s="142"/>
      <c r="AR36" s="142"/>
      <c r="AS36" s="142"/>
      <c r="AT36" s="142"/>
      <c r="AU36" s="142"/>
      <c r="AV36" s="142"/>
      <c r="AW36" s="142"/>
      <c r="AX36" s="142"/>
      <c r="AY36" s="142"/>
      <c r="AZ36" s="142"/>
      <c r="BA36" s="142"/>
      <c r="BB36" s="142"/>
      <c r="BC36" s="142"/>
      <c r="BD36" s="142"/>
      <c r="BE36" s="142"/>
      <c r="BF36" s="142"/>
      <c r="BG36" s="142"/>
    </row>
    <row r="37" spans="1:59">
      <c r="A37" s="166"/>
      <c r="B37" s="167"/>
      <c r="C37" s="112" t="s">
        <v>239</v>
      </c>
      <c r="D37" s="112"/>
      <c r="E37" s="868"/>
      <c r="F37" s="154"/>
      <c r="G37" s="112"/>
      <c r="I37" s="112"/>
      <c r="K37" s="149"/>
      <c r="L37" s="146" t="s">
        <v>12</v>
      </c>
      <c r="M37" s="142"/>
      <c r="N37" s="142"/>
      <c r="O37" s="142"/>
      <c r="P37" s="142"/>
      <c r="Q37" s="142"/>
      <c r="R37" s="142"/>
      <c r="S37" s="142"/>
      <c r="T37" s="142"/>
      <c r="U37" s="142"/>
      <c r="V37" s="142"/>
      <c r="W37" s="142"/>
      <c r="X37" s="142"/>
      <c r="Y37" s="142"/>
      <c r="Z37" s="142"/>
      <c r="AA37" s="142"/>
      <c r="AB37" s="142"/>
      <c r="AC37" s="142"/>
      <c r="AD37" s="142"/>
      <c r="AE37" s="142"/>
      <c r="AF37" s="142"/>
      <c r="AG37" s="142"/>
      <c r="AH37" s="142"/>
      <c r="AI37" s="142"/>
      <c r="AJ37" s="142"/>
      <c r="AK37" s="142"/>
      <c r="AL37" s="142"/>
      <c r="AM37" s="142"/>
      <c r="AN37" s="142"/>
      <c r="AO37" s="142"/>
      <c r="AP37" s="142"/>
      <c r="AQ37" s="142"/>
      <c r="AR37" s="142"/>
      <c r="AS37" s="142"/>
      <c r="AT37" s="142"/>
      <c r="AU37" s="142"/>
      <c r="AV37" s="142"/>
      <c r="AW37" s="142"/>
      <c r="AX37" s="142"/>
      <c r="AY37" s="142"/>
      <c r="AZ37" s="142"/>
      <c r="BA37" s="142"/>
      <c r="BB37" s="142"/>
      <c r="BC37" s="142"/>
      <c r="BD37" s="142"/>
      <c r="BE37" s="142"/>
      <c r="BF37" s="142"/>
      <c r="BG37" s="142"/>
    </row>
    <row r="38" spans="1:59">
      <c r="A38" s="160" t="s">
        <v>234</v>
      </c>
      <c r="B38" s="167"/>
      <c r="C38" s="112" t="s">
        <v>150</v>
      </c>
      <c r="D38" s="112"/>
      <c r="E38" s="868" t="s">
        <v>808</v>
      </c>
      <c r="F38" s="154"/>
      <c r="G38" s="503">
        <f>'DE Ohio &amp; Kentucky'!J179</f>
        <v>12199055.305908976</v>
      </c>
      <c r="I38" s="112"/>
      <c r="K38" s="149"/>
      <c r="L38" s="146"/>
      <c r="M38" s="142"/>
      <c r="N38" s="142"/>
      <c r="O38" s="142"/>
      <c r="P38" s="142"/>
      <c r="Q38" s="142"/>
      <c r="R38" s="142"/>
      <c r="S38" s="142"/>
      <c r="T38" s="142"/>
      <c r="U38" s="142"/>
      <c r="V38" s="142"/>
      <c r="W38" s="142"/>
      <c r="X38" s="142"/>
      <c r="Y38" s="142"/>
      <c r="Z38" s="142"/>
      <c r="AA38" s="142"/>
      <c r="AB38" s="142"/>
      <c r="AC38" s="142"/>
      <c r="AD38" s="142"/>
      <c r="AE38" s="142"/>
      <c r="AF38" s="142"/>
      <c r="AG38" s="142"/>
      <c r="AH38" s="142"/>
      <c r="AI38" s="142"/>
      <c r="AJ38" s="142"/>
      <c r="AK38" s="142"/>
      <c r="AL38" s="142"/>
      <c r="AM38" s="142"/>
      <c r="AN38" s="142"/>
      <c r="AO38" s="142"/>
      <c r="AP38" s="142"/>
      <c r="AQ38" s="142"/>
      <c r="AR38" s="142"/>
      <c r="AS38" s="142"/>
      <c r="AT38" s="142"/>
      <c r="AU38" s="142"/>
      <c r="AV38" s="142"/>
      <c r="AW38" s="142"/>
      <c r="AX38" s="142"/>
      <c r="AY38" s="142"/>
      <c r="AZ38" s="142"/>
      <c r="BA38" s="142"/>
      <c r="BB38" s="142"/>
      <c r="BC38" s="142"/>
      <c r="BD38" s="142"/>
      <c r="BE38" s="142"/>
      <c r="BF38" s="142"/>
      <c r="BG38" s="142"/>
    </row>
    <row r="39" spans="1:59">
      <c r="A39" s="160" t="s">
        <v>236</v>
      </c>
      <c r="B39" s="167"/>
      <c r="C39" s="112" t="s">
        <v>276</v>
      </c>
      <c r="D39" s="112"/>
      <c r="E39" s="868" t="s">
        <v>702</v>
      </c>
      <c r="F39" s="154"/>
      <c r="G39" s="156">
        <f>IF(G38=0,0,G38/G21)</f>
        <v>2.4041599879370209E-2</v>
      </c>
      <c r="I39" s="157">
        <f>G39</f>
        <v>2.4041599879370209E-2</v>
      </c>
      <c r="K39" s="149"/>
      <c r="L39" s="146"/>
      <c r="M39" s="142"/>
      <c r="N39" s="142"/>
      <c r="O39" s="142"/>
      <c r="P39" s="142"/>
      <c r="Q39" s="142"/>
      <c r="R39" s="142"/>
      <c r="S39" s="142"/>
      <c r="T39" s="142"/>
      <c r="U39" s="142"/>
      <c r="V39" s="142"/>
      <c r="W39" s="142"/>
      <c r="X39" s="142"/>
      <c r="Y39" s="142"/>
      <c r="Z39" s="142"/>
      <c r="AA39" s="142"/>
      <c r="AB39" s="142"/>
      <c r="AC39" s="142"/>
      <c r="AD39" s="142"/>
      <c r="AE39" s="142"/>
      <c r="AF39" s="142"/>
      <c r="AG39" s="142"/>
      <c r="AH39" s="142"/>
      <c r="AI39" s="142"/>
      <c r="AJ39" s="142"/>
      <c r="AK39" s="142"/>
      <c r="AL39" s="142"/>
      <c r="AM39" s="142"/>
      <c r="AN39" s="142"/>
      <c r="AO39" s="142"/>
      <c r="AP39" s="142"/>
      <c r="AQ39" s="142"/>
      <c r="AR39" s="142"/>
      <c r="AS39" s="142"/>
      <c r="AT39" s="142"/>
      <c r="AU39" s="142"/>
      <c r="AV39" s="142"/>
      <c r="AW39" s="142"/>
      <c r="AX39" s="142"/>
      <c r="AY39" s="142"/>
      <c r="AZ39" s="142"/>
      <c r="BA39" s="142"/>
      <c r="BB39" s="142"/>
      <c r="BC39" s="142"/>
      <c r="BD39" s="142"/>
      <c r="BE39" s="142"/>
      <c r="BF39" s="142"/>
      <c r="BG39" s="142"/>
    </row>
    <row r="40" spans="1:59">
      <c r="A40" s="160"/>
      <c r="C40" s="112"/>
      <c r="D40" s="112"/>
      <c r="E40" s="868"/>
      <c r="F40" s="154"/>
      <c r="G40" s="112"/>
      <c r="I40" s="112"/>
      <c r="K40" s="140"/>
      <c r="L40" s="147"/>
      <c r="M40" s="142"/>
      <c r="N40" s="142"/>
      <c r="O40" s="142"/>
      <c r="P40" s="142"/>
      <c r="Q40" s="142"/>
      <c r="R40" s="142"/>
      <c r="S40" s="142"/>
      <c r="T40" s="142"/>
      <c r="U40" s="142"/>
      <c r="V40" s="142"/>
      <c r="W40" s="142"/>
      <c r="X40" s="142"/>
      <c r="Y40" s="142"/>
      <c r="Z40" s="142"/>
      <c r="AA40" s="142"/>
      <c r="AB40" s="142"/>
      <c r="AC40" s="142"/>
      <c r="AD40" s="142"/>
      <c r="AE40" s="142"/>
      <c r="AF40" s="142"/>
      <c r="AG40" s="142"/>
      <c r="AH40" s="142"/>
      <c r="AI40" s="142"/>
      <c r="AJ40" s="142"/>
      <c r="AK40" s="142"/>
      <c r="AL40" s="142"/>
      <c r="AM40" s="142"/>
      <c r="AN40" s="142"/>
      <c r="AO40" s="142"/>
      <c r="AP40" s="142"/>
      <c r="AQ40" s="142"/>
      <c r="AR40" s="142"/>
      <c r="AS40" s="142"/>
      <c r="AT40" s="142"/>
      <c r="AU40" s="142"/>
      <c r="AV40" s="142"/>
      <c r="AW40" s="142"/>
      <c r="AX40" s="142"/>
      <c r="AY40" s="142"/>
      <c r="AZ40" s="142"/>
      <c r="BA40" s="142"/>
      <c r="BB40" s="142"/>
      <c r="BC40" s="142"/>
      <c r="BD40" s="142"/>
      <c r="BE40" s="142"/>
      <c r="BF40" s="142"/>
      <c r="BG40" s="142"/>
    </row>
    <row r="41" spans="1:59">
      <c r="A41" s="160"/>
      <c r="C41" s="108" t="s">
        <v>73</v>
      </c>
      <c r="D41" s="108"/>
      <c r="E41" s="869"/>
      <c r="F41" s="168"/>
      <c r="K41" s="146"/>
      <c r="L41" s="147"/>
      <c r="M41" s="142"/>
      <c r="N41" s="142"/>
      <c r="O41" s="142"/>
      <c r="P41" s="142"/>
      <c r="Q41" s="142"/>
      <c r="R41" s="142"/>
      <c r="S41" s="142"/>
      <c r="T41" s="142"/>
      <c r="U41" s="142"/>
      <c r="V41" s="142"/>
      <c r="W41" s="142"/>
      <c r="X41" s="142"/>
      <c r="Y41" s="142"/>
      <c r="Z41" s="142"/>
      <c r="AA41" s="142"/>
      <c r="AB41" s="142"/>
      <c r="AC41" s="142"/>
      <c r="AD41" s="142"/>
      <c r="AE41" s="142"/>
      <c r="AF41" s="142"/>
      <c r="AG41" s="142"/>
      <c r="AH41" s="142"/>
      <c r="AI41" s="142"/>
      <c r="AJ41" s="142"/>
      <c r="AK41" s="142"/>
      <c r="AL41" s="142"/>
      <c r="AM41" s="142"/>
      <c r="AN41" s="142"/>
      <c r="AO41" s="142"/>
      <c r="AP41" s="142"/>
      <c r="AQ41" s="142"/>
      <c r="AR41" s="142"/>
      <c r="AS41" s="142"/>
      <c r="AT41" s="142"/>
      <c r="AU41" s="142"/>
      <c r="AV41" s="142"/>
      <c r="AW41" s="142"/>
      <c r="AX41" s="142"/>
      <c r="AY41" s="142"/>
      <c r="AZ41" s="142"/>
      <c r="BA41" s="142"/>
      <c r="BB41" s="142"/>
      <c r="BC41" s="142"/>
      <c r="BD41" s="142"/>
      <c r="BE41" s="142"/>
      <c r="BF41" s="142"/>
      <c r="BG41" s="142"/>
    </row>
    <row r="42" spans="1:59">
      <c r="A42" s="160" t="s">
        <v>238</v>
      </c>
      <c r="C42" s="108" t="s">
        <v>240</v>
      </c>
      <c r="D42" s="108"/>
      <c r="E42" s="868" t="s">
        <v>809</v>
      </c>
      <c r="F42" s="154"/>
      <c r="G42" s="503">
        <f>'DE Ohio &amp; Kentucky'!J181</f>
        <v>33414648</v>
      </c>
      <c r="I42" s="112"/>
      <c r="K42" s="146"/>
      <c r="L42" s="147"/>
      <c r="M42" s="142"/>
      <c r="N42" s="142"/>
      <c r="O42" s="142"/>
      <c r="P42" s="142"/>
      <c r="Q42" s="142"/>
      <c r="R42" s="142"/>
      <c r="S42" s="142"/>
      <c r="T42" s="142"/>
      <c r="U42" s="142"/>
      <c r="V42" s="142"/>
      <c r="W42" s="142"/>
      <c r="X42" s="142"/>
      <c r="Y42" s="142"/>
      <c r="Z42" s="142"/>
      <c r="AA42" s="142"/>
      <c r="AB42" s="142"/>
      <c r="AC42" s="142"/>
      <c r="AD42" s="142"/>
      <c r="AE42" s="142"/>
      <c r="AF42" s="142"/>
      <c r="AG42" s="142"/>
      <c r="AH42" s="142"/>
      <c r="AI42" s="142"/>
      <c r="AJ42" s="142"/>
      <c r="AK42" s="142"/>
      <c r="AL42" s="142"/>
      <c r="AM42" s="142"/>
      <c r="AN42" s="142"/>
      <c r="AO42" s="142"/>
      <c r="AP42" s="142"/>
      <c r="AQ42" s="142"/>
      <c r="AR42" s="142"/>
      <c r="AS42" s="142"/>
      <c r="AT42" s="142"/>
      <c r="AU42" s="142"/>
      <c r="AV42" s="142"/>
      <c r="AW42" s="142"/>
      <c r="AX42" s="142"/>
      <c r="AY42" s="142"/>
      <c r="AZ42" s="142"/>
      <c r="BA42" s="142"/>
      <c r="BB42" s="142"/>
      <c r="BC42" s="142"/>
      <c r="BD42" s="142"/>
      <c r="BE42" s="142"/>
      <c r="BF42" s="142"/>
      <c r="BG42" s="142"/>
    </row>
    <row r="43" spans="1:59">
      <c r="A43" s="160" t="s">
        <v>323</v>
      </c>
      <c r="B43" s="167"/>
      <c r="C43" s="112" t="s">
        <v>277</v>
      </c>
      <c r="D43" s="112"/>
      <c r="E43" s="868" t="s">
        <v>799</v>
      </c>
      <c r="F43" s="154"/>
      <c r="G43" s="169">
        <f>IF(G42=0,0,G42/G21)</f>
        <v>6.5852771151621511E-2</v>
      </c>
      <c r="I43" s="157">
        <f>G43</f>
        <v>6.5852771151621511E-2</v>
      </c>
      <c r="K43" s="149"/>
      <c r="L43" s="146"/>
      <c r="M43" s="142"/>
      <c r="N43" s="142"/>
      <c r="O43" s="142"/>
      <c r="P43" s="142"/>
      <c r="Q43" s="142"/>
      <c r="R43" s="142"/>
      <c r="S43" s="142"/>
      <c r="T43" s="142"/>
      <c r="U43" s="142"/>
      <c r="V43" s="142"/>
      <c r="W43" s="142"/>
      <c r="X43" s="142"/>
      <c r="Y43" s="142"/>
      <c r="Z43" s="142"/>
      <c r="AA43" s="142"/>
      <c r="AB43" s="142"/>
      <c r="AC43" s="142"/>
      <c r="AD43" s="142"/>
      <c r="AE43" s="142"/>
      <c r="AF43" s="142"/>
      <c r="AG43" s="142"/>
      <c r="AH43" s="142"/>
      <c r="AI43" s="142"/>
      <c r="AJ43" s="142"/>
      <c r="AK43" s="142"/>
      <c r="AL43" s="142"/>
      <c r="AM43" s="142"/>
      <c r="AN43" s="142"/>
      <c r="AO43" s="142"/>
      <c r="AP43" s="142"/>
      <c r="AQ43" s="142"/>
      <c r="AR43" s="142"/>
      <c r="AS43" s="142"/>
      <c r="AT43" s="142"/>
      <c r="AU43" s="142"/>
      <c r="AV43" s="142"/>
      <c r="AW43" s="142"/>
      <c r="AX43" s="142"/>
      <c r="AY43" s="142"/>
      <c r="AZ43" s="142"/>
      <c r="BA43" s="142"/>
      <c r="BB43" s="142"/>
      <c r="BC43" s="142"/>
      <c r="BD43" s="142"/>
      <c r="BE43" s="142"/>
      <c r="BF43" s="142"/>
      <c r="BG43" s="142"/>
    </row>
    <row r="44" spans="1:59">
      <c r="A44" s="160"/>
      <c r="C44" s="108"/>
      <c r="D44" s="108"/>
      <c r="E44" s="868"/>
      <c r="F44" s="154"/>
      <c r="G44" s="112"/>
      <c r="I44" s="112"/>
      <c r="K44" s="146"/>
      <c r="L44" s="147"/>
      <c r="M44" s="142"/>
      <c r="N44" s="142"/>
      <c r="O44" s="142"/>
      <c r="P44" s="142"/>
      <c r="Q44" s="142"/>
      <c r="R44" s="142"/>
      <c r="S44" s="142"/>
      <c r="T44" s="142"/>
      <c r="U44" s="142"/>
      <c r="V44" s="142"/>
      <c r="W44" s="142"/>
      <c r="X44" s="142"/>
      <c r="Y44" s="142"/>
      <c r="Z44" s="142"/>
      <c r="AA44" s="142"/>
      <c r="AB44" s="142"/>
      <c r="AC44" s="142"/>
      <c r="AD44" s="142"/>
      <c r="AE44" s="142"/>
      <c r="AF44" s="142"/>
      <c r="AG44" s="142"/>
      <c r="AH44" s="142"/>
      <c r="AI44" s="142"/>
      <c r="AJ44" s="142"/>
      <c r="AK44" s="142"/>
      <c r="AL44" s="142"/>
      <c r="AM44" s="142"/>
      <c r="AN44" s="142"/>
      <c r="AO44" s="142"/>
      <c r="AP44" s="142"/>
      <c r="AQ44" s="142"/>
      <c r="AR44" s="142"/>
      <c r="AS44" s="142"/>
      <c r="AT44" s="142"/>
      <c r="AU44" s="142"/>
      <c r="AV44" s="142"/>
      <c r="AW44" s="142"/>
      <c r="AX44" s="142"/>
      <c r="AY44" s="142"/>
      <c r="AZ44" s="142"/>
      <c r="BA44" s="142"/>
      <c r="BB44" s="142"/>
      <c r="BC44" s="142"/>
      <c r="BD44" s="142"/>
      <c r="BE44" s="142"/>
      <c r="BF44" s="142"/>
      <c r="BG44" s="142"/>
    </row>
    <row r="45" spans="1:59" ht="15.75">
      <c r="A45" s="162" t="s">
        <v>324</v>
      </c>
      <c r="B45" s="163"/>
      <c r="C45" s="151" t="s">
        <v>278</v>
      </c>
      <c r="D45" s="151"/>
      <c r="E45" s="867" t="s">
        <v>419</v>
      </c>
      <c r="F45" s="148"/>
      <c r="G45" s="164"/>
      <c r="I45" s="165">
        <f>I39+I43</f>
        <v>8.9894371030991724E-2</v>
      </c>
      <c r="K45" s="146"/>
      <c r="L45" s="147"/>
      <c r="M45" s="142"/>
      <c r="N45" s="142"/>
      <c r="O45" s="142"/>
      <c r="P45" s="142"/>
      <c r="Q45" s="142"/>
      <c r="R45" s="142"/>
      <c r="S45" s="142"/>
      <c r="T45" s="142"/>
      <c r="U45" s="142"/>
      <c r="V45" s="142"/>
      <c r="W45" s="142"/>
      <c r="X45" s="142"/>
      <c r="Y45" s="142"/>
      <c r="Z45" s="142"/>
      <c r="AA45" s="142"/>
      <c r="AB45" s="142"/>
      <c r="AC45" s="142"/>
      <c r="AD45" s="142"/>
      <c r="AE45" s="142"/>
      <c r="AF45" s="142"/>
      <c r="AG45" s="142"/>
      <c r="AH45" s="142"/>
      <c r="AI45" s="142"/>
      <c r="AJ45" s="142"/>
      <c r="AK45" s="142"/>
      <c r="AL45" s="142"/>
      <c r="AM45" s="142"/>
      <c r="AN45" s="142"/>
      <c r="AO45" s="142"/>
      <c r="AP45" s="142"/>
      <c r="AQ45" s="142"/>
      <c r="AR45" s="142"/>
      <c r="AS45" s="142"/>
      <c r="AT45" s="142"/>
      <c r="AU45" s="142"/>
      <c r="AV45" s="142"/>
      <c r="AW45" s="142"/>
      <c r="AX45" s="142"/>
      <c r="AY45" s="142"/>
      <c r="AZ45" s="142"/>
      <c r="BA45" s="142"/>
      <c r="BB45" s="142"/>
      <c r="BC45" s="142"/>
      <c r="BD45" s="142"/>
      <c r="BE45" s="142"/>
      <c r="BF45" s="142"/>
      <c r="BG45" s="142"/>
    </row>
    <row r="46" spans="1:59">
      <c r="K46" s="146"/>
      <c r="L46" s="147"/>
      <c r="M46" s="142"/>
      <c r="N46" s="142"/>
      <c r="O46" s="142"/>
      <c r="P46" s="142"/>
      <c r="Q46" s="142"/>
      <c r="R46" s="142"/>
      <c r="S46" s="142"/>
      <c r="T46" s="142"/>
      <c r="U46" s="142"/>
      <c r="V46" s="142"/>
      <c r="W46" s="142"/>
      <c r="X46" s="142"/>
      <c r="Y46" s="142"/>
      <c r="Z46" s="142"/>
      <c r="AA46" s="142"/>
      <c r="AB46" s="142"/>
      <c r="AC46" s="142"/>
      <c r="AD46" s="142"/>
      <c r="AE46" s="142"/>
      <c r="AF46" s="142"/>
      <c r="AG46" s="142"/>
      <c r="AH46" s="142"/>
      <c r="AI46" s="142"/>
      <c r="AJ46" s="142"/>
      <c r="AK46" s="142"/>
      <c r="AL46" s="142"/>
      <c r="AM46" s="142"/>
      <c r="AN46" s="142"/>
      <c r="AO46" s="142"/>
      <c r="AP46" s="142"/>
      <c r="AQ46" s="142"/>
      <c r="AR46" s="142"/>
      <c r="AS46" s="142"/>
      <c r="AT46" s="142"/>
      <c r="AU46" s="142"/>
      <c r="AV46" s="142"/>
      <c r="AW46" s="142"/>
      <c r="AX46" s="142"/>
      <c r="AY46" s="142"/>
      <c r="AZ46" s="142"/>
      <c r="BA46" s="142"/>
      <c r="BB46" s="142"/>
      <c r="BC46" s="142"/>
      <c r="BD46" s="142"/>
      <c r="BE46" s="142"/>
      <c r="BF46" s="142"/>
      <c r="BG46" s="142"/>
    </row>
    <row r="47" spans="1:59">
      <c r="A47" s="172"/>
      <c r="B47" s="142"/>
      <c r="C47" s="166"/>
      <c r="D47" s="166"/>
      <c r="E47" s="114"/>
      <c r="F47" s="114"/>
      <c r="G47" s="112"/>
      <c r="H47" s="107"/>
      <c r="I47" s="107"/>
      <c r="J47" s="156"/>
      <c r="K47" s="161"/>
      <c r="L47" s="146"/>
      <c r="M47" s="142"/>
      <c r="N47" s="142"/>
      <c r="O47" s="142"/>
      <c r="P47" s="142"/>
      <c r="Q47" s="142"/>
      <c r="R47" s="142"/>
      <c r="S47" s="142"/>
      <c r="T47" s="142"/>
      <c r="U47" s="142"/>
      <c r="V47" s="142"/>
      <c r="W47" s="142"/>
      <c r="X47" s="142"/>
      <c r="Y47" s="142"/>
      <c r="Z47" s="142"/>
      <c r="AA47" s="142"/>
      <c r="AB47" s="142"/>
      <c r="AC47" s="142"/>
      <c r="AD47" s="142"/>
      <c r="AE47" s="142"/>
      <c r="AF47" s="142"/>
      <c r="AG47" s="142"/>
      <c r="AH47" s="142"/>
      <c r="AI47" s="142"/>
      <c r="AJ47" s="142"/>
      <c r="AK47" s="142"/>
      <c r="AL47" s="142"/>
      <c r="AM47" s="142"/>
      <c r="AN47" s="142"/>
      <c r="AO47" s="142"/>
      <c r="AP47" s="142"/>
      <c r="AQ47" s="142"/>
      <c r="AR47" s="142"/>
      <c r="AS47" s="142"/>
      <c r="AT47" s="142"/>
      <c r="AU47" s="142"/>
      <c r="AV47" s="142"/>
      <c r="AW47" s="142"/>
      <c r="AX47" s="142"/>
      <c r="AY47" s="142"/>
      <c r="AZ47" s="142"/>
      <c r="BA47" s="142"/>
      <c r="BB47" s="142"/>
      <c r="BC47" s="142"/>
      <c r="BD47" s="142"/>
      <c r="BE47" s="142"/>
      <c r="BF47" s="142"/>
      <c r="BG47" s="142"/>
    </row>
    <row r="48" spans="1:59">
      <c r="A48" s="143"/>
      <c r="C48" s="107"/>
      <c r="D48" s="107"/>
      <c r="E48" s="107"/>
      <c r="F48" s="107"/>
      <c r="G48" s="112"/>
      <c r="H48" s="107"/>
      <c r="I48" s="107"/>
      <c r="J48" s="107"/>
      <c r="K48" s="149"/>
      <c r="L48" s="146" t="s">
        <v>12</v>
      </c>
      <c r="M48" s="142"/>
      <c r="N48" s="142"/>
      <c r="O48" s="142"/>
      <c r="P48" s="142"/>
      <c r="Q48" s="142"/>
      <c r="R48" s="142"/>
      <c r="S48" s="142"/>
      <c r="T48" s="142"/>
      <c r="U48" s="142"/>
      <c r="V48" s="142"/>
      <c r="W48" s="142"/>
      <c r="X48" s="142"/>
      <c r="Y48" s="142"/>
      <c r="Z48" s="142"/>
      <c r="AA48" s="142"/>
      <c r="AB48" s="142"/>
      <c r="AC48" s="142"/>
      <c r="AD48" s="142"/>
      <c r="AE48" s="142"/>
      <c r="AF48" s="142"/>
      <c r="AG48" s="142"/>
      <c r="AH48" s="142"/>
      <c r="AI48" s="142"/>
      <c r="AJ48" s="142"/>
      <c r="AK48" s="142"/>
      <c r="AL48" s="142"/>
      <c r="AM48" s="142"/>
      <c r="AN48" s="142"/>
      <c r="AO48" s="142"/>
      <c r="AP48" s="142"/>
      <c r="AQ48" s="142"/>
      <c r="AR48" s="142"/>
      <c r="AS48" s="142"/>
      <c r="AT48" s="142"/>
      <c r="AU48" s="142"/>
      <c r="AV48" s="142"/>
      <c r="AW48" s="142"/>
      <c r="AX48" s="142"/>
      <c r="AY48" s="142"/>
      <c r="AZ48" s="142"/>
      <c r="BA48" s="142"/>
      <c r="BB48" s="142"/>
      <c r="BC48" s="142"/>
      <c r="BD48" s="142"/>
      <c r="BE48" s="142"/>
      <c r="BF48" s="142"/>
      <c r="BG48" s="142"/>
    </row>
    <row r="49" spans="11:59">
      <c r="X49" s="445" t="s">
        <v>369</v>
      </c>
    </row>
    <row r="50" spans="11:59">
      <c r="X50" s="445" t="s">
        <v>421</v>
      </c>
    </row>
    <row r="51" spans="11:59">
      <c r="X51" s="173" t="s">
        <v>241</v>
      </c>
    </row>
    <row r="52" spans="11:59">
      <c r="K52" s="143"/>
      <c r="M52" s="107"/>
      <c r="N52" s="107"/>
      <c r="O52" s="107"/>
      <c r="P52" s="107"/>
      <c r="Q52" s="112"/>
      <c r="R52" s="107"/>
      <c r="S52" s="107"/>
      <c r="T52" s="107"/>
      <c r="U52" s="107"/>
      <c r="W52" s="112"/>
      <c r="X52" s="173" t="str">
        <f>I4</f>
        <v>For the 12 months ended: 12/31/2015</v>
      </c>
      <c r="Y52" s="142"/>
      <c r="Z52" s="142"/>
      <c r="AA52" s="142"/>
      <c r="AB52" s="142"/>
      <c r="AC52" s="142"/>
      <c r="AD52" s="142"/>
      <c r="AE52" s="142"/>
      <c r="AF52" s="142"/>
      <c r="AG52" s="142"/>
      <c r="AH52" s="142"/>
      <c r="AI52" s="142"/>
      <c r="AJ52" s="142"/>
      <c r="AK52" s="142"/>
      <c r="AL52" s="142"/>
      <c r="AM52" s="142"/>
      <c r="AN52" s="142"/>
      <c r="AO52" s="142"/>
      <c r="AP52" s="142"/>
      <c r="AQ52" s="142"/>
      <c r="AR52" s="142"/>
      <c r="AS52" s="142"/>
      <c r="AT52" s="142"/>
      <c r="AU52" s="142"/>
      <c r="AV52" s="142"/>
      <c r="AW52" s="142"/>
      <c r="AX52" s="142"/>
      <c r="AY52" s="142"/>
      <c r="AZ52" s="142"/>
      <c r="BA52" s="142"/>
      <c r="BB52" s="142"/>
      <c r="BC52" s="142"/>
      <c r="BD52" s="142"/>
      <c r="BE52" s="142"/>
      <c r="BF52" s="142"/>
      <c r="BG52" s="142"/>
    </row>
    <row r="53" spans="11:59">
      <c r="K53" s="143"/>
      <c r="M53" s="108"/>
      <c r="N53" s="107"/>
      <c r="O53" s="107"/>
      <c r="P53" s="107"/>
      <c r="Q53" s="112"/>
      <c r="R53" s="107"/>
      <c r="S53" s="107"/>
      <c r="T53" s="107"/>
      <c r="U53" s="107"/>
      <c r="W53" s="112"/>
      <c r="Y53" s="142"/>
      <c r="Z53" s="142"/>
      <c r="AA53" s="142"/>
      <c r="AB53" s="142"/>
      <c r="AC53" s="142"/>
      <c r="AD53" s="142"/>
      <c r="AE53" s="142"/>
      <c r="AF53" s="142"/>
      <c r="AG53" s="142"/>
      <c r="AH53" s="142"/>
      <c r="AI53" s="142"/>
      <c r="AJ53" s="142"/>
      <c r="AK53" s="142"/>
      <c r="AL53" s="142"/>
      <c r="AM53" s="142"/>
      <c r="AN53" s="142"/>
      <c r="AO53" s="142"/>
      <c r="AP53" s="142"/>
      <c r="AQ53" s="142"/>
      <c r="AR53" s="142"/>
      <c r="AS53" s="142"/>
      <c r="AT53" s="142"/>
      <c r="AU53" s="142"/>
      <c r="AV53" s="142"/>
      <c r="AW53" s="142"/>
      <c r="AX53" s="142"/>
      <c r="AY53" s="142"/>
      <c r="AZ53" s="142"/>
      <c r="BA53" s="142"/>
      <c r="BB53" s="142"/>
      <c r="BC53" s="142"/>
      <c r="BD53" s="142"/>
      <c r="BE53" s="142"/>
      <c r="BF53" s="142"/>
      <c r="BG53" s="142"/>
    </row>
    <row r="54" spans="11:59">
      <c r="K54" s="224" t="str">
        <f>A6</f>
        <v>Rate Formula Template</v>
      </c>
      <c r="L54" s="283"/>
      <c r="M54" s="283"/>
      <c r="N54" s="223"/>
      <c r="O54" s="224"/>
      <c r="P54" s="224"/>
      <c r="Q54" s="283"/>
      <c r="R54" s="224"/>
      <c r="S54" s="224"/>
      <c r="T54" s="224"/>
      <c r="U54" s="224"/>
      <c r="V54" s="283"/>
      <c r="W54" s="222"/>
      <c r="X54" s="283"/>
      <c r="Y54" s="142"/>
      <c r="Z54" s="142"/>
      <c r="AA54" s="142"/>
      <c r="AB54" s="142"/>
      <c r="AC54" s="142"/>
      <c r="AD54" s="142"/>
      <c r="AE54" s="142"/>
      <c r="AF54" s="142"/>
      <c r="AG54" s="142"/>
      <c r="AH54" s="142"/>
      <c r="AI54" s="142"/>
      <c r="AJ54" s="142"/>
      <c r="AK54" s="142"/>
      <c r="AL54" s="142"/>
      <c r="AM54" s="142"/>
      <c r="AN54" s="142"/>
      <c r="AO54" s="142"/>
      <c r="AP54" s="142"/>
      <c r="AQ54" s="142"/>
      <c r="AR54" s="142"/>
      <c r="AS54" s="142"/>
      <c r="AT54" s="142"/>
      <c r="AU54" s="142"/>
      <c r="AV54" s="142"/>
      <c r="AW54" s="142"/>
      <c r="AX54" s="142"/>
      <c r="AY54" s="142"/>
      <c r="AZ54" s="142"/>
      <c r="BA54" s="142"/>
      <c r="BB54" s="142"/>
      <c r="BC54" s="142"/>
      <c r="BD54" s="142"/>
      <c r="BE54" s="142"/>
      <c r="BF54" s="142"/>
      <c r="BG54" s="142"/>
    </row>
    <row r="55" spans="11:59">
      <c r="K55" s="224" t="str">
        <f>A7</f>
        <v>Utilizing Attachment H-22A Data</v>
      </c>
      <c r="L55" s="283"/>
      <c r="M55" s="223"/>
      <c r="N55" s="223"/>
      <c r="O55" s="224"/>
      <c r="P55" s="224"/>
      <c r="Q55" s="283"/>
      <c r="R55" s="224"/>
      <c r="S55" s="224"/>
      <c r="T55" s="224"/>
      <c r="U55" s="224"/>
      <c r="V55" s="222"/>
      <c r="W55" s="222"/>
      <c r="X55" s="283"/>
      <c r="Y55" s="142"/>
      <c r="Z55" s="142"/>
      <c r="AA55" s="142"/>
      <c r="AB55" s="142"/>
      <c r="AC55" s="142"/>
      <c r="AD55" s="142"/>
      <c r="AE55" s="142"/>
      <c r="AF55" s="142"/>
      <c r="AG55" s="142"/>
      <c r="AH55" s="142"/>
      <c r="AI55" s="142"/>
      <c r="AJ55" s="142"/>
      <c r="AK55" s="142"/>
      <c r="AL55" s="142"/>
      <c r="AM55" s="142"/>
      <c r="AN55" s="142"/>
      <c r="AO55" s="142"/>
      <c r="AP55" s="142"/>
      <c r="AQ55" s="142"/>
      <c r="AR55" s="142"/>
      <c r="AS55" s="142"/>
      <c r="AT55" s="142"/>
      <c r="AU55" s="142"/>
      <c r="AV55" s="142"/>
      <c r="AW55" s="142"/>
      <c r="AX55" s="142"/>
      <c r="AY55" s="142"/>
      <c r="AZ55" s="142"/>
      <c r="BA55" s="142"/>
      <c r="BB55" s="142"/>
      <c r="BC55" s="142"/>
      <c r="BD55" s="142"/>
      <c r="BE55" s="142"/>
      <c r="BF55" s="142"/>
      <c r="BG55" s="142"/>
    </row>
    <row r="56" spans="11:59" ht="14.25" customHeight="1">
      <c r="K56" s="282"/>
      <c r="M56" s="107"/>
      <c r="N56" s="107"/>
      <c r="O56" s="107"/>
      <c r="P56" s="107"/>
      <c r="R56" s="224"/>
      <c r="S56" s="107"/>
      <c r="T56" s="107"/>
      <c r="U56" s="107"/>
      <c r="W56" s="112"/>
      <c r="Y56" s="142"/>
      <c r="Z56" s="142"/>
      <c r="AA56" s="142"/>
      <c r="AB56" s="142"/>
      <c r="AC56" s="142"/>
      <c r="AD56" s="142"/>
      <c r="AE56" s="142"/>
      <c r="AF56" s="142"/>
      <c r="AG56" s="142"/>
      <c r="AH56" s="142"/>
      <c r="AI56" s="142"/>
      <c r="AJ56" s="142"/>
      <c r="AK56" s="142"/>
      <c r="AL56" s="142"/>
      <c r="AM56" s="142"/>
      <c r="AN56" s="142"/>
      <c r="AO56" s="142"/>
      <c r="AP56" s="142"/>
      <c r="AQ56" s="142"/>
      <c r="AR56" s="142"/>
      <c r="AS56" s="142"/>
      <c r="AT56" s="142"/>
      <c r="AU56" s="142"/>
      <c r="AV56" s="142"/>
      <c r="AW56" s="142"/>
      <c r="AX56" s="142"/>
      <c r="AY56" s="142"/>
      <c r="AZ56" s="142"/>
      <c r="BA56" s="142"/>
      <c r="BB56" s="142"/>
      <c r="BC56" s="142"/>
      <c r="BD56" s="142"/>
      <c r="BE56" s="142"/>
      <c r="BF56" s="142"/>
      <c r="BG56" s="142"/>
    </row>
    <row r="57" spans="11:59">
      <c r="K57" s="224" t="str">
        <f>A9</f>
        <v>Duke Energy Ohio and Duke Energy Kentucky</v>
      </c>
      <c r="L57" s="283"/>
      <c r="M57" s="283"/>
      <c r="N57" s="283"/>
      <c r="O57" s="224"/>
      <c r="P57" s="224"/>
      <c r="Q57" s="283"/>
      <c r="R57" s="224"/>
      <c r="S57" s="224"/>
      <c r="T57" s="224"/>
      <c r="U57" s="224"/>
      <c r="V57" s="224"/>
      <c r="W57" s="222"/>
      <c r="X57" s="222"/>
      <c r="Y57" s="142"/>
      <c r="Z57" s="142"/>
      <c r="AA57" s="142"/>
      <c r="AB57" s="142"/>
      <c r="AC57" s="142"/>
      <c r="AD57" s="142"/>
      <c r="AE57" s="142"/>
      <c r="AF57" s="142"/>
      <c r="AG57" s="142"/>
      <c r="AH57" s="142"/>
      <c r="AI57" s="142"/>
      <c r="AJ57" s="142"/>
      <c r="AK57" s="142"/>
      <c r="AL57" s="142"/>
      <c r="AM57" s="142"/>
      <c r="AN57" s="142"/>
      <c r="AO57" s="142"/>
      <c r="AP57" s="142"/>
      <c r="AQ57" s="142"/>
      <c r="AR57" s="142"/>
      <c r="AS57" s="142"/>
      <c r="AT57" s="142"/>
      <c r="AU57" s="142"/>
      <c r="AV57" s="142"/>
      <c r="AW57" s="142"/>
      <c r="AX57" s="142"/>
      <c r="AY57" s="142"/>
      <c r="AZ57" s="142"/>
      <c r="BA57" s="142"/>
      <c r="BB57" s="142"/>
      <c r="BC57" s="142"/>
      <c r="BD57" s="142"/>
      <c r="BE57" s="142"/>
      <c r="BF57" s="142"/>
      <c r="BG57" s="142"/>
    </row>
    <row r="58" spans="11:59">
      <c r="K58" s="224" t="str">
        <f>A10</f>
        <v>RTEP - Transmission Enhancement Charges</v>
      </c>
      <c r="L58" s="283"/>
      <c r="M58" s="283"/>
      <c r="N58" s="283"/>
      <c r="O58" s="223"/>
      <c r="P58" s="223"/>
      <c r="Q58" s="223"/>
      <c r="R58" s="223"/>
      <c r="S58" s="223"/>
      <c r="T58" s="223"/>
      <c r="U58" s="223"/>
      <c r="V58" s="223"/>
      <c r="W58" s="223"/>
      <c r="X58" s="223"/>
      <c r="Y58" s="142"/>
      <c r="Z58" s="142"/>
      <c r="AA58" s="142"/>
      <c r="AB58" s="142"/>
      <c r="AC58" s="142"/>
      <c r="AD58" s="142"/>
      <c r="AE58" s="142"/>
      <c r="AF58" s="142"/>
      <c r="AG58" s="142"/>
      <c r="AH58" s="142"/>
      <c r="AI58" s="142"/>
      <c r="AJ58" s="142"/>
      <c r="AK58" s="142"/>
      <c r="AL58" s="142"/>
      <c r="AM58" s="142"/>
      <c r="AN58" s="142"/>
      <c r="AO58" s="142"/>
      <c r="AP58" s="142"/>
      <c r="AQ58" s="142"/>
      <c r="AR58" s="142"/>
      <c r="AS58" s="142"/>
      <c r="AT58" s="142"/>
      <c r="AU58" s="142"/>
      <c r="AV58" s="142"/>
      <c r="AW58" s="142"/>
      <c r="AX58" s="142"/>
      <c r="AY58" s="142"/>
      <c r="AZ58" s="142"/>
      <c r="BA58" s="142"/>
      <c r="BB58" s="142"/>
      <c r="BC58" s="142"/>
      <c r="BD58" s="142"/>
      <c r="BE58" s="142"/>
      <c r="BF58" s="142"/>
      <c r="BG58" s="142"/>
    </row>
    <row r="59" spans="11:59">
      <c r="K59" s="224"/>
      <c r="L59" s="283"/>
      <c r="M59" s="283"/>
      <c r="N59" s="283"/>
      <c r="O59" s="223"/>
      <c r="P59" s="223"/>
      <c r="Q59" s="223"/>
      <c r="R59" s="223"/>
      <c r="S59" s="223"/>
      <c r="T59" s="223"/>
      <c r="U59" s="223"/>
      <c r="V59" s="223"/>
      <c r="W59" s="223"/>
      <c r="X59" s="223"/>
      <c r="Y59" s="142"/>
      <c r="Z59" s="142"/>
      <c r="AA59" s="142"/>
      <c r="AB59" s="142"/>
      <c r="AC59" s="142"/>
      <c r="AD59" s="142"/>
      <c r="AE59" s="142"/>
      <c r="AF59" s="142"/>
      <c r="AG59" s="142"/>
      <c r="AH59" s="142"/>
      <c r="AI59" s="142"/>
      <c r="AJ59" s="142"/>
      <c r="AK59" s="142"/>
      <c r="AL59" s="142"/>
      <c r="AM59" s="142"/>
      <c r="AN59" s="142"/>
      <c r="AO59" s="142"/>
      <c r="AP59" s="142"/>
      <c r="AQ59" s="142"/>
      <c r="AR59" s="142"/>
      <c r="AS59" s="142"/>
      <c r="AT59" s="142"/>
      <c r="AU59" s="142"/>
      <c r="AV59" s="142"/>
      <c r="AW59" s="142"/>
      <c r="AX59" s="142"/>
      <c r="AY59" s="142"/>
      <c r="AZ59" s="142"/>
      <c r="BA59" s="142"/>
      <c r="BB59" s="142"/>
      <c r="BC59" s="142"/>
      <c r="BD59" s="142"/>
      <c r="BE59" s="142"/>
      <c r="BF59" s="142"/>
      <c r="BG59" s="142"/>
    </row>
    <row r="60" spans="11:59" ht="15.75">
      <c r="K60" s="284" t="s">
        <v>333</v>
      </c>
      <c r="L60" s="283"/>
      <c r="M60" s="224"/>
      <c r="N60" s="224"/>
      <c r="O60" s="283"/>
      <c r="P60" s="284"/>
      <c r="Q60" s="283"/>
      <c r="R60" s="223"/>
      <c r="S60" s="223"/>
      <c r="T60" s="223"/>
      <c r="U60" s="223"/>
      <c r="V60" s="223"/>
      <c r="W60" s="222"/>
      <c r="X60" s="222"/>
      <c r="Y60" s="142"/>
      <c r="Z60" s="142"/>
      <c r="AA60" s="142"/>
      <c r="AB60" s="142"/>
      <c r="AC60" s="142"/>
      <c r="AD60" s="142"/>
      <c r="AE60" s="142"/>
      <c r="AF60" s="142"/>
      <c r="AG60" s="142"/>
      <c r="AH60" s="142"/>
      <c r="AI60" s="142"/>
      <c r="AJ60" s="142"/>
      <c r="AK60" s="142"/>
      <c r="AL60" s="142"/>
      <c r="AM60" s="142"/>
      <c r="AN60" s="142"/>
      <c r="AO60" s="142"/>
      <c r="AP60" s="142"/>
      <c r="AQ60" s="142"/>
      <c r="AR60" s="142"/>
      <c r="AS60" s="142"/>
      <c r="AT60" s="142"/>
      <c r="AU60" s="142"/>
      <c r="AV60" s="142"/>
      <c r="AW60" s="142"/>
      <c r="AX60" s="142"/>
      <c r="AY60" s="142"/>
      <c r="AZ60" s="142"/>
      <c r="BA60" s="142"/>
      <c r="BB60" s="142"/>
      <c r="BC60" s="142"/>
      <c r="BD60" s="142"/>
      <c r="BE60" s="142"/>
      <c r="BF60" s="142"/>
      <c r="BG60" s="142"/>
    </row>
    <row r="61" spans="11:59" ht="15.75">
      <c r="K61" s="143"/>
      <c r="M61" s="107"/>
      <c r="N61" s="107"/>
      <c r="O61" s="151"/>
      <c r="P61" s="151"/>
      <c r="R61" s="111"/>
      <c r="S61" s="111"/>
      <c r="T61" s="111"/>
      <c r="U61" s="111"/>
      <c r="V61" s="111"/>
      <c r="W61" s="112"/>
      <c r="X61" s="112"/>
      <c r="Y61" s="142"/>
      <c r="Z61" s="142"/>
      <c r="AA61" s="142"/>
      <c r="AB61" s="142"/>
      <c r="AC61" s="142"/>
      <c r="AD61" s="142"/>
      <c r="AE61" s="142"/>
      <c r="AF61" s="142"/>
      <c r="AG61" s="142"/>
      <c r="AH61" s="142"/>
      <c r="AI61" s="142"/>
      <c r="AJ61" s="142"/>
      <c r="AK61" s="142"/>
      <c r="AL61" s="142"/>
      <c r="AM61" s="142"/>
      <c r="AN61" s="142"/>
      <c r="AO61" s="142"/>
      <c r="AP61" s="142"/>
      <c r="AQ61" s="142"/>
      <c r="AR61" s="142"/>
      <c r="AS61" s="142"/>
      <c r="AT61" s="142"/>
      <c r="AU61" s="142"/>
      <c r="AV61" s="142"/>
      <c r="AW61" s="142"/>
      <c r="AX61" s="142"/>
      <c r="AY61" s="142"/>
      <c r="AZ61" s="142"/>
      <c r="BA61" s="142"/>
      <c r="BB61" s="142"/>
      <c r="BC61" s="142"/>
      <c r="BD61" s="142"/>
      <c r="BE61" s="142"/>
      <c r="BF61" s="142"/>
      <c r="BG61" s="142"/>
    </row>
    <row r="62" spans="11:59" ht="15.75">
      <c r="K62" s="143"/>
      <c r="M62" s="174">
        <v>-1</v>
      </c>
      <c r="N62" s="174">
        <v>-2</v>
      </c>
      <c r="O62" s="174">
        <v>-3</v>
      </c>
      <c r="P62" s="174">
        <v>-4</v>
      </c>
      <c r="Q62" s="174">
        <v>-5</v>
      </c>
      <c r="R62" s="174">
        <v>-6</v>
      </c>
      <c r="S62" s="174">
        <v>-7</v>
      </c>
      <c r="T62" s="174">
        <v>-8</v>
      </c>
      <c r="U62" s="174">
        <v>-9</v>
      </c>
      <c r="V62" s="174">
        <v>-10</v>
      </c>
      <c r="W62" s="174">
        <v>-11</v>
      </c>
      <c r="X62" s="174">
        <v>-12</v>
      </c>
      <c r="Y62" s="142"/>
      <c r="Z62" s="142"/>
      <c r="AA62" s="142"/>
      <c r="AB62" s="142"/>
      <c r="AC62" s="142"/>
      <c r="AD62" s="142"/>
      <c r="AE62" s="142"/>
      <c r="AF62" s="142"/>
      <c r="AG62" s="142"/>
      <c r="AH62" s="142"/>
      <c r="AI62" s="142"/>
      <c r="AJ62" s="142"/>
      <c r="AK62" s="142"/>
      <c r="AL62" s="142"/>
      <c r="AM62" s="142"/>
      <c r="AN62" s="142"/>
      <c r="AO62" s="142"/>
      <c r="AP62" s="142"/>
      <c r="AQ62" s="142"/>
      <c r="AR62" s="142"/>
      <c r="AS62" s="142"/>
      <c r="AT62" s="142"/>
      <c r="AU62" s="142"/>
      <c r="AV62" s="142"/>
      <c r="AW62" s="142"/>
      <c r="AX62" s="142"/>
      <c r="AY62" s="142"/>
      <c r="AZ62" s="142"/>
      <c r="BA62" s="142"/>
      <c r="BB62" s="142"/>
      <c r="BC62" s="142"/>
      <c r="BD62" s="142"/>
      <c r="BE62" s="142"/>
      <c r="BF62" s="142"/>
      <c r="BG62" s="142"/>
    </row>
    <row r="63" spans="11:59" ht="63">
      <c r="K63" s="175" t="s">
        <v>279</v>
      </c>
      <c r="L63" s="176"/>
      <c r="M63" s="176" t="s">
        <v>249</v>
      </c>
      <c r="N63" s="177" t="s">
        <v>418</v>
      </c>
      <c r="O63" s="178" t="s">
        <v>281</v>
      </c>
      <c r="P63" s="178" t="s">
        <v>274</v>
      </c>
      <c r="Q63" s="179" t="s">
        <v>282</v>
      </c>
      <c r="R63" s="178" t="s">
        <v>283</v>
      </c>
      <c r="S63" s="178" t="s">
        <v>278</v>
      </c>
      <c r="T63" s="179" t="s">
        <v>284</v>
      </c>
      <c r="U63" s="178" t="s">
        <v>285</v>
      </c>
      <c r="V63" s="180" t="s">
        <v>286</v>
      </c>
      <c r="W63" s="181" t="s">
        <v>287</v>
      </c>
      <c r="X63" s="180" t="s">
        <v>288</v>
      </c>
      <c r="Y63" s="142"/>
      <c r="Z63" s="142"/>
      <c r="AA63" s="142"/>
      <c r="AB63" s="142"/>
      <c r="AC63" s="142"/>
      <c r="AD63" s="142"/>
      <c r="AE63" s="142"/>
      <c r="AF63" s="142"/>
      <c r="AG63" s="142"/>
      <c r="AH63" s="142"/>
      <c r="AI63" s="142"/>
      <c r="AJ63" s="142"/>
      <c r="AK63" s="142"/>
      <c r="AL63" s="142"/>
      <c r="AM63" s="142"/>
      <c r="AN63" s="142"/>
      <c r="AO63" s="142"/>
      <c r="AP63" s="142"/>
      <c r="AQ63" s="142"/>
      <c r="AR63" s="142"/>
      <c r="AS63" s="142"/>
      <c r="AT63" s="142"/>
      <c r="AU63" s="142"/>
      <c r="AV63" s="142"/>
      <c r="AW63" s="142"/>
      <c r="AX63" s="142"/>
      <c r="AY63" s="142"/>
      <c r="AZ63" s="142"/>
      <c r="BA63" s="142"/>
      <c r="BB63" s="142"/>
      <c r="BC63" s="142"/>
      <c r="BD63" s="142"/>
      <c r="BE63" s="142"/>
      <c r="BF63" s="142"/>
      <c r="BG63" s="142"/>
    </row>
    <row r="64" spans="11:59" ht="46.5" customHeight="1">
      <c r="K64" s="182"/>
      <c r="L64" s="183"/>
      <c r="M64" s="183"/>
      <c r="N64" s="183"/>
      <c r="O64" s="184" t="s">
        <v>22</v>
      </c>
      <c r="P64" s="870" t="s">
        <v>794</v>
      </c>
      <c r="Q64" s="185" t="s">
        <v>289</v>
      </c>
      <c r="R64" s="184" t="s">
        <v>23</v>
      </c>
      <c r="S64" s="870" t="s">
        <v>795</v>
      </c>
      <c r="T64" s="185" t="s">
        <v>290</v>
      </c>
      <c r="U64" s="184" t="s">
        <v>291</v>
      </c>
      <c r="V64" s="185" t="s">
        <v>292</v>
      </c>
      <c r="W64" s="186" t="s">
        <v>242</v>
      </c>
      <c r="X64" s="187" t="s">
        <v>293</v>
      </c>
      <c r="Y64" s="142"/>
      <c r="Z64" s="142"/>
      <c r="AA64" s="142"/>
      <c r="AB64" s="142"/>
      <c r="AC64" s="142"/>
      <c r="AD64" s="142"/>
      <c r="AE64" s="142"/>
      <c r="AF64" s="142"/>
      <c r="AG64" s="142"/>
      <c r="AH64" s="142"/>
      <c r="AI64" s="142"/>
      <c r="AJ64" s="142"/>
      <c r="AK64" s="142"/>
      <c r="AL64" s="142"/>
      <c r="AM64" s="142"/>
      <c r="AN64" s="142"/>
      <c r="AO64" s="142"/>
      <c r="AP64" s="142"/>
      <c r="AQ64" s="142"/>
      <c r="AR64" s="142"/>
      <c r="AS64" s="142"/>
      <c r="AT64" s="142"/>
      <c r="AU64" s="142"/>
      <c r="AV64" s="142"/>
      <c r="AW64" s="142"/>
      <c r="AX64" s="142"/>
      <c r="AY64" s="142"/>
      <c r="AZ64" s="142"/>
      <c r="BA64" s="142"/>
      <c r="BB64" s="142"/>
      <c r="BC64" s="142"/>
      <c r="BD64" s="142"/>
      <c r="BE64" s="142"/>
      <c r="BF64" s="142"/>
      <c r="BG64" s="142"/>
    </row>
    <row r="65" spans="11:59">
      <c r="K65" s="188"/>
      <c r="L65" s="111"/>
      <c r="M65" s="111"/>
      <c r="N65" s="111"/>
      <c r="O65" s="111"/>
      <c r="P65" s="111"/>
      <c r="Q65" s="189"/>
      <c r="R65" s="111"/>
      <c r="S65" s="111"/>
      <c r="T65" s="189"/>
      <c r="U65" s="111"/>
      <c r="V65" s="189"/>
      <c r="W65" s="112"/>
      <c r="X65" s="190"/>
      <c r="Y65" s="142"/>
      <c r="Z65" s="142"/>
      <c r="AA65" s="142"/>
      <c r="AB65" s="142"/>
      <c r="AC65" s="142"/>
      <c r="AD65" s="142"/>
      <c r="AE65" s="142"/>
      <c r="AF65" s="142"/>
      <c r="AG65" s="142"/>
      <c r="AH65" s="142"/>
      <c r="AI65" s="142"/>
      <c r="AJ65" s="142"/>
      <c r="AK65" s="142"/>
      <c r="AL65" s="142"/>
      <c r="AM65" s="142"/>
      <c r="AN65" s="142"/>
      <c r="AO65" s="142"/>
      <c r="AP65" s="142"/>
      <c r="AQ65" s="142"/>
      <c r="AR65" s="142"/>
      <c r="AS65" s="142"/>
      <c r="AT65" s="142"/>
      <c r="AU65" s="142"/>
      <c r="AV65" s="142"/>
      <c r="AW65" s="142"/>
      <c r="AX65" s="142"/>
      <c r="AY65" s="142"/>
      <c r="AZ65" s="142"/>
      <c r="BA65" s="142"/>
      <c r="BB65" s="142"/>
      <c r="BC65" s="142"/>
      <c r="BD65" s="142"/>
      <c r="BE65" s="142"/>
      <c r="BF65" s="142"/>
      <c r="BG65" s="142"/>
    </row>
    <row r="66" spans="11:59">
      <c r="K66" s="907" t="s">
        <v>3</v>
      </c>
      <c r="L66" s="908"/>
      <c r="M66" s="909"/>
      <c r="N66" s="910"/>
      <c r="O66" s="916">
        <f>'Appx B - DEO(RTEP)'!O66</f>
        <v>0</v>
      </c>
      <c r="P66" s="912">
        <f>$I$35</f>
        <v>6.1341535739146746E-2</v>
      </c>
      <c r="Q66" s="913">
        <f t="shared" ref="Q66" si="0">O66*P66</f>
        <v>0</v>
      </c>
      <c r="R66" s="917">
        <f>'Appx B - DEO(RTEP)'!R66</f>
        <v>0</v>
      </c>
      <c r="S66" s="912">
        <f>$I$45</f>
        <v>8.9894371030991724E-2</v>
      </c>
      <c r="T66" s="913">
        <f t="shared" ref="T66" si="1">R66*S66</f>
        <v>0</v>
      </c>
      <c r="U66" s="918">
        <f>'Appx B - DEO(RTEP)'!U66</f>
        <v>0</v>
      </c>
      <c r="V66" s="913">
        <f t="shared" ref="V66" si="2">Q66+T66+U66</f>
        <v>0</v>
      </c>
      <c r="W66" s="917">
        <f>'Appx B - DEO(RTEP)'!W66</f>
        <v>0</v>
      </c>
      <c r="X66" s="913">
        <f t="shared" ref="X66" si="3">V66+W66</f>
        <v>0</v>
      </c>
    </row>
    <row r="67" spans="11:59">
      <c r="K67" s="907" t="s">
        <v>296</v>
      </c>
      <c r="L67" s="908"/>
      <c r="M67" s="908"/>
      <c r="N67" s="908"/>
      <c r="O67" s="916">
        <v>0</v>
      </c>
      <c r="P67" s="912">
        <f>$I$35</f>
        <v>6.1341535739146746E-2</v>
      </c>
      <c r="Q67" s="913">
        <f>O67*P67</f>
        <v>0</v>
      </c>
      <c r="R67" s="917">
        <v>0</v>
      </c>
      <c r="S67" s="912">
        <f>$I$45</f>
        <v>8.9894371030991724E-2</v>
      </c>
      <c r="T67" s="913">
        <f>R67*S67</f>
        <v>0</v>
      </c>
      <c r="U67" s="918">
        <v>0</v>
      </c>
      <c r="V67" s="913">
        <f>Q67+T67+U67</f>
        <v>0</v>
      </c>
      <c r="W67" s="917">
        <v>0</v>
      </c>
      <c r="X67" s="913">
        <f>V67+W67</f>
        <v>0</v>
      </c>
    </row>
    <row r="68" spans="11:59">
      <c r="K68" s="907" t="s">
        <v>299</v>
      </c>
      <c r="L68" s="908"/>
      <c r="M68" s="908"/>
      <c r="N68" s="908"/>
      <c r="O68" s="911">
        <v>0</v>
      </c>
      <c r="P68" s="912">
        <f>$I$35</f>
        <v>6.1341535739146746E-2</v>
      </c>
      <c r="Q68" s="913">
        <f>O68*P68</f>
        <v>0</v>
      </c>
      <c r="R68" s="917">
        <v>0</v>
      </c>
      <c r="S68" s="912">
        <f>$I$45</f>
        <v>8.9894371030991724E-2</v>
      </c>
      <c r="T68" s="913">
        <f>R68*S68</f>
        <v>0</v>
      </c>
      <c r="U68" s="918">
        <v>0</v>
      </c>
      <c r="V68" s="913">
        <f>Q68+T68+U68</f>
        <v>0</v>
      </c>
      <c r="W68" s="917">
        <v>0</v>
      </c>
      <c r="X68" s="913">
        <f>V68+W68</f>
        <v>0</v>
      </c>
    </row>
    <row r="69" spans="11:59">
      <c r="K69" s="191"/>
      <c r="Q69" s="193"/>
      <c r="T69" s="193"/>
      <c r="V69" s="193"/>
      <c r="X69" s="193"/>
    </row>
    <row r="70" spans="11:59">
      <c r="K70" s="191"/>
      <c r="Q70" s="193"/>
      <c r="T70" s="193"/>
      <c r="V70" s="193"/>
      <c r="X70" s="193"/>
    </row>
    <row r="71" spans="11:59">
      <c r="K71" s="191"/>
      <c r="Q71" s="193"/>
      <c r="T71" s="193"/>
      <c r="V71" s="193"/>
      <c r="X71" s="193"/>
    </row>
    <row r="72" spans="11:59">
      <c r="K72" s="191"/>
      <c r="Q72" s="193"/>
      <c r="T72" s="193"/>
      <c r="V72" s="193"/>
      <c r="X72" s="193"/>
    </row>
    <row r="73" spans="11:59">
      <c r="K73" s="191"/>
      <c r="Q73" s="193"/>
      <c r="T73" s="193"/>
      <c r="V73" s="193"/>
      <c r="X73" s="193"/>
    </row>
    <row r="74" spans="11:59">
      <c r="K74" s="191"/>
      <c r="M74" s="196"/>
      <c r="N74" s="196"/>
      <c r="O74" s="196"/>
      <c r="P74" s="196"/>
      <c r="Q74" s="197"/>
      <c r="R74" s="196"/>
      <c r="S74" s="196"/>
      <c r="T74" s="197"/>
      <c r="U74" s="196"/>
      <c r="V74" s="197"/>
      <c r="W74" s="196"/>
      <c r="X74" s="197"/>
    </row>
    <row r="75" spans="11:59">
      <c r="K75" s="191"/>
      <c r="M75" s="196"/>
      <c r="N75" s="196"/>
      <c r="O75" s="196"/>
      <c r="P75" s="196"/>
      <c r="Q75" s="197"/>
      <c r="R75" s="196"/>
      <c r="S75" s="196"/>
      <c r="T75" s="197"/>
      <c r="U75" s="196"/>
      <c r="V75" s="197"/>
      <c r="W75" s="196"/>
      <c r="X75" s="197"/>
    </row>
    <row r="76" spans="11:59">
      <c r="K76" s="191"/>
      <c r="M76" s="196"/>
      <c r="N76" s="196"/>
      <c r="O76" s="196"/>
      <c r="P76" s="196"/>
      <c r="Q76" s="197"/>
      <c r="R76" s="196"/>
      <c r="S76" s="196"/>
      <c r="T76" s="197"/>
      <c r="U76" s="196"/>
      <c r="V76" s="197"/>
      <c r="W76" s="196"/>
      <c r="X76" s="197"/>
    </row>
    <row r="77" spans="11:59">
      <c r="K77" s="191"/>
      <c r="M77" s="196"/>
      <c r="N77" s="196"/>
      <c r="O77" s="196"/>
      <c r="P77" s="196"/>
      <c r="Q77" s="197"/>
      <c r="R77" s="196"/>
      <c r="S77" s="196"/>
      <c r="T77" s="197"/>
      <c r="U77" s="196"/>
      <c r="V77" s="197"/>
      <c r="W77" s="196"/>
      <c r="X77" s="197"/>
    </row>
    <row r="78" spans="11:59">
      <c r="K78" s="191"/>
      <c r="M78" s="196"/>
      <c r="N78" s="196"/>
      <c r="O78" s="196"/>
      <c r="P78" s="196"/>
      <c r="Q78" s="197"/>
      <c r="R78" s="196"/>
      <c r="S78" s="196"/>
      <c r="T78" s="197"/>
      <c r="U78" s="196"/>
      <c r="V78" s="197"/>
      <c r="W78" s="196"/>
      <c r="X78" s="197"/>
    </row>
    <row r="79" spans="11:59">
      <c r="K79" s="191"/>
      <c r="M79" s="196"/>
      <c r="N79" s="196"/>
      <c r="O79" s="196"/>
      <c r="P79" s="196"/>
      <c r="Q79" s="197"/>
      <c r="R79" s="196"/>
      <c r="S79" s="196"/>
      <c r="T79" s="197"/>
      <c r="U79" s="196"/>
      <c r="V79" s="197"/>
      <c r="W79" s="196"/>
      <c r="X79" s="197"/>
    </row>
    <row r="80" spans="11:59">
      <c r="K80" s="191"/>
      <c r="M80" s="196"/>
      <c r="N80" s="196"/>
      <c r="O80" s="196"/>
      <c r="P80" s="196"/>
      <c r="Q80" s="197"/>
      <c r="R80" s="196"/>
      <c r="S80" s="196"/>
      <c r="T80" s="197"/>
      <c r="U80" s="196"/>
      <c r="V80" s="197"/>
      <c r="W80" s="196"/>
      <c r="X80" s="197"/>
    </row>
    <row r="81" spans="11:24">
      <c r="K81" s="191"/>
      <c r="M81" s="196"/>
      <c r="N81" s="196"/>
      <c r="O81" s="196"/>
      <c r="P81" s="196"/>
      <c r="Q81" s="197"/>
      <c r="R81" s="196"/>
      <c r="S81" s="196"/>
      <c r="T81" s="197"/>
      <c r="U81" s="196"/>
      <c r="V81" s="197"/>
      <c r="W81" s="196"/>
      <c r="X81" s="197"/>
    </row>
    <row r="82" spans="11:24">
      <c r="K82" s="191"/>
      <c r="M82" s="196"/>
      <c r="N82" s="196"/>
      <c r="O82" s="196"/>
      <c r="P82" s="196"/>
      <c r="Q82" s="197"/>
      <c r="R82" s="196"/>
      <c r="S82" s="196"/>
      <c r="T82" s="197"/>
      <c r="U82" s="196"/>
      <c r="V82" s="197"/>
      <c r="W82" s="196"/>
      <c r="X82" s="197"/>
    </row>
    <row r="83" spans="11:24">
      <c r="K83" s="191"/>
      <c r="M83" s="196"/>
      <c r="N83" s="196"/>
      <c r="O83" s="196"/>
      <c r="P83" s="196"/>
      <c r="Q83" s="197"/>
      <c r="R83" s="196"/>
      <c r="S83" s="196"/>
      <c r="T83" s="197"/>
      <c r="U83" s="196"/>
      <c r="V83" s="197"/>
      <c r="W83" s="196"/>
      <c r="X83" s="197"/>
    </row>
    <row r="84" spans="11:24">
      <c r="K84" s="191"/>
      <c r="M84" s="196"/>
      <c r="N84" s="196"/>
      <c r="O84" s="196"/>
      <c r="P84" s="196"/>
      <c r="Q84" s="197"/>
      <c r="R84" s="196"/>
      <c r="S84" s="196"/>
      <c r="T84" s="197"/>
      <c r="U84" s="196"/>
      <c r="V84" s="197"/>
      <c r="W84" s="196"/>
      <c r="X84" s="197"/>
    </row>
    <row r="85" spans="11:24">
      <c r="K85" s="198"/>
      <c r="L85" s="199"/>
      <c r="M85" s="200"/>
      <c r="N85" s="200"/>
      <c r="O85" s="200"/>
      <c r="P85" s="200"/>
      <c r="Q85" s="201"/>
      <c r="R85" s="200"/>
      <c r="S85" s="200"/>
      <c r="T85" s="201"/>
      <c r="U85" s="200"/>
      <c r="V85" s="201"/>
      <c r="W85" s="200"/>
      <c r="X85" s="201"/>
    </row>
    <row r="86" spans="11:24">
      <c r="K86" s="145" t="s">
        <v>302</v>
      </c>
      <c r="L86" s="167"/>
      <c r="M86" s="108" t="s">
        <v>303</v>
      </c>
      <c r="N86" s="108"/>
      <c r="O86" s="114"/>
      <c r="P86" s="114"/>
      <c r="Q86" s="112"/>
      <c r="R86" s="112"/>
      <c r="S86" s="112"/>
      <c r="T86" s="112"/>
      <c r="U86" s="112"/>
      <c r="V86" s="203">
        <f>SUM(V66:V85)</f>
        <v>0</v>
      </c>
      <c r="W86" s="203">
        <f>SUM(W66:W85)</f>
        <v>0</v>
      </c>
      <c r="X86" s="203">
        <f>SUM(X66:X85)</f>
        <v>0</v>
      </c>
    </row>
    <row r="87" spans="11:24">
      <c r="K87" s="99"/>
      <c r="L87" s="196"/>
      <c r="M87" s="196"/>
      <c r="N87" s="196"/>
      <c r="O87" s="196"/>
      <c r="P87" s="196"/>
      <c r="Q87" s="196"/>
      <c r="R87" s="196"/>
      <c r="S87" s="196"/>
      <c r="T87" s="196"/>
      <c r="U87" s="196"/>
      <c r="V87" s="196"/>
      <c r="W87" s="196"/>
      <c r="X87" s="196"/>
    </row>
    <row r="88" spans="11:24">
      <c r="K88" s="202">
        <v>3</v>
      </c>
      <c r="L88" s="196"/>
      <c r="M88" s="871" t="s">
        <v>797</v>
      </c>
      <c r="N88" s="864"/>
      <c r="O88" s="864"/>
      <c r="P88" s="864"/>
      <c r="Q88" s="864"/>
      <c r="R88" s="864"/>
      <c r="S88" s="864"/>
      <c r="T88" s="864"/>
      <c r="U88" s="864"/>
      <c r="V88" s="865"/>
      <c r="W88" s="864"/>
      <c r="X88" s="865">
        <f>X86</f>
        <v>0</v>
      </c>
    </row>
    <row r="89" spans="11:24">
      <c r="K89" s="196"/>
      <c r="L89" s="196"/>
      <c r="M89" s="864"/>
      <c r="N89" s="864"/>
      <c r="O89" s="864"/>
      <c r="P89" s="864"/>
      <c r="Q89" s="864"/>
      <c r="R89" s="864"/>
      <c r="S89" s="864"/>
      <c r="T89" s="864"/>
      <c r="U89" s="864"/>
      <c r="V89" s="864"/>
      <c r="W89" s="864"/>
      <c r="X89" s="864"/>
    </row>
    <row r="90" spans="11:24">
      <c r="K90" s="196"/>
      <c r="L90" s="196"/>
      <c r="M90" s="864"/>
      <c r="N90" s="864"/>
      <c r="O90" s="864"/>
      <c r="P90" s="864"/>
      <c r="Q90" s="864"/>
      <c r="R90" s="864"/>
      <c r="S90" s="864"/>
      <c r="T90" s="864"/>
      <c r="U90" s="864"/>
      <c r="V90" s="864"/>
      <c r="W90" s="864"/>
      <c r="X90" s="864"/>
    </row>
    <row r="91" spans="11:24">
      <c r="K91" s="107" t="s">
        <v>113</v>
      </c>
      <c r="L91" s="196"/>
      <c r="M91" s="864"/>
      <c r="N91" s="864"/>
      <c r="O91" s="864"/>
      <c r="P91" s="864"/>
      <c r="Q91" s="864"/>
      <c r="R91" s="864"/>
      <c r="S91" s="864"/>
      <c r="T91" s="864"/>
      <c r="U91" s="864"/>
      <c r="V91" s="864"/>
      <c r="W91" s="864"/>
      <c r="X91" s="864"/>
    </row>
    <row r="92" spans="11:24" ht="15.75" thickBot="1">
      <c r="K92" s="204" t="s">
        <v>114</v>
      </c>
      <c r="L92" s="196"/>
      <c r="M92" s="864"/>
      <c r="N92" s="864"/>
      <c r="O92" s="864"/>
      <c r="P92" s="864"/>
      <c r="Q92" s="864"/>
      <c r="R92" s="864"/>
      <c r="S92" s="864"/>
      <c r="T92" s="864"/>
      <c r="U92" s="864"/>
      <c r="V92" s="864"/>
      <c r="W92" s="864"/>
      <c r="X92" s="864"/>
    </row>
    <row r="93" spans="11:24">
      <c r="K93" s="205" t="s">
        <v>115</v>
      </c>
      <c r="L93" s="110"/>
      <c r="M93" s="1032" t="s">
        <v>387</v>
      </c>
      <c r="N93" s="1032"/>
      <c r="O93" s="1032"/>
      <c r="P93" s="1032"/>
      <c r="Q93" s="1032"/>
      <c r="R93" s="1032"/>
      <c r="S93" s="1032"/>
      <c r="T93" s="1032"/>
      <c r="U93" s="1032"/>
      <c r="V93" s="1032"/>
      <c r="W93" s="1032"/>
      <c r="X93" s="1032"/>
    </row>
    <row r="94" spans="11:24">
      <c r="K94" s="205" t="s">
        <v>116</v>
      </c>
      <c r="L94" s="110"/>
      <c r="M94" s="1032" t="s">
        <v>388</v>
      </c>
      <c r="N94" s="1032"/>
      <c r="O94" s="1032"/>
      <c r="P94" s="1032"/>
      <c r="Q94" s="1032"/>
      <c r="R94" s="1032"/>
      <c r="S94" s="1032"/>
      <c r="T94" s="1032"/>
      <c r="U94" s="1032"/>
      <c r="V94" s="1032"/>
      <c r="W94" s="1032"/>
      <c r="X94" s="1032"/>
    </row>
    <row r="95" spans="11:24" ht="27.75" customHeight="1">
      <c r="K95" s="206" t="s">
        <v>117</v>
      </c>
      <c r="L95" s="110"/>
      <c r="M95" s="1033" t="s">
        <v>304</v>
      </c>
      <c r="N95" s="1033"/>
      <c r="O95" s="1033"/>
      <c r="P95" s="1033"/>
      <c r="Q95" s="1033"/>
      <c r="R95" s="1033"/>
      <c r="S95" s="1033"/>
      <c r="T95" s="1033"/>
      <c r="U95" s="1033"/>
      <c r="V95" s="1033"/>
      <c r="W95" s="1033"/>
      <c r="X95" s="1033"/>
    </row>
    <row r="96" spans="11:24" ht="15" customHeight="1">
      <c r="K96" s="206" t="s">
        <v>118</v>
      </c>
      <c r="L96" s="110"/>
      <c r="M96" s="1033" t="s">
        <v>305</v>
      </c>
      <c r="N96" s="1033"/>
      <c r="O96" s="1033"/>
      <c r="P96" s="1033"/>
      <c r="Q96" s="1033"/>
      <c r="R96" s="1033"/>
      <c r="S96" s="1033"/>
      <c r="T96" s="1033"/>
      <c r="U96" s="1033"/>
      <c r="V96" s="1033"/>
      <c r="W96" s="1033"/>
      <c r="X96" s="1033"/>
    </row>
    <row r="97" spans="1:24">
      <c r="K97" s="205" t="s">
        <v>119</v>
      </c>
      <c r="L97" s="110"/>
      <c r="M97" s="1032" t="s">
        <v>389</v>
      </c>
      <c r="N97" s="1032"/>
      <c r="O97" s="1032"/>
      <c r="P97" s="1032"/>
      <c r="Q97" s="1032"/>
      <c r="R97" s="1032"/>
      <c r="S97" s="1032"/>
      <c r="T97" s="1032"/>
      <c r="U97" s="1032"/>
      <c r="V97" s="1032"/>
      <c r="W97" s="1032"/>
      <c r="X97" s="1032"/>
    </row>
    <row r="98" spans="1:24">
      <c r="K98" s="205" t="s">
        <v>120</v>
      </c>
      <c r="L98" s="110"/>
      <c r="M98" s="1032" t="s">
        <v>306</v>
      </c>
      <c r="N98" s="1032"/>
      <c r="O98" s="1032"/>
      <c r="P98" s="1032"/>
      <c r="Q98" s="1032"/>
      <c r="R98" s="1032"/>
      <c r="S98" s="1032"/>
      <c r="T98" s="1032"/>
      <c r="U98" s="1032"/>
      <c r="V98" s="1032"/>
      <c r="W98" s="1032"/>
      <c r="X98" s="1032"/>
    </row>
    <row r="99" spans="1:24">
      <c r="K99" s="205" t="s">
        <v>121</v>
      </c>
      <c r="L99" s="110"/>
      <c r="M99" s="1031" t="s">
        <v>796</v>
      </c>
      <c r="N99" s="1032"/>
      <c r="O99" s="1032"/>
      <c r="P99" s="1032"/>
      <c r="Q99" s="1032"/>
      <c r="R99" s="1032"/>
      <c r="S99" s="1032"/>
      <c r="T99" s="1032"/>
      <c r="U99" s="1032"/>
      <c r="V99" s="1032"/>
      <c r="W99" s="1032"/>
      <c r="X99" s="1032"/>
    </row>
    <row r="100" spans="1:24">
      <c r="K100" s="418" t="s">
        <v>123</v>
      </c>
      <c r="L100" s="142"/>
      <c r="M100" s="1031" t="s">
        <v>416</v>
      </c>
      <c r="N100" s="1031"/>
      <c r="O100" s="1031"/>
      <c r="P100" s="1031"/>
      <c r="Q100" s="1031"/>
      <c r="R100" s="1031"/>
      <c r="S100" s="1031"/>
      <c r="T100" s="1031"/>
      <c r="U100" s="1031"/>
      <c r="V100" s="1031"/>
      <c r="W100" s="1031"/>
      <c r="X100" s="1031"/>
    </row>
    <row r="101" spans="1:24" ht="15.75">
      <c r="A101" s="170"/>
      <c r="B101" s="207"/>
      <c r="C101" s="208"/>
      <c r="D101" s="166"/>
      <c r="E101" s="114"/>
      <c r="F101" s="114"/>
      <c r="G101" s="112"/>
      <c r="H101" s="107"/>
      <c r="I101" s="107"/>
      <c r="J101" s="156"/>
      <c r="K101" s="196"/>
      <c r="L101" s="196"/>
      <c r="M101" s="196"/>
      <c r="N101" s="196"/>
      <c r="O101" s="196"/>
    </row>
    <row r="102" spans="1:24" ht="15.75">
      <c r="A102" s="170"/>
      <c r="B102" s="207"/>
      <c r="C102" s="208"/>
      <c r="D102" s="166"/>
      <c r="E102" s="114"/>
      <c r="F102" s="114"/>
      <c r="G102" s="112"/>
      <c r="H102" s="107"/>
      <c r="I102" s="107"/>
      <c r="J102" s="156"/>
      <c r="K102" s="196"/>
      <c r="L102" s="196"/>
      <c r="M102" s="196"/>
      <c r="N102" s="196"/>
      <c r="O102" s="196"/>
    </row>
    <row r="103" spans="1:24">
      <c r="C103" s="196"/>
      <c r="D103" s="196"/>
      <c r="E103" s="196"/>
      <c r="F103" s="196"/>
      <c r="G103" s="196"/>
      <c r="H103" s="196"/>
      <c r="I103" s="196"/>
      <c r="J103" s="196"/>
      <c r="K103" s="196"/>
      <c r="L103" s="196"/>
      <c r="M103" s="196"/>
      <c r="N103" s="196"/>
      <c r="O103" s="196"/>
    </row>
    <row r="104" spans="1:24">
      <c r="C104" s="196"/>
      <c r="D104" s="196"/>
      <c r="E104" s="196"/>
      <c r="F104" s="196"/>
      <c r="G104" s="196"/>
      <c r="H104" s="196"/>
      <c r="I104" s="196"/>
      <c r="J104" s="196"/>
      <c r="K104" s="196"/>
      <c r="L104" s="196"/>
      <c r="M104" s="196"/>
      <c r="N104" s="196"/>
      <c r="O104" s="196"/>
    </row>
    <row r="105" spans="1:24">
      <c r="C105" s="196"/>
      <c r="D105" s="196"/>
      <c r="E105" s="196"/>
      <c r="F105" s="196"/>
      <c r="G105" s="196"/>
      <c r="H105" s="196"/>
      <c r="I105" s="196"/>
      <c r="J105" s="196"/>
      <c r="K105" s="196"/>
      <c r="L105" s="196"/>
      <c r="M105" s="196"/>
      <c r="N105" s="196"/>
      <c r="O105" s="196"/>
    </row>
    <row r="106" spans="1:24">
      <c r="C106" s="196"/>
      <c r="D106" s="196"/>
      <c r="E106" s="196"/>
      <c r="F106" s="196"/>
      <c r="G106" s="196"/>
      <c r="H106" s="196"/>
      <c r="I106" s="196"/>
      <c r="J106" s="196"/>
      <c r="K106" s="196"/>
      <c r="L106" s="196"/>
      <c r="M106" s="196"/>
      <c r="N106" s="196"/>
      <c r="O106" s="196"/>
    </row>
    <row r="107" spans="1:24">
      <c r="C107" s="196"/>
      <c r="D107" s="196"/>
      <c r="E107" s="196"/>
      <c r="F107" s="196"/>
      <c r="G107" s="196"/>
      <c r="H107" s="196"/>
      <c r="I107" s="196"/>
      <c r="J107" s="196"/>
      <c r="K107" s="196"/>
      <c r="L107" s="196"/>
      <c r="M107" s="196"/>
      <c r="N107" s="196"/>
      <c r="O107" s="196"/>
    </row>
    <row r="108" spans="1:24">
      <c r="C108" s="196"/>
      <c r="D108" s="196"/>
      <c r="E108" s="196"/>
      <c r="F108" s="196"/>
      <c r="G108" s="196"/>
      <c r="H108" s="196"/>
      <c r="I108" s="196"/>
      <c r="J108" s="196"/>
      <c r="K108" s="196"/>
      <c r="L108" s="196"/>
      <c r="M108" s="196"/>
      <c r="N108" s="196"/>
      <c r="O108" s="196"/>
    </row>
    <row r="109" spans="1:24">
      <c r="C109" s="196"/>
      <c r="D109" s="196"/>
      <c r="E109" s="196"/>
      <c r="F109" s="196"/>
      <c r="G109" s="196"/>
      <c r="H109" s="196"/>
      <c r="I109" s="196"/>
      <c r="J109" s="196"/>
      <c r="K109" s="196"/>
      <c r="L109" s="196"/>
      <c r="M109" s="196"/>
      <c r="N109" s="196"/>
      <c r="O109" s="196"/>
    </row>
    <row r="110" spans="1:24">
      <c r="C110" s="196"/>
      <c r="D110" s="196"/>
      <c r="E110" s="196"/>
      <c r="F110" s="196"/>
      <c r="G110" s="196"/>
      <c r="H110" s="196"/>
      <c r="I110" s="196"/>
      <c r="J110" s="196"/>
      <c r="K110" s="196"/>
      <c r="L110" s="196"/>
      <c r="M110" s="196"/>
      <c r="N110" s="196"/>
      <c r="O110" s="196"/>
    </row>
    <row r="111" spans="1:24">
      <c r="C111" s="196"/>
      <c r="D111" s="196"/>
      <c r="E111" s="196"/>
      <c r="F111" s="196"/>
      <c r="G111" s="196"/>
      <c r="H111" s="196"/>
      <c r="I111" s="196"/>
      <c r="J111" s="196"/>
      <c r="K111" s="196"/>
      <c r="L111" s="196"/>
      <c r="M111" s="196"/>
      <c r="N111" s="196"/>
      <c r="O111" s="196"/>
    </row>
    <row r="112" spans="1:24">
      <c r="C112" s="196"/>
      <c r="D112" s="196"/>
      <c r="E112" s="196"/>
      <c r="F112" s="196"/>
      <c r="G112" s="196"/>
      <c r="H112" s="196"/>
      <c r="I112" s="196"/>
      <c r="J112" s="196"/>
      <c r="K112" s="196"/>
      <c r="L112" s="196"/>
      <c r="M112" s="196"/>
      <c r="N112" s="196"/>
      <c r="O112" s="196"/>
    </row>
    <row r="113" spans="3:15">
      <c r="C113" s="196"/>
      <c r="D113" s="196"/>
      <c r="E113" s="196"/>
      <c r="F113" s="196"/>
      <c r="G113" s="196"/>
      <c r="H113" s="196"/>
      <c r="I113" s="196"/>
      <c r="J113" s="196"/>
      <c r="K113" s="196"/>
      <c r="L113" s="196"/>
      <c r="M113" s="196"/>
      <c r="N113" s="196"/>
      <c r="O113" s="196"/>
    </row>
    <row r="114" spans="3:15">
      <c r="C114" s="196"/>
      <c r="D114" s="196"/>
      <c r="E114" s="196"/>
      <c r="F114" s="196"/>
      <c r="G114" s="196"/>
      <c r="H114" s="196"/>
      <c r="I114" s="196"/>
      <c r="J114" s="196"/>
      <c r="K114" s="196"/>
      <c r="L114" s="196"/>
      <c r="M114" s="196"/>
      <c r="N114" s="196"/>
      <c r="O114" s="196"/>
    </row>
    <row r="115" spans="3:15">
      <c r="C115" s="196"/>
      <c r="D115" s="196"/>
      <c r="E115" s="196"/>
      <c r="F115" s="196"/>
      <c r="G115" s="196"/>
      <c r="H115" s="196"/>
      <c r="I115" s="196"/>
      <c r="J115" s="196"/>
      <c r="K115" s="196"/>
      <c r="L115" s="196"/>
      <c r="M115" s="196"/>
      <c r="N115" s="196"/>
      <c r="O115" s="196"/>
    </row>
    <row r="116" spans="3:15">
      <c r="C116" s="196"/>
      <c r="D116" s="196"/>
      <c r="E116" s="196"/>
      <c r="F116" s="196"/>
      <c r="G116" s="196"/>
      <c r="H116" s="196"/>
      <c r="I116" s="196"/>
      <c r="J116" s="196"/>
      <c r="K116" s="196"/>
      <c r="L116" s="196"/>
      <c r="M116" s="196"/>
      <c r="N116" s="196"/>
      <c r="O116" s="196"/>
    </row>
    <row r="117" spans="3:15">
      <c r="C117" s="196"/>
      <c r="D117" s="196"/>
      <c r="E117" s="196"/>
      <c r="F117" s="196"/>
      <c r="G117" s="196"/>
      <c r="H117" s="196"/>
      <c r="I117" s="196"/>
      <c r="J117" s="196"/>
      <c r="K117" s="196"/>
      <c r="L117" s="196"/>
      <c r="M117" s="196"/>
      <c r="N117" s="196"/>
      <c r="O117" s="196"/>
    </row>
    <row r="118" spans="3:15">
      <c r="C118" s="196"/>
      <c r="D118" s="196"/>
      <c r="E118" s="196"/>
      <c r="F118" s="196"/>
      <c r="G118" s="196"/>
      <c r="H118" s="196"/>
      <c r="I118" s="196"/>
      <c r="J118" s="196"/>
      <c r="K118" s="196"/>
      <c r="L118" s="196"/>
      <c r="M118" s="196"/>
      <c r="N118" s="196"/>
      <c r="O118" s="196"/>
    </row>
    <row r="119" spans="3:15">
      <c r="C119" s="196"/>
      <c r="D119" s="196"/>
      <c r="E119" s="196"/>
      <c r="F119" s="196"/>
      <c r="G119" s="196"/>
      <c r="H119" s="196"/>
      <c r="I119" s="196"/>
      <c r="J119" s="196"/>
      <c r="K119" s="196"/>
      <c r="L119" s="196"/>
      <c r="M119" s="196"/>
      <c r="N119" s="196"/>
      <c r="O119" s="196"/>
    </row>
    <row r="120" spans="3:15">
      <c r="C120" s="196"/>
      <c r="D120" s="196"/>
      <c r="E120" s="196"/>
      <c r="F120" s="196"/>
      <c r="G120" s="196"/>
      <c r="H120" s="196"/>
      <c r="I120" s="196"/>
      <c r="J120" s="196"/>
      <c r="K120" s="196"/>
      <c r="L120" s="196"/>
      <c r="M120" s="196"/>
      <c r="N120" s="196"/>
      <c r="O120" s="196"/>
    </row>
    <row r="121" spans="3:15">
      <c r="C121" s="196"/>
      <c r="D121" s="196"/>
      <c r="E121" s="196"/>
      <c r="F121" s="196"/>
      <c r="G121" s="196"/>
      <c r="H121" s="196"/>
      <c r="I121" s="196"/>
      <c r="J121" s="196"/>
      <c r="K121" s="196"/>
      <c r="L121" s="196"/>
      <c r="M121" s="196"/>
      <c r="N121" s="196"/>
      <c r="O121" s="196"/>
    </row>
    <row r="122" spans="3:15">
      <c r="C122" s="196"/>
      <c r="D122" s="196"/>
      <c r="E122" s="196"/>
      <c r="F122" s="196"/>
      <c r="G122" s="196"/>
      <c r="H122" s="196"/>
      <c r="I122" s="196"/>
      <c r="J122" s="196"/>
      <c r="K122" s="196"/>
      <c r="L122" s="196"/>
      <c r="M122" s="196"/>
      <c r="N122" s="196"/>
      <c r="O122" s="196"/>
    </row>
    <row r="123" spans="3:15">
      <c r="C123" s="196"/>
      <c r="D123" s="196"/>
      <c r="E123" s="196"/>
      <c r="F123" s="196"/>
      <c r="G123" s="196"/>
      <c r="H123" s="196"/>
      <c r="I123" s="196"/>
      <c r="J123" s="196"/>
      <c r="K123" s="196"/>
      <c r="L123" s="196"/>
      <c r="M123" s="196"/>
      <c r="N123" s="196"/>
      <c r="O123" s="196"/>
    </row>
    <row r="124" spans="3:15">
      <c r="C124" s="196"/>
      <c r="D124" s="196"/>
      <c r="E124" s="196"/>
      <c r="F124" s="196"/>
      <c r="G124" s="196"/>
      <c r="H124" s="196"/>
      <c r="I124" s="196"/>
      <c r="J124" s="196"/>
      <c r="K124" s="196"/>
      <c r="L124" s="196"/>
      <c r="M124" s="196"/>
      <c r="N124" s="196"/>
      <c r="O124" s="196"/>
    </row>
    <row r="125" spans="3:15">
      <c r="C125" s="196"/>
      <c r="D125" s="196"/>
      <c r="E125" s="196"/>
      <c r="F125" s="196"/>
      <c r="G125" s="196"/>
      <c r="H125" s="196"/>
      <c r="I125" s="196"/>
      <c r="J125" s="196"/>
      <c r="K125" s="196"/>
      <c r="L125" s="196"/>
      <c r="M125" s="196"/>
      <c r="N125" s="196"/>
      <c r="O125" s="196"/>
    </row>
    <row r="126" spans="3:15">
      <c r="C126" s="196"/>
      <c r="D126" s="196"/>
      <c r="E126" s="196"/>
      <c r="F126" s="196"/>
      <c r="G126" s="196"/>
      <c r="H126" s="196"/>
      <c r="I126" s="196"/>
      <c r="J126" s="196"/>
      <c r="K126" s="196"/>
      <c r="L126" s="196"/>
      <c r="M126" s="196"/>
      <c r="N126" s="196"/>
      <c r="O126" s="196"/>
    </row>
    <row r="127" spans="3:15">
      <c r="C127" s="196"/>
      <c r="D127" s="196"/>
      <c r="E127" s="196"/>
      <c r="F127" s="196"/>
      <c r="G127" s="196"/>
      <c r="H127" s="196"/>
      <c r="I127" s="196"/>
      <c r="J127" s="196"/>
      <c r="K127" s="196"/>
      <c r="L127" s="196"/>
      <c r="M127" s="196"/>
      <c r="N127" s="196"/>
      <c r="O127" s="196"/>
    </row>
    <row r="128" spans="3:15">
      <c r="C128" s="196"/>
      <c r="D128" s="196"/>
      <c r="E128" s="196"/>
      <c r="F128" s="196"/>
      <c r="G128" s="196"/>
      <c r="H128" s="196"/>
      <c r="I128" s="196"/>
      <c r="J128" s="196"/>
      <c r="K128" s="196"/>
      <c r="L128" s="196"/>
      <c r="M128" s="196"/>
      <c r="N128" s="196"/>
      <c r="O128" s="196"/>
    </row>
    <row r="129" spans="3:15">
      <c r="C129" s="196"/>
      <c r="D129" s="196"/>
      <c r="E129" s="196"/>
      <c r="F129" s="196"/>
      <c r="G129" s="196"/>
      <c r="H129" s="196"/>
      <c r="I129" s="196"/>
      <c r="J129" s="196"/>
      <c r="K129" s="196"/>
      <c r="L129" s="196"/>
      <c r="M129" s="196"/>
      <c r="N129" s="196"/>
      <c r="O129" s="196"/>
    </row>
    <row r="130" spans="3:15">
      <c r="C130" s="196"/>
      <c r="D130" s="196"/>
      <c r="E130" s="196"/>
      <c r="F130" s="196"/>
      <c r="G130" s="196"/>
      <c r="H130" s="196"/>
      <c r="I130" s="196"/>
      <c r="J130" s="196"/>
      <c r="K130" s="196"/>
      <c r="L130" s="196"/>
      <c r="M130" s="196"/>
      <c r="N130" s="196"/>
      <c r="O130" s="196"/>
    </row>
    <row r="131" spans="3:15">
      <c r="C131" s="196"/>
      <c r="D131" s="196"/>
      <c r="E131" s="196"/>
      <c r="F131" s="196"/>
      <c r="G131" s="196"/>
      <c r="H131" s="196"/>
      <c r="I131" s="196"/>
      <c r="J131" s="196"/>
      <c r="K131" s="196"/>
      <c r="L131" s="196"/>
      <c r="M131" s="196"/>
      <c r="N131" s="196"/>
      <c r="O131" s="196"/>
    </row>
    <row r="132" spans="3:15">
      <c r="C132" s="196"/>
      <c r="D132" s="196"/>
      <c r="E132" s="196"/>
      <c r="F132" s="196"/>
      <c r="G132" s="196"/>
      <c r="H132" s="196"/>
      <c r="I132" s="196"/>
      <c r="J132" s="196"/>
      <c r="K132" s="196"/>
      <c r="L132" s="196"/>
      <c r="M132" s="196"/>
      <c r="N132" s="196"/>
      <c r="O132" s="196"/>
    </row>
    <row r="133" spans="3:15">
      <c r="C133" s="196"/>
      <c r="D133" s="196"/>
      <c r="E133" s="196"/>
      <c r="F133" s="196"/>
      <c r="G133" s="196"/>
      <c r="H133" s="196"/>
      <c r="I133" s="196"/>
      <c r="J133" s="196"/>
      <c r="K133" s="196"/>
      <c r="L133" s="196"/>
      <c r="M133" s="196"/>
      <c r="N133" s="196"/>
      <c r="O133" s="196"/>
    </row>
    <row r="134" spans="3:15">
      <c r="C134" s="196"/>
      <c r="D134" s="196"/>
      <c r="E134" s="196"/>
      <c r="F134" s="196"/>
      <c r="G134" s="196"/>
      <c r="H134" s="196"/>
      <c r="I134" s="196"/>
      <c r="J134" s="196"/>
      <c r="K134" s="196"/>
      <c r="L134" s="196"/>
      <c r="M134" s="196"/>
      <c r="N134" s="196"/>
      <c r="O134" s="196"/>
    </row>
    <row r="135" spans="3:15">
      <c r="C135" s="196"/>
      <c r="D135" s="196"/>
      <c r="E135" s="196"/>
      <c r="F135" s="196"/>
      <c r="G135" s="196"/>
      <c r="H135" s="196"/>
      <c r="I135" s="196"/>
      <c r="J135" s="196"/>
      <c r="K135" s="196"/>
      <c r="L135" s="196"/>
      <c r="M135" s="196"/>
      <c r="N135" s="196"/>
      <c r="O135" s="196"/>
    </row>
    <row r="136" spans="3:15">
      <c r="C136" s="196"/>
      <c r="D136" s="196"/>
      <c r="E136" s="196"/>
      <c r="F136" s="196"/>
      <c r="G136" s="196"/>
      <c r="H136" s="196"/>
      <c r="I136" s="196"/>
      <c r="J136" s="196"/>
      <c r="K136" s="196"/>
      <c r="L136" s="196"/>
      <c r="M136" s="196"/>
      <c r="N136" s="196"/>
      <c r="O136" s="196"/>
    </row>
    <row r="137" spans="3:15">
      <c r="C137" s="196"/>
      <c r="D137" s="196"/>
      <c r="E137" s="196"/>
      <c r="F137" s="196"/>
      <c r="G137" s="196"/>
      <c r="H137" s="196"/>
      <c r="I137" s="196"/>
      <c r="J137" s="196"/>
      <c r="K137" s="196"/>
      <c r="L137" s="196"/>
      <c r="M137" s="196"/>
      <c r="N137" s="196"/>
      <c r="O137" s="196"/>
    </row>
    <row r="138" spans="3:15">
      <c r="C138" s="196"/>
      <c r="D138" s="196"/>
      <c r="E138" s="196"/>
      <c r="F138" s="196"/>
      <c r="G138" s="196"/>
      <c r="H138" s="196"/>
      <c r="I138" s="196"/>
      <c r="J138" s="196"/>
      <c r="K138" s="196"/>
      <c r="L138" s="196"/>
      <c r="M138" s="196"/>
      <c r="N138" s="196"/>
      <c r="O138" s="196"/>
    </row>
    <row r="139" spans="3:15">
      <c r="C139" s="196"/>
      <c r="D139" s="196"/>
      <c r="E139" s="196"/>
      <c r="F139" s="196"/>
      <c r="G139" s="196"/>
      <c r="H139" s="196"/>
      <c r="I139" s="196"/>
      <c r="J139" s="196"/>
      <c r="K139" s="196"/>
      <c r="L139" s="196"/>
      <c r="M139" s="196"/>
      <c r="N139" s="196"/>
      <c r="O139" s="196"/>
    </row>
    <row r="140" spans="3:15">
      <c r="C140" s="196"/>
      <c r="D140" s="196"/>
      <c r="E140" s="196"/>
      <c r="F140" s="196"/>
      <c r="G140" s="196"/>
      <c r="H140" s="196"/>
      <c r="I140" s="196"/>
      <c r="J140" s="196"/>
      <c r="K140" s="196"/>
      <c r="L140" s="196"/>
      <c r="M140" s="196"/>
      <c r="N140" s="196"/>
      <c r="O140" s="196"/>
    </row>
    <row r="141" spans="3:15">
      <c r="C141" s="196"/>
      <c r="D141" s="196"/>
      <c r="E141" s="196"/>
      <c r="F141" s="196"/>
      <c r="G141" s="196"/>
      <c r="H141" s="196"/>
      <c r="I141" s="196"/>
      <c r="J141" s="196"/>
      <c r="K141" s="196"/>
      <c r="L141" s="196"/>
      <c r="M141" s="196"/>
      <c r="N141" s="196"/>
      <c r="O141" s="196"/>
    </row>
    <row r="142" spans="3:15">
      <c r="C142" s="196"/>
      <c r="D142" s="196"/>
      <c r="E142" s="196"/>
      <c r="F142" s="196"/>
      <c r="G142" s="196"/>
      <c r="H142" s="196"/>
      <c r="I142" s="196"/>
      <c r="J142" s="196"/>
      <c r="K142" s="196"/>
      <c r="L142" s="196"/>
      <c r="M142" s="196"/>
      <c r="N142" s="196"/>
      <c r="O142" s="196"/>
    </row>
    <row r="143" spans="3:15">
      <c r="C143" s="196"/>
      <c r="D143" s="196"/>
      <c r="E143" s="196"/>
      <c r="F143" s="196"/>
      <c r="G143" s="196"/>
      <c r="H143" s="196"/>
      <c r="I143" s="196"/>
      <c r="J143" s="196"/>
      <c r="K143" s="196"/>
      <c r="L143" s="196"/>
      <c r="M143" s="196"/>
      <c r="N143" s="196"/>
      <c r="O143" s="196"/>
    </row>
    <row r="144" spans="3:15">
      <c r="C144" s="196"/>
      <c r="D144" s="196"/>
      <c r="E144" s="196"/>
      <c r="F144" s="196"/>
      <c r="G144" s="196"/>
      <c r="H144" s="196"/>
      <c r="I144" s="196"/>
      <c r="J144" s="196"/>
      <c r="K144" s="196"/>
      <c r="L144" s="196"/>
      <c r="M144" s="196"/>
      <c r="N144" s="196"/>
      <c r="O144" s="196"/>
    </row>
    <row r="145" spans="3:15">
      <c r="C145" s="196"/>
      <c r="D145" s="196"/>
      <c r="E145" s="196"/>
      <c r="F145" s="196"/>
      <c r="G145" s="196"/>
      <c r="H145" s="196"/>
      <c r="I145" s="196"/>
      <c r="J145" s="196"/>
      <c r="K145" s="196"/>
      <c r="L145" s="196"/>
      <c r="M145" s="196"/>
      <c r="N145" s="196"/>
      <c r="O145" s="196"/>
    </row>
    <row r="146" spans="3:15">
      <c r="C146" s="196"/>
      <c r="D146" s="196"/>
      <c r="E146" s="196"/>
      <c r="F146" s="196"/>
      <c r="G146" s="196"/>
      <c r="H146" s="196"/>
      <c r="I146" s="196"/>
      <c r="J146" s="196"/>
      <c r="K146" s="196"/>
      <c r="L146" s="196"/>
      <c r="M146" s="196"/>
      <c r="N146" s="196"/>
      <c r="O146" s="196"/>
    </row>
    <row r="147" spans="3:15">
      <c r="C147" s="196"/>
      <c r="D147" s="196"/>
      <c r="E147" s="196"/>
      <c r="F147" s="196"/>
      <c r="G147" s="196"/>
      <c r="H147" s="196"/>
      <c r="I147" s="196"/>
      <c r="J147" s="196"/>
      <c r="K147" s="196"/>
      <c r="L147" s="196"/>
      <c r="M147" s="196"/>
      <c r="N147" s="196"/>
      <c r="O147" s="196"/>
    </row>
    <row r="148" spans="3:15">
      <c r="C148" s="196"/>
      <c r="D148" s="196"/>
      <c r="E148" s="196"/>
      <c r="F148" s="196"/>
      <c r="G148" s="196"/>
      <c r="H148" s="196"/>
      <c r="I148" s="196"/>
      <c r="J148" s="196"/>
      <c r="K148" s="196"/>
      <c r="L148" s="196"/>
      <c r="M148" s="196"/>
      <c r="N148" s="196"/>
      <c r="O148" s="196"/>
    </row>
    <row r="149" spans="3:15">
      <c r="C149" s="196"/>
      <c r="D149" s="196"/>
      <c r="E149" s="196"/>
      <c r="F149" s="196"/>
      <c r="G149" s="196"/>
      <c r="H149" s="196"/>
      <c r="I149" s="196"/>
      <c r="J149" s="196"/>
      <c r="K149" s="196"/>
      <c r="L149" s="196"/>
      <c r="M149" s="196"/>
      <c r="N149" s="196"/>
      <c r="O149" s="196"/>
    </row>
    <row r="150" spans="3:15">
      <c r="C150" s="196"/>
      <c r="D150" s="196"/>
      <c r="E150" s="196"/>
      <c r="F150" s="196"/>
      <c r="G150" s="196"/>
      <c r="H150" s="196"/>
      <c r="I150" s="196"/>
      <c r="J150" s="196"/>
      <c r="K150" s="196"/>
      <c r="L150" s="196"/>
      <c r="M150" s="196"/>
      <c r="N150" s="196"/>
      <c r="O150" s="196"/>
    </row>
    <row r="151" spans="3:15">
      <c r="C151" s="196"/>
      <c r="D151" s="196"/>
      <c r="E151" s="196"/>
      <c r="F151" s="196"/>
      <c r="G151" s="196"/>
      <c r="H151" s="196"/>
      <c r="I151" s="196"/>
      <c r="J151" s="196"/>
      <c r="K151" s="196"/>
      <c r="L151" s="196"/>
      <c r="M151" s="196"/>
      <c r="N151" s="196"/>
      <c r="O151" s="196"/>
    </row>
    <row r="152" spans="3:15">
      <c r="C152" s="196"/>
      <c r="D152" s="196"/>
      <c r="E152" s="196"/>
      <c r="F152" s="196"/>
      <c r="G152" s="196"/>
      <c r="H152" s="196"/>
      <c r="I152" s="196"/>
      <c r="J152" s="196"/>
      <c r="K152" s="196"/>
      <c r="L152" s="196"/>
      <c r="M152" s="196"/>
      <c r="N152" s="196"/>
      <c r="O152" s="196"/>
    </row>
    <row r="153" spans="3:15">
      <c r="C153" s="196"/>
      <c r="D153" s="196"/>
      <c r="E153" s="196"/>
      <c r="F153" s="196"/>
      <c r="G153" s="196"/>
      <c r="H153" s="196"/>
      <c r="I153" s="196"/>
      <c r="J153" s="196"/>
      <c r="K153" s="196"/>
      <c r="L153" s="196"/>
      <c r="M153" s="196"/>
      <c r="N153" s="196"/>
      <c r="O153" s="196"/>
    </row>
    <row r="154" spans="3:15">
      <c r="C154" s="196"/>
      <c r="D154" s="196"/>
      <c r="E154" s="196"/>
      <c r="F154" s="196"/>
      <c r="G154" s="196"/>
      <c r="H154" s="196"/>
      <c r="I154" s="196"/>
      <c r="J154" s="196"/>
      <c r="K154" s="196"/>
      <c r="L154" s="196"/>
      <c r="M154" s="196"/>
      <c r="N154" s="196"/>
      <c r="O154" s="196"/>
    </row>
    <row r="155" spans="3:15">
      <c r="C155" s="196"/>
      <c r="D155" s="196"/>
      <c r="E155" s="196"/>
      <c r="F155" s="196"/>
      <c r="G155" s="196"/>
      <c r="H155" s="196"/>
      <c r="I155" s="196"/>
      <c r="J155" s="196"/>
      <c r="K155" s="196"/>
      <c r="L155" s="196"/>
      <c r="M155" s="196"/>
      <c r="N155" s="196"/>
      <c r="O155" s="196"/>
    </row>
    <row r="156" spans="3:15">
      <c r="C156" s="196"/>
      <c r="D156" s="196"/>
      <c r="E156" s="196"/>
      <c r="F156" s="196"/>
      <c r="G156" s="196"/>
      <c r="H156" s="196"/>
      <c r="I156" s="196"/>
      <c r="J156" s="196"/>
      <c r="K156" s="196"/>
      <c r="L156" s="196"/>
      <c r="M156" s="196"/>
      <c r="N156" s="196"/>
      <c r="O156" s="196"/>
    </row>
    <row r="157" spans="3:15">
      <c r="C157" s="196"/>
      <c r="D157" s="196"/>
      <c r="E157" s="196"/>
      <c r="F157" s="196"/>
      <c r="G157" s="196"/>
      <c r="H157" s="196"/>
      <c r="I157" s="196"/>
      <c r="J157" s="196"/>
      <c r="K157" s="196"/>
      <c r="L157" s="196"/>
      <c r="M157" s="196"/>
      <c r="N157" s="196"/>
      <c r="O157" s="196"/>
    </row>
    <row r="158" spans="3:15">
      <c r="C158" s="196"/>
      <c r="D158" s="196"/>
      <c r="E158" s="196"/>
      <c r="F158" s="196"/>
      <c r="G158" s="196"/>
      <c r="H158" s="196"/>
      <c r="I158" s="196"/>
      <c r="J158" s="196"/>
      <c r="K158" s="196"/>
      <c r="L158" s="196"/>
      <c r="M158" s="196"/>
      <c r="N158" s="196"/>
      <c r="O158" s="196"/>
    </row>
    <row r="159" spans="3:15">
      <c r="C159" s="196"/>
      <c r="D159" s="196"/>
      <c r="E159" s="196"/>
      <c r="F159" s="196"/>
      <c r="G159" s="196"/>
      <c r="H159" s="196"/>
      <c r="I159" s="196"/>
      <c r="J159" s="196"/>
      <c r="K159" s="196"/>
      <c r="L159" s="196"/>
      <c r="M159" s="196"/>
      <c r="N159" s="196"/>
      <c r="O159" s="196"/>
    </row>
    <row r="160" spans="3:15">
      <c r="C160" s="196"/>
      <c r="D160" s="196"/>
      <c r="E160" s="196"/>
      <c r="F160" s="196"/>
      <c r="G160" s="196"/>
      <c r="H160" s="196"/>
      <c r="I160" s="196"/>
      <c r="J160" s="196"/>
      <c r="K160" s="196"/>
      <c r="L160" s="196"/>
      <c r="M160" s="196"/>
      <c r="N160" s="196"/>
      <c r="O160" s="196"/>
    </row>
    <row r="161" spans="3:15">
      <c r="C161" s="196"/>
      <c r="D161" s="196"/>
      <c r="E161" s="196"/>
      <c r="F161" s="196"/>
      <c r="G161" s="196"/>
      <c r="H161" s="196"/>
      <c r="I161" s="196"/>
      <c r="J161" s="196"/>
      <c r="K161" s="196"/>
      <c r="L161" s="196"/>
      <c r="M161" s="196"/>
      <c r="N161" s="196"/>
      <c r="O161" s="196"/>
    </row>
    <row r="162" spans="3:15">
      <c r="C162" s="196"/>
      <c r="D162" s="196"/>
      <c r="E162" s="196"/>
      <c r="F162" s="196"/>
      <c r="G162" s="196"/>
      <c r="H162" s="196"/>
      <c r="I162" s="196"/>
      <c r="J162" s="196"/>
      <c r="K162" s="196"/>
      <c r="L162" s="196"/>
      <c r="M162" s="196"/>
      <c r="N162" s="196"/>
      <c r="O162" s="196"/>
    </row>
    <row r="163" spans="3:15">
      <c r="C163" s="196"/>
      <c r="D163" s="196"/>
      <c r="E163" s="196"/>
      <c r="F163" s="196"/>
      <c r="G163" s="196"/>
      <c r="H163" s="196"/>
      <c r="I163" s="196"/>
      <c r="J163" s="196"/>
      <c r="K163" s="196"/>
      <c r="L163" s="196"/>
      <c r="M163" s="196"/>
      <c r="N163" s="196"/>
      <c r="O163" s="196"/>
    </row>
    <row r="164" spans="3:15">
      <c r="C164" s="196"/>
      <c r="D164" s="196"/>
      <c r="E164" s="196"/>
      <c r="F164" s="196"/>
      <c r="G164" s="196"/>
      <c r="H164" s="196"/>
      <c r="I164" s="196"/>
      <c r="J164" s="196"/>
      <c r="K164" s="196"/>
      <c r="L164" s="196"/>
      <c r="M164" s="196"/>
      <c r="N164" s="196"/>
      <c r="O164" s="196"/>
    </row>
    <row r="165" spans="3:15">
      <c r="C165" s="196"/>
      <c r="D165" s="196"/>
      <c r="E165" s="196"/>
      <c r="F165" s="196"/>
      <c r="G165" s="196"/>
      <c r="H165" s="196"/>
      <c r="I165" s="196"/>
      <c r="J165" s="196"/>
      <c r="K165" s="196"/>
      <c r="L165" s="196"/>
      <c r="M165" s="196"/>
      <c r="N165" s="196"/>
      <c r="O165" s="196"/>
    </row>
    <row r="166" spans="3:15">
      <c r="C166" s="196"/>
      <c r="D166" s="196"/>
      <c r="E166" s="196"/>
      <c r="F166" s="196"/>
      <c r="G166" s="196"/>
      <c r="H166" s="196"/>
      <c r="I166" s="196"/>
      <c r="J166" s="196"/>
      <c r="K166" s="196"/>
      <c r="L166" s="196"/>
      <c r="M166" s="196"/>
      <c r="N166" s="196"/>
      <c r="O166" s="196"/>
    </row>
    <row r="167" spans="3:15">
      <c r="C167" s="196"/>
      <c r="D167" s="196"/>
      <c r="E167" s="196"/>
      <c r="F167" s="196"/>
      <c r="G167" s="196"/>
      <c r="H167" s="196"/>
      <c r="I167" s="196"/>
      <c r="J167" s="196"/>
      <c r="K167" s="196"/>
      <c r="L167" s="196"/>
      <c r="M167" s="196"/>
      <c r="N167" s="196"/>
      <c r="O167" s="196"/>
    </row>
    <row r="168" spans="3:15">
      <c r="C168" s="196"/>
      <c r="D168" s="196"/>
      <c r="E168" s="196"/>
      <c r="F168" s="196"/>
      <c r="G168" s="196"/>
      <c r="H168" s="196"/>
      <c r="I168" s="196"/>
      <c r="J168" s="196"/>
      <c r="K168" s="196"/>
      <c r="L168" s="196"/>
      <c r="M168" s="196"/>
      <c r="N168" s="196"/>
      <c r="O168" s="196"/>
    </row>
    <row r="169" spans="3:15">
      <c r="C169" s="196"/>
      <c r="D169" s="196"/>
      <c r="E169" s="196"/>
      <c r="F169" s="196"/>
      <c r="G169" s="196"/>
      <c r="H169" s="196"/>
      <c r="I169" s="196"/>
      <c r="J169" s="196"/>
      <c r="K169" s="196"/>
      <c r="L169" s="196"/>
      <c r="M169" s="196"/>
      <c r="N169" s="196"/>
      <c r="O169" s="196"/>
    </row>
    <row r="170" spans="3:15">
      <c r="C170" s="196"/>
      <c r="D170" s="196"/>
      <c r="E170" s="196"/>
      <c r="F170" s="196"/>
      <c r="G170" s="196"/>
      <c r="H170" s="196"/>
      <c r="I170" s="196"/>
      <c r="J170" s="196"/>
      <c r="K170" s="196"/>
      <c r="L170" s="196"/>
      <c r="M170" s="196"/>
      <c r="N170" s="196"/>
      <c r="O170" s="196"/>
    </row>
    <row r="171" spans="3:15">
      <c r="C171" s="196"/>
      <c r="D171" s="196"/>
      <c r="E171" s="196"/>
      <c r="F171" s="196"/>
      <c r="G171" s="196"/>
      <c r="H171" s="196"/>
      <c r="I171" s="196"/>
      <c r="J171" s="196"/>
      <c r="K171" s="196"/>
      <c r="L171" s="196"/>
      <c r="M171" s="196"/>
      <c r="N171" s="196"/>
      <c r="O171" s="196"/>
    </row>
    <row r="172" spans="3:15">
      <c r="C172" s="196"/>
      <c r="D172" s="196"/>
      <c r="E172" s="196"/>
      <c r="F172" s="196"/>
      <c r="G172" s="196"/>
      <c r="H172" s="196"/>
      <c r="I172" s="196"/>
      <c r="J172" s="196"/>
      <c r="K172" s="196"/>
      <c r="L172" s="196"/>
      <c r="M172" s="196"/>
      <c r="N172" s="196"/>
      <c r="O172" s="196"/>
    </row>
    <row r="173" spans="3:15">
      <c r="C173" s="196"/>
      <c r="D173" s="196"/>
      <c r="E173" s="196"/>
      <c r="F173" s="196"/>
      <c r="G173" s="196"/>
      <c r="H173" s="196"/>
      <c r="I173" s="196"/>
      <c r="J173" s="196"/>
      <c r="K173" s="196"/>
      <c r="L173" s="196"/>
      <c r="M173" s="196"/>
      <c r="N173" s="196"/>
      <c r="O173" s="196"/>
    </row>
    <row r="174" spans="3:15">
      <c r="C174" s="196"/>
      <c r="D174" s="196"/>
      <c r="E174" s="196"/>
      <c r="F174" s="196"/>
      <c r="G174" s="196"/>
      <c r="H174" s="196"/>
      <c r="I174" s="196"/>
      <c r="J174" s="196"/>
      <c r="K174" s="196"/>
      <c r="L174" s="196"/>
      <c r="M174" s="196"/>
      <c r="N174" s="196"/>
      <c r="O174" s="196"/>
    </row>
    <row r="175" spans="3:15">
      <c r="C175" s="196"/>
      <c r="D175" s="196"/>
      <c r="E175" s="196"/>
      <c r="F175" s="196"/>
      <c r="G175" s="196"/>
      <c r="H175" s="196"/>
      <c r="I175" s="196"/>
      <c r="J175" s="196"/>
      <c r="K175" s="196"/>
      <c r="L175" s="196"/>
      <c r="M175" s="196"/>
      <c r="N175" s="196"/>
      <c r="O175" s="196"/>
    </row>
    <row r="176" spans="3:15">
      <c r="C176" s="196"/>
      <c r="D176" s="196"/>
      <c r="E176" s="196"/>
      <c r="F176" s="196"/>
      <c r="G176" s="196"/>
      <c r="H176" s="196"/>
      <c r="I176" s="196"/>
      <c r="J176" s="196"/>
      <c r="K176" s="196"/>
      <c r="L176" s="196"/>
      <c r="M176" s="196"/>
      <c r="N176" s="196"/>
      <c r="O176" s="196"/>
    </row>
    <row r="177" spans="3:15">
      <c r="C177" s="196"/>
      <c r="D177" s="196"/>
      <c r="E177" s="196"/>
      <c r="F177" s="196"/>
      <c r="G177" s="196"/>
      <c r="H177" s="196"/>
      <c r="I177" s="196"/>
      <c r="J177" s="196"/>
      <c r="K177" s="196"/>
      <c r="L177" s="196"/>
      <c r="M177" s="196"/>
      <c r="N177" s="196"/>
      <c r="O177" s="196"/>
    </row>
    <row r="178" spans="3:15">
      <c r="C178" s="196"/>
      <c r="D178" s="196"/>
      <c r="E178" s="196"/>
      <c r="F178" s="196"/>
      <c r="G178" s="196"/>
      <c r="H178" s="196"/>
      <c r="I178" s="196"/>
      <c r="J178" s="196"/>
      <c r="K178" s="196"/>
      <c r="L178" s="196"/>
      <c r="M178" s="196"/>
      <c r="N178" s="196"/>
      <c r="O178" s="196"/>
    </row>
    <row r="179" spans="3:15">
      <c r="C179" s="196"/>
      <c r="D179" s="196"/>
      <c r="E179" s="196"/>
      <c r="F179" s="196"/>
      <c r="G179" s="196"/>
      <c r="H179" s="196"/>
      <c r="I179" s="196"/>
      <c r="J179" s="196"/>
      <c r="K179" s="196"/>
      <c r="L179" s="196"/>
      <c r="M179" s="196"/>
      <c r="N179" s="196"/>
      <c r="O179" s="196"/>
    </row>
    <row r="180" spans="3:15">
      <c r="C180" s="196"/>
      <c r="D180" s="196"/>
      <c r="E180" s="196"/>
      <c r="F180" s="196"/>
      <c r="G180" s="196"/>
      <c r="H180" s="196"/>
      <c r="I180" s="196"/>
      <c r="J180" s="196"/>
      <c r="K180" s="196"/>
      <c r="L180" s="196"/>
      <c r="M180" s="196"/>
      <c r="N180" s="196"/>
      <c r="O180" s="196"/>
    </row>
    <row r="181" spans="3:15">
      <c r="C181" s="196"/>
      <c r="D181" s="196"/>
      <c r="E181" s="196"/>
      <c r="F181" s="196"/>
      <c r="G181" s="196"/>
      <c r="H181" s="196"/>
      <c r="I181" s="196"/>
      <c r="J181" s="196"/>
      <c r="K181" s="196"/>
      <c r="L181" s="196"/>
      <c r="M181" s="196"/>
      <c r="N181" s="196"/>
      <c r="O181" s="196"/>
    </row>
    <row r="182" spans="3:15">
      <c r="C182" s="196"/>
      <c r="D182" s="196"/>
      <c r="E182" s="196"/>
      <c r="F182" s="196"/>
      <c r="G182" s="196"/>
      <c r="H182" s="196"/>
      <c r="I182" s="196"/>
      <c r="J182" s="196"/>
      <c r="K182" s="196"/>
      <c r="L182" s="196"/>
      <c r="M182" s="196"/>
      <c r="N182" s="196"/>
      <c r="O182" s="196"/>
    </row>
    <row r="183" spans="3:15">
      <c r="C183" s="196"/>
      <c r="D183" s="196"/>
      <c r="E183" s="196"/>
      <c r="F183" s="196"/>
      <c r="G183" s="196"/>
      <c r="H183" s="196"/>
      <c r="I183" s="196"/>
      <c r="J183" s="196"/>
      <c r="K183" s="196"/>
      <c r="L183" s="196"/>
      <c r="M183" s="196"/>
      <c r="N183" s="196"/>
      <c r="O183" s="196"/>
    </row>
    <row r="184" spans="3:15">
      <c r="C184" s="196"/>
      <c r="D184" s="196"/>
      <c r="E184" s="196"/>
      <c r="F184" s="196"/>
      <c r="G184" s="196"/>
      <c r="H184" s="196"/>
      <c r="I184" s="196"/>
      <c r="J184" s="196"/>
      <c r="K184" s="196"/>
      <c r="L184" s="196"/>
      <c r="M184" s="196"/>
      <c r="N184" s="196"/>
      <c r="O184" s="196"/>
    </row>
    <row r="185" spans="3:15">
      <c r="C185" s="196"/>
      <c r="D185" s="196"/>
      <c r="E185" s="196"/>
      <c r="F185" s="196"/>
      <c r="G185" s="196"/>
      <c r="H185" s="196"/>
      <c r="I185" s="196"/>
      <c r="J185" s="196"/>
      <c r="K185" s="196"/>
      <c r="L185" s="196"/>
      <c r="M185" s="196"/>
      <c r="N185" s="196"/>
      <c r="O185" s="196"/>
    </row>
    <row r="186" spans="3:15">
      <c r="C186" s="196"/>
      <c r="D186" s="196"/>
      <c r="E186" s="196"/>
      <c r="F186" s="196"/>
      <c r="G186" s="196"/>
      <c r="H186" s="196"/>
      <c r="I186" s="196"/>
      <c r="J186" s="196"/>
      <c r="K186" s="196"/>
      <c r="L186" s="196"/>
      <c r="M186" s="196"/>
      <c r="N186" s="196"/>
      <c r="O186" s="196"/>
    </row>
    <row r="187" spans="3:15">
      <c r="C187" s="196"/>
      <c r="D187" s="196"/>
      <c r="E187" s="196"/>
      <c r="F187" s="196"/>
      <c r="G187" s="196"/>
      <c r="H187" s="196"/>
      <c r="I187" s="196"/>
      <c r="J187" s="196"/>
      <c r="K187" s="196"/>
      <c r="L187" s="196"/>
      <c r="M187" s="196"/>
      <c r="N187" s="196"/>
      <c r="O187" s="196"/>
    </row>
    <row r="188" spans="3:15">
      <c r="C188" s="196"/>
      <c r="D188" s="196"/>
      <c r="E188" s="196"/>
      <c r="F188" s="196"/>
      <c r="G188" s="196"/>
      <c r="H188" s="196"/>
      <c r="I188" s="196"/>
      <c r="J188" s="196"/>
      <c r="K188" s="196"/>
      <c r="L188" s="196"/>
      <c r="M188" s="196"/>
      <c r="N188" s="196"/>
      <c r="O188" s="196"/>
    </row>
    <row r="189" spans="3:15">
      <c r="C189" s="196"/>
      <c r="D189" s="196"/>
      <c r="E189" s="196"/>
      <c r="F189" s="196"/>
      <c r="G189" s="196"/>
      <c r="H189" s="196"/>
      <c r="I189" s="196"/>
      <c r="J189" s="196"/>
      <c r="K189" s="196"/>
      <c r="L189" s="196"/>
      <c r="M189" s="196"/>
      <c r="N189" s="196"/>
      <c r="O189" s="196"/>
    </row>
    <row r="190" spans="3:15">
      <c r="C190" s="196"/>
      <c r="D190" s="196"/>
      <c r="E190" s="196"/>
      <c r="F190" s="196"/>
      <c r="G190" s="196"/>
      <c r="H190" s="196"/>
      <c r="I190" s="196"/>
      <c r="J190" s="196"/>
      <c r="K190" s="196"/>
      <c r="L190" s="196"/>
      <c r="M190" s="196"/>
      <c r="N190" s="196"/>
      <c r="O190" s="196"/>
    </row>
    <row r="191" spans="3:15">
      <c r="C191" s="196"/>
      <c r="D191" s="196"/>
      <c r="E191" s="196"/>
      <c r="F191" s="196"/>
      <c r="G191" s="196"/>
      <c r="H191" s="196"/>
      <c r="I191" s="196"/>
      <c r="J191" s="196"/>
      <c r="K191" s="196"/>
      <c r="L191" s="196"/>
      <c r="M191" s="196"/>
      <c r="N191" s="196"/>
      <c r="O191" s="196"/>
    </row>
    <row r="192" spans="3:15">
      <c r="C192" s="196"/>
      <c r="D192" s="196"/>
      <c r="E192" s="196"/>
      <c r="F192" s="196"/>
      <c r="G192" s="196"/>
      <c r="H192" s="196"/>
      <c r="I192" s="196"/>
      <c r="J192" s="196"/>
      <c r="K192" s="196"/>
      <c r="L192" s="196"/>
      <c r="M192" s="196"/>
      <c r="N192" s="196"/>
      <c r="O192" s="196"/>
    </row>
    <row r="193" spans="3:15">
      <c r="C193" s="196"/>
      <c r="D193" s="196"/>
      <c r="E193" s="196"/>
      <c r="F193" s="196"/>
      <c r="G193" s="196"/>
      <c r="H193" s="196"/>
      <c r="I193" s="196"/>
      <c r="J193" s="196"/>
      <c r="K193" s="196"/>
      <c r="L193" s="196"/>
      <c r="M193" s="196"/>
      <c r="N193" s="196"/>
      <c r="O193" s="196"/>
    </row>
    <row r="194" spans="3:15">
      <c r="C194" s="196"/>
      <c r="D194" s="196"/>
      <c r="E194" s="196"/>
      <c r="F194" s="196"/>
      <c r="G194" s="196"/>
      <c r="H194" s="196"/>
      <c r="I194" s="196"/>
      <c r="J194" s="196"/>
      <c r="K194" s="196"/>
      <c r="L194" s="196"/>
      <c r="M194" s="196"/>
      <c r="N194" s="196"/>
      <c r="O194" s="196"/>
    </row>
    <row r="195" spans="3:15">
      <c r="C195" s="196"/>
      <c r="D195" s="196"/>
      <c r="E195" s="196"/>
      <c r="F195" s="196"/>
      <c r="G195" s="196"/>
      <c r="H195" s="196"/>
      <c r="I195" s="196"/>
      <c r="J195" s="196"/>
      <c r="K195" s="196"/>
      <c r="L195" s="196"/>
      <c r="M195" s="196"/>
      <c r="N195" s="196"/>
      <c r="O195" s="196"/>
    </row>
    <row r="196" spans="3:15">
      <c r="C196" s="196"/>
      <c r="D196" s="196"/>
      <c r="E196" s="196"/>
      <c r="F196" s="196"/>
      <c r="G196" s="196"/>
      <c r="H196" s="196"/>
      <c r="I196" s="196"/>
      <c r="J196" s="196"/>
      <c r="K196" s="196"/>
      <c r="L196" s="196"/>
      <c r="M196" s="196"/>
      <c r="N196" s="196"/>
      <c r="O196" s="196"/>
    </row>
    <row r="197" spans="3:15">
      <c r="C197" s="196"/>
      <c r="D197" s="196"/>
      <c r="E197" s="196"/>
      <c r="F197" s="196"/>
      <c r="G197" s="196"/>
      <c r="H197" s="196"/>
      <c r="I197" s="196"/>
      <c r="J197" s="196"/>
      <c r="K197" s="196"/>
      <c r="L197" s="196"/>
      <c r="M197" s="196"/>
      <c r="N197" s="196"/>
      <c r="O197" s="196"/>
    </row>
    <row r="198" spans="3:15">
      <c r="C198" s="196"/>
      <c r="D198" s="196"/>
      <c r="E198" s="196"/>
      <c r="F198" s="196"/>
      <c r="G198" s="196"/>
      <c r="H198" s="196"/>
      <c r="I198" s="196"/>
      <c r="J198" s="196"/>
      <c r="K198" s="196"/>
      <c r="L198" s="196"/>
      <c r="M198" s="196"/>
      <c r="N198" s="196"/>
      <c r="O198" s="196"/>
    </row>
    <row r="199" spans="3:15">
      <c r="C199" s="196"/>
      <c r="D199" s="196"/>
      <c r="E199" s="196"/>
      <c r="F199" s="196"/>
      <c r="G199" s="196"/>
      <c r="H199" s="196"/>
      <c r="I199" s="196"/>
      <c r="J199" s="196"/>
      <c r="K199" s="196"/>
      <c r="L199" s="196"/>
      <c r="M199" s="196"/>
      <c r="N199" s="196"/>
      <c r="O199" s="196"/>
    </row>
    <row r="200" spans="3:15">
      <c r="C200" s="196"/>
      <c r="D200" s="196"/>
      <c r="E200" s="196"/>
      <c r="F200" s="196"/>
      <c r="G200" s="196"/>
      <c r="H200" s="196"/>
      <c r="I200" s="196"/>
      <c r="J200" s="196"/>
      <c r="K200" s="196"/>
      <c r="L200" s="196"/>
      <c r="M200" s="196"/>
      <c r="N200" s="196"/>
      <c r="O200" s="196"/>
    </row>
    <row r="201" spans="3:15">
      <c r="C201" s="196"/>
      <c r="D201" s="196"/>
      <c r="E201" s="196"/>
      <c r="F201" s="196"/>
      <c r="G201" s="196"/>
      <c r="H201" s="196"/>
      <c r="I201" s="196"/>
      <c r="J201" s="196"/>
      <c r="K201" s="196"/>
      <c r="L201" s="196"/>
      <c r="M201" s="196"/>
      <c r="N201" s="196"/>
      <c r="O201" s="196"/>
    </row>
    <row r="202" spans="3:15">
      <c r="C202" s="196"/>
      <c r="D202" s="196"/>
      <c r="E202" s="196"/>
      <c r="F202" s="196"/>
      <c r="G202" s="196"/>
      <c r="H202" s="196"/>
      <c r="I202" s="196"/>
      <c r="J202" s="196"/>
      <c r="K202" s="196"/>
      <c r="L202" s="196"/>
      <c r="M202" s="196"/>
      <c r="N202" s="196"/>
      <c r="O202" s="196"/>
    </row>
    <row r="203" spans="3:15">
      <c r="C203" s="196"/>
      <c r="D203" s="196"/>
      <c r="E203" s="196"/>
      <c r="F203" s="196"/>
      <c r="G203" s="196"/>
      <c r="H203" s="196"/>
      <c r="I203" s="196"/>
      <c r="J203" s="196"/>
      <c r="K203" s="196"/>
      <c r="L203" s="196"/>
      <c r="M203" s="196"/>
      <c r="N203" s="196"/>
      <c r="O203" s="196"/>
    </row>
    <row r="204" spans="3:15">
      <c r="C204" s="196"/>
      <c r="D204" s="196"/>
      <c r="E204" s="196"/>
      <c r="F204" s="196"/>
      <c r="G204" s="196"/>
      <c r="H204" s="196"/>
      <c r="I204" s="196"/>
      <c r="J204" s="196"/>
      <c r="K204" s="196"/>
      <c r="L204" s="196"/>
      <c r="M204" s="196"/>
      <c r="N204" s="196"/>
      <c r="O204" s="196"/>
    </row>
    <row r="205" spans="3:15">
      <c r="C205" s="196"/>
      <c r="D205" s="196"/>
      <c r="E205" s="196"/>
      <c r="F205" s="196"/>
      <c r="G205" s="196"/>
      <c r="H205" s="196"/>
      <c r="I205" s="196"/>
      <c r="J205" s="196"/>
      <c r="K205" s="196"/>
      <c r="L205" s="196"/>
      <c r="M205" s="196"/>
      <c r="N205" s="196"/>
      <c r="O205" s="196"/>
    </row>
    <row r="206" spans="3:15">
      <c r="C206" s="196"/>
      <c r="D206" s="196"/>
      <c r="E206" s="196"/>
      <c r="F206" s="196"/>
      <c r="G206" s="196"/>
      <c r="H206" s="196"/>
      <c r="I206" s="196"/>
      <c r="J206" s="196"/>
      <c r="K206" s="196"/>
      <c r="L206" s="196"/>
      <c r="M206" s="196"/>
      <c r="N206" s="196"/>
      <c r="O206" s="196"/>
    </row>
    <row r="207" spans="3:15">
      <c r="C207" s="196"/>
      <c r="D207" s="196"/>
      <c r="E207" s="196"/>
      <c r="F207" s="196"/>
      <c r="G207" s="196"/>
      <c r="H207" s="196"/>
      <c r="I207" s="196"/>
      <c r="J207" s="196"/>
      <c r="K207" s="196"/>
      <c r="L207" s="196"/>
      <c r="M207" s="196"/>
      <c r="N207" s="196"/>
      <c r="O207" s="196"/>
    </row>
    <row r="208" spans="3:15">
      <c r="C208" s="196"/>
      <c r="D208" s="196"/>
      <c r="E208" s="196"/>
      <c r="F208" s="196"/>
      <c r="G208" s="196"/>
      <c r="H208" s="196"/>
      <c r="I208" s="196"/>
      <c r="J208" s="196"/>
      <c r="K208" s="196"/>
      <c r="L208" s="196"/>
      <c r="M208" s="196"/>
      <c r="N208" s="196"/>
      <c r="O208" s="196"/>
    </row>
    <row r="209" spans="3:15">
      <c r="C209" s="196"/>
      <c r="D209" s="196"/>
      <c r="E209" s="196"/>
      <c r="F209" s="196"/>
      <c r="G209" s="196"/>
      <c r="H209" s="196"/>
      <c r="I209" s="196"/>
      <c r="J209" s="196"/>
      <c r="K209" s="196"/>
      <c r="L209" s="196"/>
      <c r="M209" s="196"/>
      <c r="N209" s="196"/>
      <c r="O209" s="196"/>
    </row>
    <row r="210" spans="3:15">
      <c r="C210" s="196"/>
      <c r="D210" s="196"/>
      <c r="E210" s="196"/>
      <c r="F210" s="196"/>
      <c r="G210" s="196"/>
      <c r="H210" s="196"/>
      <c r="I210" s="196"/>
      <c r="J210" s="196"/>
      <c r="K210" s="196"/>
      <c r="L210" s="196"/>
      <c r="M210" s="196"/>
      <c r="N210" s="196"/>
      <c r="O210" s="196"/>
    </row>
    <row r="211" spans="3:15">
      <c r="C211" s="196"/>
      <c r="D211" s="196"/>
      <c r="E211" s="196"/>
      <c r="F211" s="196"/>
      <c r="G211" s="196"/>
      <c r="H211" s="196"/>
      <c r="I211" s="196"/>
      <c r="J211" s="196"/>
      <c r="K211" s="196"/>
      <c r="L211" s="196"/>
      <c r="M211" s="196"/>
      <c r="N211" s="196"/>
      <c r="O211" s="196"/>
    </row>
    <row r="212" spans="3:15">
      <c r="C212" s="196"/>
      <c r="D212" s="196"/>
      <c r="E212" s="196"/>
      <c r="F212" s="196"/>
      <c r="G212" s="196"/>
      <c r="H212" s="196"/>
      <c r="I212" s="196"/>
      <c r="J212" s="196"/>
      <c r="K212" s="196"/>
      <c r="L212" s="196"/>
      <c r="M212" s="196"/>
      <c r="N212" s="196"/>
      <c r="O212" s="196"/>
    </row>
    <row r="213" spans="3:15">
      <c r="C213" s="196"/>
      <c r="D213" s="196"/>
      <c r="E213" s="196"/>
      <c r="F213" s="196"/>
      <c r="G213" s="196"/>
      <c r="H213" s="196"/>
      <c r="I213" s="196"/>
      <c r="J213" s="196"/>
      <c r="K213" s="196"/>
      <c r="L213" s="196"/>
      <c r="M213" s="196"/>
      <c r="N213" s="196"/>
      <c r="O213" s="196"/>
    </row>
    <row r="214" spans="3:15">
      <c r="C214" s="196"/>
      <c r="D214" s="196"/>
      <c r="E214" s="196"/>
      <c r="F214" s="196"/>
      <c r="G214" s="196"/>
      <c r="H214" s="196"/>
      <c r="I214" s="196"/>
      <c r="J214" s="196"/>
      <c r="K214" s="196"/>
      <c r="L214" s="196"/>
      <c r="M214" s="196"/>
      <c r="N214" s="196"/>
      <c r="O214" s="196"/>
    </row>
    <row r="215" spans="3:15">
      <c r="C215" s="196"/>
      <c r="D215" s="196"/>
      <c r="E215" s="196"/>
      <c r="F215" s="196"/>
      <c r="G215" s="196"/>
      <c r="H215" s="196"/>
      <c r="I215" s="196"/>
      <c r="J215" s="196"/>
      <c r="K215" s="196"/>
      <c r="L215" s="196"/>
      <c r="M215" s="196"/>
      <c r="N215" s="196"/>
      <c r="O215" s="196"/>
    </row>
    <row r="216" spans="3:15">
      <c r="C216" s="196"/>
      <c r="D216" s="196"/>
      <c r="E216" s="196"/>
      <c r="F216" s="196"/>
      <c r="G216" s="196"/>
      <c r="H216" s="196"/>
      <c r="I216" s="196"/>
      <c r="J216" s="196"/>
      <c r="K216" s="196"/>
      <c r="L216" s="196"/>
      <c r="M216" s="196"/>
      <c r="N216" s="196"/>
      <c r="O216" s="196"/>
    </row>
    <row r="217" spans="3:15">
      <c r="C217" s="196"/>
      <c r="D217" s="196"/>
      <c r="E217" s="196"/>
      <c r="F217" s="196"/>
      <c r="G217" s="196"/>
      <c r="H217" s="196"/>
      <c r="I217" s="196"/>
      <c r="J217" s="196"/>
      <c r="K217" s="196"/>
      <c r="L217" s="196"/>
      <c r="M217" s="196"/>
      <c r="N217" s="196"/>
      <c r="O217" s="196"/>
    </row>
    <row r="218" spans="3:15">
      <c r="C218" s="196"/>
      <c r="D218" s="196"/>
      <c r="E218" s="196"/>
      <c r="F218" s="196"/>
      <c r="G218" s="196"/>
      <c r="H218" s="196"/>
      <c r="I218" s="196"/>
      <c r="J218" s="196"/>
      <c r="K218" s="196"/>
      <c r="L218" s="196"/>
      <c r="M218" s="196"/>
      <c r="N218" s="196"/>
      <c r="O218" s="196"/>
    </row>
    <row r="219" spans="3:15">
      <c r="C219" s="196"/>
      <c r="D219" s="196"/>
      <c r="E219" s="196"/>
      <c r="F219" s="196"/>
      <c r="G219" s="196"/>
      <c r="H219" s="196"/>
      <c r="I219" s="196"/>
      <c r="J219" s="196"/>
      <c r="K219" s="196"/>
      <c r="L219" s="196"/>
      <c r="M219" s="196"/>
      <c r="N219" s="196"/>
      <c r="O219" s="196"/>
    </row>
    <row r="220" spans="3:15">
      <c r="C220" s="196"/>
      <c r="D220" s="196"/>
      <c r="E220" s="196"/>
      <c r="F220" s="196"/>
      <c r="G220" s="196"/>
      <c r="H220" s="196"/>
      <c r="I220" s="196"/>
      <c r="J220" s="196"/>
      <c r="K220" s="196"/>
      <c r="L220" s="196"/>
      <c r="M220" s="196"/>
      <c r="N220" s="196"/>
      <c r="O220" s="196"/>
    </row>
    <row r="221" spans="3:15">
      <c r="C221" s="196"/>
      <c r="D221" s="196"/>
      <c r="E221" s="196"/>
      <c r="F221" s="196"/>
      <c r="G221" s="196"/>
      <c r="H221" s="196"/>
      <c r="I221" s="196"/>
      <c r="J221" s="196"/>
      <c r="K221" s="196"/>
      <c r="L221" s="196"/>
      <c r="M221" s="196"/>
      <c r="N221" s="196"/>
      <c r="O221" s="196"/>
    </row>
    <row r="222" spans="3:15">
      <c r="C222" s="196"/>
      <c r="D222" s="196"/>
      <c r="E222" s="196"/>
      <c r="F222" s="196"/>
      <c r="G222" s="196"/>
      <c r="H222" s="196"/>
      <c r="I222" s="196"/>
      <c r="J222" s="196"/>
      <c r="K222" s="196"/>
      <c r="L222" s="196"/>
      <c r="M222" s="196"/>
      <c r="N222" s="196"/>
      <c r="O222" s="196"/>
    </row>
    <row r="223" spans="3:15">
      <c r="C223" s="196"/>
      <c r="D223" s="196"/>
      <c r="E223" s="196"/>
      <c r="F223" s="196"/>
      <c r="G223" s="196"/>
      <c r="H223" s="196"/>
      <c r="I223" s="196"/>
      <c r="J223" s="196"/>
      <c r="K223" s="196"/>
      <c r="L223" s="196"/>
      <c r="M223" s="196"/>
      <c r="N223" s="196"/>
      <c r="O223" s="196"/>
    </row>
    <row r="224" spans="3:15">
      <c r="C224" s="196"/>
      <c r="D224" s="196"/>
      <c r="E224" s="196"/>
      <c r="F224" s="196"/>
      <c r="G224" s="196"/>
      <c r="H224" s="196"/>
      <c r="I224" s="196"/>
      <c r="J224" s="196"/>
      <c r="K224" s="196"/>
      <c r="L224" s="196"/>
      <c r="M224" s="196"/>
      <c r="N224" s="196"/>
      <c r="O224" s="196"/>
    </row>
    <row r="225" spans="3:15">
      <c r="C225" s="196"/>
      <c r="D225" s="196"/>
      <c r="E225" s="196"/>
      <c r="F225" s="196"/>
      <c r="G225" s="196"/>
      <c r="H225" s="196"/>
      <c r="I225" s="196"/>
      <c r="J225" s="196"/>
      <c r="K225" s="196"/>
      <c r="L225" s="196"/>
      <c r="M225" s="196"/>
      <c r="N225" s="196"/>
      <c r="O225" s="196"/>
    </row>
    <row r="226" spans="3:15">
      <c r="C226" s="196"/>
      <c r="D226" s="196"/>
      <c r="E226" s="196"/>
      <c r="F226" s="196"/>
      <c r="G226" s="196"/>
      <c r="H226" s="196"/>
      <c r="I226" s="196"/>
      <c r="J226" s="196"/>
      <c r="K226" s="196"/>
      <c r="L226" s="196"/>
      <c r="M226" s="196"/>
      <c r="N226" s="196"/>
      <c r="O226" s="196"/>
    </row>
    <row r="227" spans="3:15">
      <c r="C227" s="196"/>
      <c r="D227" s="196"/>
      <c r="E227" s="196"/>
      <c r="F227" s="196"/>
      <c r="G227" s="196"/>
      <c r="H227" s="196"/>
      <c r="I227" s="196"/>
      <c r="J227" s="196"/>
      <c r="K227" s="196"/>
      <c r="L227" s="196"/>
      <c r="M227" s="196"/>
      <c r="N227" s="196"/>
      <c r="O227" s="196"/>
    </row>
    <row r="228" spans="3:15">
      <c r="C228" s="196"/>
      <c r="D228" s="196"/>
      <c r="E228" s="196"/>
      <c r="F228" s="196"/>
      <c r="G228" s="196"/>
      <c r="H228" s="196"/>
      <c r="I228" s="196"/>
      <c r="J228" s="196"/>
      <c r="K228" s="196"/>
      <c r="L228" s="196"/>
      <c r="M228" s="196"/>
      <c r="N228" s="196"/>
      <c r="O228" s="196"/>
    </row>
    <row r="229" spans="3:15">
      <c r="C229" s="196"/>
      <c r="D229" s="196"/>
      <c r="E229" s="196"/>
      <c r="F229" s="196"/>
      <c r="G229" s="196"/>
      <c r="H229" s="196"/>
      <c r="I229" s="196"/>
      <c r="J229" s="196"/>
      <c r="K229" s="196"/>
      <c r="L229" s="196"/>
      <c r="M229" s="196"/>
      <c r="N229" s="196"/>
      <c r="O229" s="196"/>
    </row>
    <row r="230" spans="3:15">
      <c r="C230" s="196"/>
      <c r="D230" s="196"/>
      <c r="E230" s="196"/>
      <c r="F230" s="196"/>
      <c r="G230" s="196"/>
      <c r="H230" s="196"/>
      <c r="I230" s="196"/>
      <c r="J230" s="196"/>
      <c r="K230" s="196"/>
      <c r="L230" s="196"/>
      <c r="M230" s="196"/>
      <c r="N230" s="196"/>
      <c r="O230" s="196"/>
    </row>
    <row r="231" spans="3:15">
      <c r="C231" s="196"/>
      <c r="D231" s="196"/>
      <c r="E231" s="196"/>
      <c r="F231" s="196"/>
      <c r="G231" s="196"/>
      <c r="H231" s="196"/>
      <c r="I231" s="196"/>
      <c r="J231" s="196"/>
      <c r="K231" s="196"/>
      <c r="L231" s="196"/>
      <c r="M231" s="196"/>
      <c r="N231" s="196"/>
      <c r="O231" s="196"/>
    </row>
    <row r="232" spans="3:15">
      <c r="C232" s="196"/>
      <c r="D232" s="196"/>
      <c r="E232" s="196"/>
      <c r="F232" s="196"/>
      <c r="G232" s="196"/>
      <c r="H232" s="196"/>
      <c r="I232" s="196"/>
      <c r="J232" s="196"/>
      <c r="K232" s="196"/>
      <c r="L232" s="196"/>
      <c r="M232" s="196"/>
      <c r="N232" s="196"/>
      <c r="O232" s="196"/>
    </row>
    <row r="233" spans="3:15">
      <c r="C233" s="196"/>
      <c r="D233" s="196"/>
      <c r="E233" s="196"/>
      <c r="F233" s="196"/>
      <c r="G233" s="196"/>
      <c r="H233" s="196"/>
      <c r="I233" s="196"/>
      <c r="J233" s="196"/>
      <c r="K233" s="196"/>
      <c r="L233" s="196"/>
      <c r="M233" s="196"/>
      <c r="N233" s="196"/>
      <c r="O233" s="196"/>
    </row>
    <row r="234" spans="3:15">
      <c r="C234" s="196"/>
      <c r="D234" s="196"/>
      <c r="E234" s="196"/>
      <c r="F234" s="196"/>
      <c r="G234" s="196"/>
      <c r="H234" s="196"/>
      <c r="I234" s="196"/>
      <c r="J234" s="196"/>
      <c r="K234" s="196"/>
      <c r="L234" s="196"/>
      <c r="M234" s="196"/>
      <c r="N234" s="196"/>
      <c r="O234" s="196"/>
    </row>
    <row r="235" spans="3:15">
      <c r="C235" s="196"/>
      <c r="D235" s="196"/>
      <c r="E235" s="196"/>
      <c r="F235" s="196"/>
      <c r="G235" s="196"/>
      <c r="H235" s="196"/>
      <c r="I235" s="196"/>
      <c r="J235" s="196"/>
      <c r="K235" s="196"/>
      <c r="L235" s="196"/>
      <c r="M235" s="196"/>
      <c r="N235" s="196"/>
      <c r="O235" s="196"/>
    </row>
    <row r="236" spans="3:15">
      <c r="C236" s="196"/>
      <c r="D236" s="196"/>
      <c r="E236" s="196"/>
      <c r="F236" s="196"/>
      <c r="G236" s="196"/>
      <c r="H236" s="196"/>
      <c r="I236" s="196"/>
      <c r="J236" s="196"/>
      <c r="K236" s="196"/>
      <c r="L236" s="196"/>
      <c r="M236" s="196"/>
      <c r="N236" s="196"/>
      <c r="O236" s="196"/>
    </row>
    <row r="237" spans="3:15">
      <c r="C237" s="196"/>
      <c r="D237" s="196"/>
      <c r="E237" s="196"/>
      <c r="F237" s="196"/>
      <c r="G237" s="196"/>
      <c r="H237" s="196"/>
      <c r="I237" s="196"/>
      <c r="J237" s="196"/>
      <c r="K237" s="196"/>
      <c r="L237" s="196"/>
      <c r="M237" s="196"/>
      <c r="N237" s="196"/>
      <c r="O237" s="196"/>
    </row>
    <row r="238" spans="3:15">
      <c r="C238" s="196"/>
      <c r="D238" s="196"/>
      <c r="E238" s="196"/>
      <c r="F238" s="196"/>
      <c r="G238" s="196"/>
      <c r="H238" s="196"/>
      <c r="I238" s="196"/>
      <c r="J238" s="196"/>
      <c r="K238" s="196"/>
      <c r="L238" s="196"/>
      <c r="M238" s="196"/>
      <c r="N238" s="196"/>
      <c r="O238" s="196"/>
    </row>
    <row r="239" spans="3:15">
      <c r="C239" s="196"/>
      <c r="D239" s="196"/>
      <c r="E239" s="196"/>
      <c r="F239" s="196"/>
      <c r="G239" s="196"/>
      <c r="H239" s="196"/>
      <c r="I239" s="196"/>
      <c r="J239" s="196"/>
      <c r="K239" s="196"/>
      <c r="L239" s="196"/>
      <c r="M239" s="196"/>
      <c r="N239" s="196"/>
      <c r="O239" s="196"/>
    </row>
    <row r="240" spans="3:15">
      <c r="C240" s="196"/>
      <c r="D240" s="196"/>
      <c r="E240" s="196"/>
      <c r="F240" s="196"/>
      <c r="G240" s="196"/>
      <c r="H240" s="196"/>
      <c r="I240" s="196"/>
      <c r="J240" s="196"/>
      <c r="K240" s="196"/>
      <c r="L240" s="196"/>
      <c r="M240" s="196"/>
      <c r="N240" s="196"/>
      <c r="O240" s="196"/>
    </row>
    <row r="241" spans="3:15">
      <c r="C241" s="196"/>
      <c r="D241" s="196"/>
      <c r="E241" s="196"/>
      <c r="F241" s="196"/>
      <c r="G241" s="196"/>
      <c r="H241" s="196"/>
      <c r="I241" s="196"/>
      <c r="J241" s="196"/>
      <c r="K241" s="196"/>
      <c r="L241" s="196"/>
      <c r="M241" s="196"/>
      <c r="N241" s="196"/>
      <c r="O241" s="196"/>
    </row>
    <row r="242" spans="3:15">
      <c r="C242" s="196"/>
      <c r="D242" s="196"/>
      <c r="E242" s="196"/>
      <c r="F242" s="196"/>
      <c r="G242" s="196"/>
      <c r="H242" s="196"/>
      <c r="I242" s="196"/>
      <c r="J242" s="196"/>
      <c r="K242" s="196"/>
      <c r="L242" s="196"/>
      <c r="M242" s="196"/>
      <c r="N242" s="196"/>
      <c r="O242" s="196"/>
    </row>
    <row r="243" spans="3:15">
      <c r="C243" s="196"/>
      <c r="D243" s="196"/>
      <c r="E243" s="196"/>
      <c r="F243" s="196"/>
      <c r="G243" s="196"/>
      <c r="H243" s="196"/>
      <c r="I243" s="196"/>
      <c r="J243" s="196"/>
      <c r="K243" s="196"/>
      <c r="L243" s="196"/>
      <c r="M243" s="196"/>
      <c r="N243" s="196"/>
      <c r="O243" s="196"/>
    </row>
    <row r="244" spans="3:15">
      <c r="C244" s="196"/>
      <c r="D244" s="196"/>
      <c r="E244" s="196"/>
      <c r="F244" s="196"/>
      <c r="G244" s="196"/>
      <c r="H244" s="196"/>
      <c r="I244" s="196"/>
      <c r="J244" s="196"/>
      <c r="K244" s="196"/>
      <c r="L244" s="196"/>
      <c r="M244" s="196"/>
      <c r="N244" s="196"/>
      <c r="O244" s="196"/>
    </row>
    <row r="245" spans="3:15">
      <c r="C245" s="196"/>
      <c r="D245" s="196"/>
      <c r="E245" s="196"/>
      <c r="F245" s="196"/>
      <c r="G245" s="196"/>
      <c r="H245" s="196"/>
      <c r="I245" s="196"/>
      <c r="J245" s="196"/>
      <c r="K245" s="196"/>
      <c r="L245" s="196"/>
      <c r="M245" s="196"/>
      <c r="N245" s="196"/>
      <c r="O245" s="196"/>
    </row>
    <row r="246" spans="3:15">
      <c r="C246" s="196"/>
      <c r="D246" s="196"/>
      <c r="E246" s="196"/>
      <c r="F246" s="196"/>
      <c r="G246" s="196"/>
      <c r="H246" s="196"/>
      <c r="I246" s="196"/>
      <c r="J246" s="196"/>
      <c r="K246" s="196"/>
      <c r="L246" s="196"/>
      <c r="M246" s="196"/>
      <c r="N246" s="196"/>
      <c r="O246" s="196"/>
    </row>
    <row r="247" spans="3:15">
      <c r="C247" s="196"/>
      <c r="D247" s="196"/>
      <c r="E247" s="196"/>
      <c r="F247" s="196"/>
      <c r="G247" s="196"/>
      <c r="H247" s="196"/>
      <c r="I247" s="196"/>
      <c r="J247" s="196"/>
      <c r="K247" s="196"/>
      <c r="L247" s="196"/>
      <c r="M247" s="196"/>
      <c r="N247" s="196"/>
      <c r="O247" s="196"/>
    </row>
    <row r="248" spans="3:15">
      <c r="C248" s="196"/>
      <c r="D248" s="196"/>
      <c r="E248" s="196"/>
      <c r="F248" s="196"/>
      <c r="G248" s="196"/>
      <c r="H248" s="196"/>
      <c r="I248" s="196"/>
      <c r="J248" s="196"/>
      <c r="K248" s="196"/>
      <c r="L248" s="196"/>
      <c r="M248" s="196"/>
      <c r="N248" s="196"/>
      <c r="O248" s="196"/>
    </row>
    <row r="249" spans="3:15">
      <c r="C249" s="196"/>
      <c r="D249" s="196"/>
      <c r="E249" s="196"/>
      <c r="F249" s="196"/>
      <c r="G249" s="196"/>
      <c r="H249" s="196"/>
      <c r="I249" s="196"/>
      <c r="J249" s="196"/>
      <c r="K249" s="196"/>
      <c r="L249" s="196"/>
      <c r="M249" s="196"/>
      <c r="N249" s="196"/>
      <c r="O249" s="196"/>
    </row>
    <row r="250" spans="3:15">
      <c r="C250" s="196"/>
      <c r="D250" s="196"/>
      <c r="E250" s="196"/>
      <c r="F250" s="196"/>
      <c r="G250" s="196"/>
      <c r="H250" s="196"/>
      <c r="I250" s="196"/>
      <c r="J250" s="196"/>
      <c r="K250" s="196"/>
      <c r="L250" s="196"/>
      <c r="M250" s="196"/>
      <c r="N250" s="196"/>
      <c r="O250" s="196"/>
    </row>
    <row r="251" spans="3:15">
      <c r="C251" s="196"/>
      <c r="D251" s="196"/>
      <c r="E251" s="196"/>
      <c r="F251" s="196"/>
      <c r="G251" s="196"/>
      <c r="H251" s="196"/>
      <c r="I251" s="196"/>
      <c r="J251" s="196"/>
      <c r="K251" s="196"/>
      <c r="L251" s="196"/>
      <c r="M251" s="196"/>
      <c r="N251" s="196"/>
      <c r="O251" s="196"/>
    </row>
    <row r="252" spans="3:15">
      <c r="C252" s="196"/>
      <c r="D252" s="196"/>
      <c r="E252" s="196"/>
      <c r="F252" s="196"/>
      <c r="G252" s="196"/>
      <c r="H252" s="196"/>
      <c r="I252" s="196"/>
      <c r="J252" s="196"/>
      <c r="K252" s="196"/>
      <c r="L252" s="196"/>
      <c r="M252" s="196"/>
      <c r="N252" s="196"/>
      <c r="O252" s="196"/>
    </row>
    <row r="253" spans="3:15">
      <c r="C253" s="196"/>
      <c r="D253" s="196"/>
      <c r="E253" s="196"/>
      <c r="F253" s="196"/>
      <c r="G253" s="196"/>
      <c r="H253" s="196"/>
      <c r="I253" s="196"/>
      <c r="J253" s="196"/>
      <c r="K253" s="196"/>
      <c r="L253" s="196"/>
      <c r="M253" s="196"/>
      <c r="N253" s="196"/>
      <c r="O253" s="196"/>
    </row>
    <row r="254" spans="3:15">
      <c r="C254" s="196"/>
      <c r="D254" s="196"/>
      <c r="E254" s="196"/>
      <c r="F254" s="196"/>
      <c r="G254" s="196"/>
      <c r="H254" s="196"/>
      <c r="I254" s="196"/>
      <c r="J254" s="196"/>
      <c r="K254" s="196"/>
      <c r="L254" s="196"/>
      <c r="M254" s="196"/>
      <c r="N254" s="196"/>
      <c r="O254" s="196"/>
    </row>
    <row r="255" spans="3:15">
      <c r="C255" s="196"/>
      <c r="D255" s="196"/>
      <c r="E255" s="196"/>
      <c r="F255" s="196"/>
      <c r="G255" s="196"/>
      <c r="H255" s="196"/>
      <c r="I255" s="196"/>
      <c r="J255" s="196"/>
      <c r="K255" s="196"/>
      <c r="L255" s="196"/>
      <c r="M255" s="196"/>
      <c r="N255" s="196"/>
      <c r="O255" s="196"/>
    </row>
    <row r="256" spans="3:15">
      <c r="C256" s="196"/>
      <c r="D256" s="196"/>
      <c r="E256" s="196"/>
      <c r="F256" s="196"/>
      <c r="G256" s="196"/>
      <c r="H256" s="196"/>
      <c r="I256" s="196"/>
      <c r="J256" s="196"/>
      <c r="K256" s="196"/>
      <c r="L256" s="196"/>
      <c r="M256" s="196"/>
      <c r="N256" s="196"/>
      <c r="O256" s="196"/>
    </row>
    <row r="257" spans="3:15">
      <c r="C257" s="196"/>
      <c r="D257" s="196"/>
      <c r="E257" s="196"/>
      <c r="F257" s="196"/>
      <c r="G257" s="196"/>
      <c r="H257" s="196"/>
      <c r="I257" s="196"/>
      <c r="J257" s="196"/>
      <c r="K257" s="196"/>
      <c r="L257" s="196"/>
      <c r="M257" s="196"/>
      <c r="N257" s="196"/>
      <c r="O257" s="196"/>
    </row>
    <row r="258" spans="3:15">
      <c r="C258" s="196"/>
      <c r="D258" s="196"/>
      <c r="E258" s="196"/>
      <c r="F258" s="196"/>
      <c r="G258" s="196"/>
      <c r="H258" s="196"/>
      <c r="I258" s="196"/>
      <c r="J258" s="196"/>
      <c r="K258" s="196"/>
      <c r="L258" s="196"/>
      <c r="M258" s="196"/>
      <c r="N258" s="196"/>
      <c r="O258" s="196"/>
    </row>
    <row r="259" spans="3:15">
      <c r="C259" s="196"/>
      <c r="D259" s="196"/>
      <c r="E259" s="196"/>
      <c r="F259" s="196"/>
      <c r="G259" s="196"/>
      <c r="H259" s="196"/>
      <c r="I259" s="196"/>
      <c r="J259" s="196"/>
      <c r="K259" s="196"/>
      <c r="L259" s="196"/>
      <c r="M259" s="196"/>
      <c r="N259" s="196"/>
      <c r="O259" s="196"/>
    </row>
    <row r="260" spans="3:15">
      <c r="C260" s="196"/>
      <c r="D260" s="196"/>
      <c r="E260" s="196"/>
      <c r="F260" s="196"/>
      <c r="G260" s="196"/>
      <c r="H260" s="196"/>
      <c r="I260" s="196"/>
      <c r="J260" s="196"/>
      <c r="K260" s="196"/>
      <c r="L260" s="196"/>
      <c r="M260" s="196"/>
      <c r="N260" s="196"/>
      <c r="O260" s="196"/>
    </row>
    <row r="261" spans="3:15">
      <c r="C261" s="196"/>
      <c r="D261" s="196"/>
      <c r="E261" s="196"/>
      <c r="F261" s="196"/>
      <c r="G261" s="196"/>
      <c r="H261" s="196"/>
      <c r="I261" s="196"/>
      <c r="J261" s="196"/>
      <c r="K261" s="196"/>
      <c r="L261" s="196"/>
      <c r="M261" s="196"/>
      <c r="N261" s="196"/>
      <c r="O261" s="196"/>
    </row>
    <row r="262" spans="3:15">
      <c r="C262" s="196"/>
      <c r="D262" s="196"/>
      <c r="E262" s="196"/>
      <c r="F262" s="196"/>
      <c r="G262" s="196"/>
      <c r="H262" s="196"/>
      <c r="I262" s="196"/>
      <c r="J262" s="196"/>
      <c r="K262" s="196"/>
      <c r="L262" s="196"/>
      <c r="M262" s="196"/>
      <c r="N262" s="196"/>
      <c r="O262" s="196"/>
    </row>
    <row r="263" spans="3:15">
      <c r="C263" s="196"/>
      <c r="D263" s="196"/>
      <c r="E263" s="196"/>
      <c r="F263" s="196"/>
      <c r="G263" s="196"/>
      <c r="H263" s="196"/>
      <c r="I263" s="196"/>
      <c r="J263" s="196"/>
      <c r="K263" s="196"/>
      <c r="L263" s="196"/>
      <c r="M263" s="196"/>
      <c r="N263" s="196"/>
      <c r="O263" s="196"/>
    </row>
    <row r="264" spans="3:15">
      <c r="C264" s="196"/>
      <c r="D264" s="196"/>
      <c r="E264" s="196"/>
      <c r="F264" s="196"/>
      <c r="G264" s="196"/>
      <c r="H264" s="196"/>
      <c r="I264" s="196"/>
      <c r="J264" s="196"/>
      <c r="K264" s="196"/>
      <c r="L264" s="196"/>
      <c r="M264" s="196"/>
      <c r="N264" s="196"/>
      <c r="O264" s="196"/>
    </row>
    <row r="265" spans="3:15">
      <c r="C265" s="196"/>
      <c r="D265" s="196"/>
      <c r="E265" s="196"/>
      <c r="F265" s="196"/>
      <c r="G265" s="196"/>
      <c r="H265" s="196"/>
      <c r="I265" s="196"/>
      <c r="J265" s="196"/>
      <c r="K265" s="196"/>
      <c r="L265" s="196"/>
      <c r="M265" s="196"/>
      <c r="N265" s="196"/>
      <c r="O265" s="196"/>
    </row>
    <row r="266" spans="3:15">
      <c r="C266" s="196"/>
      <c r="D266" s="196"/>
      <c r="E266" s="196"/>
      <c r="F266" s="196"/>
      <c r="G266" s="196"/>
      <c r="H266" s="196"/>
      <c r="I266" s="196"/>
      <c r="J266" s="196"/>
      <c r="K266" s="196"/>
      <c r="L266" s="196"/>
      <c r="M266" s="196"/>
      <c r="N266" s="196"/>
      <c r="O266" s="196"/>
    </row>
    <row r="267" spans="3:15">
      <c r="C267" s="196"/>
      <c r="D267" s="196"/>
      <c r="E267" s="196"/>
      <c r="F267" s="196"/>
      <c r="G267" s="196"/>
      <c r="H267" s="196"/>
      <c r="I267" s="196"/>
      <c r="J267" s="196"/>
      <c r="K267" s="196"/>
      <c r="L267" s="196"/>
      <c r="M267" s="196"/>
      <c r="N267" s="196"/>
      <c r="O267" s="196"/>
    </row>
    <row r="268" spans="3:15">
      <c r="C268" s="196"/>
      <c r="D268" s="196"/>
      <c r="E268" s="196"/>
      <c r="F268" s="196"/>
      <c r="G268" s="196"/>
      <c r="H268" s="196"/>
      <c r="I268" s="196"/>
      <c r="J268" s="196"/>
      <c r="K268" s="196"/>
      <c r="L268" s="196"/>
      <c r="M268" s="196"/>
      <c r="N268" s="196"/>
      <c r="O268" s="196"/>
    </row>
    <row r="269" spans="3:15">
      <c r="C269" s="196"/>
      <c r="D269" s="196"/>
      <c r="E269" s="196"/>
      <c r="F269" s="196"/>
      <c r="G269" s="196"/>
      <c r="H269" s="196"/>
      <c r="I269" s="196"/>
      <c r="J269" s="196"/>
      <c r="K269" s="196"/>
      <c r="L269" s="196"/>
      <c r="M269" s="196"/>
      <c r="N269" s="196"/>
      <c r="O269" s="196"/>
    </row>
    <row r="270" spans="3:15">
      <c r="C270" s="196"/>
      <c r="D270" s="196"/>
      <c r="E270" s="196"/>
      <c r="F270" s="196"/>
      <c r="G270" s="196"/>
      <c r="H270" s="196"/>
      <c r="I270" s="196"/>
      <c r="J270" s="196"/>
      <c r="K270" s="196"/>
      <c r="L270" s="196"/>
      <c r="M270" s="196"/>
      <c r="N270" s="196"/>
      <c r="O270" s="196"/>
    </row>
    <row r="271" spans="3:15">
      <c r="C271" s="196"/>
      <c r="D271" s="196"/>
      <c r="E271" s="196"/>
      <c r="F271" s="196"/>
      <c r="G271" s="196"/>
      <c r="H271" s="196"/>
      <c r="I271" s="196"/>
      <c r="J271" s="196"/>
      <c r="K271" s="196"/>
      <c r="L271" s="196"/>
      <c r="M271" s="196"/>
      <c r="N271" s="196"/>
      <c r="O271" s="196"/>
    </row>
    <row r="272" spans="3:15">
      <c r="C272" s="196"/>
      <c r="D272" s="196"/>
      <c r="E272" s="196"/>
      <c r="F272" s="196"/>
      <c r="G272" s="196"/>
      <c r="H272" s="196"/>
      <c r="I272" s="196"/>
      <c r="J272" s="196"/>
      <c r="K272" s="196"/>
      <c r="L272" s="196"/>
      <c r="M272" s="196"/>
      <c r="N272" s="196"/>
      <c r="O272" s="196"/>
    </row>
    <row r="273" spans="3:15">
      <c r="C273" s="196"/>
      <c r="D273" s="196"/>
      <c r="E273" s="196"/>
      <c r="F273" s="196"/>
      <c r="G273" s="196"/>
      <c r="H273" s="196"/>
      <c r="I273" s="196"/>
      <c r="J273" s="196"/>
      <c r="K273" s="196"/>
      <c r="L273" s="196"/>
      <c r="M273" s="196"/>
      <c r="N273" s="196"/>
      <c r="O273" s="196"/>
    </row>
    <row r="274" spans="3:15">
      <c r="C274" s="196"/>
      <c r="D274" s="196"/>
      <c r="E274" s="196"/>
      <c r="F274" s="196"/>
      <c r="G274" s="196"/>
      <c r="H274" s="196"/>
      <c r="I274" s="196"/>
      <c r="J274" s="196"/>
      <c r="K274" s="196"/>
      <c r="L274" s="196"/>
      <c r="M274" s="196"/>
      <c r="N274" s="196"/>
      <c r="O274" s="196"/>
    </row>
    <row r="275" spans="3:15">
      <c r="C275" s="196"/>
      <c r="D275" s="196"/>
      <c r="E275" s="196"/>
      <c r="F275" s="196"/>
      <c r="G275" s="196"/>
      <c r="H275" s="196"/>
      <c r="I275" s="196"/>
      <c r="J275" s="196"/>
      <c r="K275" s="196"/>
      <c r="L275" s="196"/>
      <c r="M275" s="196"/>
      <c r="N275" s="196"/>
      <c r="O275" s="196"/>
    </row>
    <row r="276" spans="3:15">
      <c r="C276" s="196"/>
      <c r="D276" s="196"/>
      <c r="E276" s="196"/>
      <c r="F276" s="196"/>
      <c r="G276" s="196"/>
      <c r="H276" s="196"/>
      <c r="I276" s="196"/>
      <c r="J276" s="196"/>
      <c r="K276" s="196"/>
      <c r="L276" s="196"/>
      <c r="M276" s="196"/>
      <c r="N276" s="196"/>
      <c r="O276" s="196"/>
    </row>
    <row r="277" spans="3:15">
      <c r="C277" s="196"/>
      <c r="D277" s="196"/>
      <c r="E277" s="196"/>
      <c r="F277" s="196"/>
      <c r="G277" s="196"/>
      <c r="H277" s="196"/>
      <c r="I277" s="196"/>
      <c r="J277" s="196"/>
      <c r="K277" s="196"/>
      <c r="L277" s="196"/>
      <c r="M277" s="196"/>
      <c r="N277" s="196"/>
      <c r="O277" s="196"/>
    </row>
    <row r="278" spans="3:15">
      <c r="C278" s="196"/>
      <c r="D278" s="196"/>
      <c r="E278" s="196"/>
      <c r="F278" s="196"/>
      <c r="G278" s="196"/>
      <c r="H278" s="196"/>
      <c r="I278" s="196"/>
      <c r="J278" s="196"/>
      <c r="K278" s="196"/>
      <c r="L278" s="196"/>
      <c r="M278" s="196"/>
      <c r="N278" s="196"/>
      <c r="O278" s="196"/>
    </row>
    <row r="279" spans="3:15">
      <c r="C279" s="196"/>
      <c r="D279" s="196"/>
      <c r="E279" s="196"/>
      <c r="F279" s="196"/>
      <c r="G279" s="196"/>
      <c r="H279" s="196"/>
      <c r="I279" s="196"/>
      <c r="J279" s="196"/>
      <c r="K279" s="196"/>
      <c r="L279" s="196"/>
      <c r="M279" s="196"/>
      <c r="N279" s="196"/>
      <c r="O279" s="196"/>
    </row>
    <row r="280" spans="3:15">
      <c r="C280" s="196"/>
      <c r="D280" s="196"/>
      <c r="E280" s="196"/>
      <c r="F280" s="196"/>
      <c r="G280" s="196"/>
      <c r="H280" s="196"/>
      <c r="I280" s="196"/>
      <c r="J280" s="196"/>
      <c r="K280" s="196"/>
      <c r="L280" s="196"/>
      <c r="M280" s="196"/>
      <c r="N280" s="196"/>
      <c r="O280" s="196"/>
    </row>
    <row r="281" spans="3:15">
      <c r="C281" s="196"/>
      <c r="D281" s="196"/>
      <c r="E281" s="196"/>
      <c r="F281" s="196"/>
      <c r="G281" s="196"/>
      <c r="H281" s="196"/>
      <c r="I281" s="196"/>
      <c r="J281" s="196"/>
      <c r="K281" s="196"/>
      <c r="L281" s="196"/>
      <c r="M281" s="196"/>
      <c r="N281" s="196"/>
      <c r="O281" s="196"/>
    </row>
    <row r="282" spans="3:15">
      <c r="C282" s="196"/>
      <c r="D282" s="196"/>
      <c r="E282" s="196"/>
      <c r="F282" s="196"/>
      <c r="G282" s="196"/>
      <c r="H282" s="196"/>
      <c r="I282" s="196"/>
      <c r="J282" s="196"/>
      <c r="K282" s="196"/>
      <c r="L282" s="196"/>
      <c r="M282" s="196"/>
      <c r="N282" s="196"/>
      <c r="O282" s="196"/>
    </row>
    <row r="283" spans="3:15">
      <c r="C283" s="196"/>
      <c r="D283" s="196"/>
      <c r="E283" s="196"/>
      <c r="F283" s="196"/>
      <c r="G283" s="196"/>
      <c r="H283" s="196"/>
      <c r="I283" s="196"/>
      <c r="J283" s="196"/>
      <c r="K283" s="196"/>
      <c r="L283" s="196"/>
      <c r="M283" s="196"/>
      <c r="N283" s="196"/>
      <c r="O283" s="196"/>
    </row>
    <row r="284" spans="3:15">
      <c r="C284" s="196"/>
      <c r="D284" s="196"/>
      <c r="E284" s="196"/>
      <c r="F284" s="196"/>
      <c r="G284" s="196"/>
      <c r="H284" s="196"/>
      <c r="I284" s="196"/>
      <c r="J284" s="196"/>
      <c r="K284" s="196"/>
      <c r="L284" s="196"/>
      <c r="M284" s="196"/>
      <c r="N284" s="196"/>
      <c r="O284" s="196"/>
    </row>
    <row r="285" spans="3:15">
      <c r="C285" s="196"/>
      <c r="D285" s="196"/>
      <c r="E285" s="196"/>
      <c r="F285" s="196"/>
      <c r="G285" s="196"/>
      <c r="H285" s="196"/>
      <c r="I285" s="196"/>
      <c r="J285" s="196"/>
      <c r="K285" s="196"/>
      <c r="L285" s="196"/>
      <c r="M285" s="196"/>
      <c r="N285" s="196"/>
      <c r="O285" s="196"/>
    </row>
    <row r="286" spans="3:15">
      <c r="C286" s="196"/>
      <c r="D286" s="196"/>
      <c r="E286" s="196"/>
      <c r="F286" s="196"/>
      <c r="G286" s="196"/>
      <c r="H286" s="196"/>
      <c r="I286" s="196"/>
      <c r="J286" s="196"/>
      <c r="K286" s="196"/>
      <c r="L286" s="196"/>
      <c r="M286" s="196"/>
      <c r="N286" s="196"/>
      <c r="O286" s="196"/>
    </row>
    <row r="287" spans="3:15">
      <c r="C287" s="196"/>
      <c r="D287" s="196"/>
      <c r="E287" s="196"/>
      <c r="F287" s="196"/>
      <c r="G287" s="196"/>
      <c r="H287" s="196"/>
      <c r="I287" s="196"/>
      <c r="J287" s="196"/>
      <c r="K287" s="196"/>
      <c r="L287" s="196"/>
      <c r="M287" s="196"/>
      <c r="N287" s="196"/>
      <c r="O287" s="196"/>
    </row>
    <row r="288" spans="3:15">
      <c r="C288" s="196"/>
      <c r="D288" s="196"/>
      <c r="E288" s="196"/>
      <c r="F288" s="196"/>
      <c r="G288" s="196"/>
      <c r="H288" s="196"/>
      <c r="I288" s="196"/>
      <c r="J288" s="196"/>
      <c r="K288" s="196"/>
      <c r="L288" s="196"/>
      <c r="M288" s="196"/>
      <c r="N288" s="196"/>
      <c r="O288" s="196"/>
    </row>
    <row r="289" spans="3:15">
      <c r="C289" s="196"/>
      <c r="D289" s="196"/>
      <c r="E289" s="196"/>
      <c r="F289" s="196"/>
      <c r="G289" s="196"/>
      <c r="H289" s="196"/>
      <c r="I289" s="196"/>
      <c r="J289" s="196"/>
      <c r="K289" s="196"/>
      <c r="L289" s="196"/>
      <c r="M289" s="196"/>
      <c r="N289" s="196"/>
      <c r="O289" s="196"/>
    </row>
    <row r="290" spans="3:15">
      <c r="C290" s="196"/>
      <c r="D290" s="196"/>
      <c r="E290" s="196"/>
      <c r="F290" s="196"/>
      <c r="G290" s="196"/>
      <c r="H290" s="196"/>
      <c r="I290" s="196"/>
      <c r="J290" s="196"/>
      <c r="K290" s="196"/>
      <c r="L290" s="196"/>
      <c r="M290" s="196"/>
      <c r="N290" s="196"/>
      <c r="O290" s="196"/>
    </row>
    <row r="291" spans="3:15">
      <c r="C291" s="196"/>
      <c r="D291" s="196"/>
      <c r="E291" s="196"/>
      <c r="F291" s="196"/>
      <c r="G291" s="196"/>
      <c r="H291" s="196"/>
      <c r="I291" s="196"/>
      <c r="J291" s="196"/>
    </row>
    <row r="292" spans="3:15">
      <c r="C292" s="196"/>
      <c r="D292" s="196"/>
      <c r="E292" s="196"/>
      <c r="F292" s="196"/>
      <c r="G292" s="196"/>
      <c r="H292" s="196"/>
      <c r="I292" s="196"/>
      <c r="J292" s="196"/>
    </row>
    <row r="293" spans="3:15">
      <c r="C293" s="196"/>
      <c r="D293" s="196"/>
      <c r="E293" s="196"/>
      <c r="F293" s="196"/>
      <c r="G293" s="196"/>
      <c r="H293" s="196"/>
      <c r="I293" s="196"/>
      <c r="J293" s="196"/>
    </row>
    <row r="294" spans="3:15">
      <c r="C294" s="196"/>
      <c r="D294" s="196"/>
      <c r="E294" s="196"/>
      <c r="F294" s="196"/>
      <c r="G294" s="196"/>
      <c r="H294" s="196"/>
      <c r="I294" s="196"/>
      <c r="J294" s="196"/>
    </row>
    <row r="295" spans="3:15">
      <c r="C295" s="196"/>
      <c r="D295" s="196"/>
      <c r="E295" s="196"/>
      <c r="F295" s="196"/>
      <c r="G295" s="196"/>
      <c r="H295" s="196"/>
      <c r="I295" s="196"/>
      <c r="J295" s="196"/>
    </row>
    <row r="296" spans="3:15">
      <c r="C296" s="196"/>
      <c r="D296" s="196"/>
      <c r="E296" s="196"/>
      <c r="F296" s="196"/>
      <c r="G296" s="196"/>
      <c r="H296" s="196"/>
      <c r="I296" s="196"/>
      <c r="J296" s="196"/>
    </row>
    <row r="297" spans="3:15">
      <c r="C297" s="196"/>
      <c r="D297" s="196"/>
      <c r="E297" s="196"/>
      <c r="F297" s="196"/>
      <c r="G297" s="196"/>
      <c r="H297" s="196"/>
      <c r="I297" s="196"/>
      <c r="J297" s="196"/>
    </row>
    <row r="298" spans="3:15">
      <c r="C298" s="196"/>
      <c r="D298" s="196"/>
      <c r="E298" s="196"/>
      <c r="F298" s="196"/>
      <c r="G298" s="196"/>
      <c r="H298" s="196"/>
      <c r="I298" s="196"/>
      <c r="J298" s="196"/>
    </row>
  </sheetData>
  <mergeCells count="8">
    <mergeCell ref="M100:X100"/>
    <mergeCell ref="M99:X99"/>
    <mergeCell ref="M93:X93"/>
    <mergeCell ref="M94:X94"/>
    <mergeCell ref="M95:X95"/>
    <mergeCell ref="M96:X96"/>
    <mergeCell ref="M97:X97"/>
    <mergeCell ref="M98:X98"/>
  </mergeCells>
  <printOptions horizontalCentered="1"/>
  <pageMargins left="0.75" right="0.75" top="0.75" bottom="0.5" header="0.5" footer="0.5"/>
  <pageSetup scale="56" orientation="landscape" r:id="rId1"/>
  <headerFooter alignWithMargins="0"/>
  <rowBreaks count="1" manualBreakCount="1">
    <brk id="48" min="10" max="2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7030A0"/>
    <pageSetUpPr fitToPage="1"/>
  </sheetPr>
  <dimension ref="A1:AY298"/>
  <sheetViews>
    <sheetView zoomScale="75" zoomScaleNormal="75" workbookViewId="0">
      <selection activeCell="A2" sqref="A2"/>
    </sheetView>
  </sheetViews>
  <sheetFormatPr defaultRowHeight="15"/>
  <cols>
    <col min="1" max="1" width="6" style="138" customWidth="1"/>
    <col min="2" max="2" width="1.44140625" style="138" customWidth="1"/>
    <col min="3" max="3" width="51.5546875" style="138" customWidth="1"/>
    <col min="4" max="4" width="1.44140625" style="138" customWidth="1"/>
    <col min="5" max="5" width="37.109375" style="138" customWidth="1"/>
    <col min="6" max="6" width="1.109375" style="138" customWidth="1"/>
    <col min="7" max="7" width="14.109375" style="138" customWidth="1"/>
    <col min="8" max="8" width="1" style="138" customWidth="1"/>
    <col min="9" max="10" width="12.77734375" style="138" customWidth="1"/>
    <col min="11" max="11" width="5.21875" style="138" customWidth="1"/>
    <col min="12" max="12" width="2.21875" style="138" customWidth="1"/>
    <col min="13" max="13" width="26.21875" style="138" customWidth="1"/>
    <col min="14" max="14" width="9.77734375" style="138" customWidth="1"/>
    <col min="15" max="15" width="9" style="138" customWidth="1"/>
    <col min="16" max="16" width="14" style="138" customWidth="1"/>
    <col min="17" max="17" width="13.33203125" style="138" customWidth="1"/>
    <col min="18" max="18" width="9" style="138" customWidth="1"/>
    <col min="19" max="19" width="14.6640625" style="138" customWidth="1"/>
    <col min="20" max="20" width="12.77734375" style="138" customWidth="1"/>
    <col min="21" max="21" width="12.109375" style="138" customWidth="1"/>
    <col min="22" max="22" width="16.6640625" style="138" customWidth="1"/>
    <col min="23" max="23" width="11.5546875" style="138" customWidth="1"/>
    <col min="24" max="24" width="15.77734375" style="138" customWidth="1"/>
    <col min="25" max="242" width="8.88671875" style="138"/>
    <col min="243" max="243" width="6" style="138" customWidth="1"/>
    <col min="244" max="244" width="1.44140625" style="138" customWidth="1"/>
    <col min="245" max="245" width="39.109375" style="138" customWidth="1"/>
    <col min="246" max="246" width="12" style="138" customWidth="1"/>
    <col min="247" max="247" width="14.44140625" style="138" customWidth="1"/>
    <col min="248" max="248" width="11.88671875" style="138" customWidth="1"/>
    <col min="249" max="249" width="14.109375" style="138" customWidth="1"/>
    <col min="250" max="250" width="13.88671875" style="138" customWidth="1"/>
    <col min="251" max="252" width="12.77734375" style="138" customWidth="1"/>
    <col min="253" max="253" width="13.5546875" style="138" customWidth="1"/>
    <col min="254" max="254" width="15.33203125" style="138" customWidth="1"/>
    <col min="255" max="255" width="12.77734375" style="138" customWidth="1"/>
    <col min="256" max="256" width="13.88671875" style="138" customWidth="1"/>
    <col min="257" max="257" width="1.88671875" style="138" customWidth="1"/>
    <col min="258" max="258" width="13" style="138" customWidth="1"/>
    <col min="259" max="498" width="8.88671875" style="138"/>
    <col min="499" max="499" width="6" style="138" customWidth="1"/>
    <col min="500" max="500" width="1.44140625" style="138" customWidth="1"/>
    <col min="501" max="501" width="39.109375" style="138" customWidth="1"/>
    <col min="502" max="502" width="12" style="138" customWidth="1"/>
    <col min="503" max="503" width="14.44140625" style="138" customWidth="1"/>
    <col min="504" max="504" width="11.88671875" style="138" customWidth="1"/>
    <col min="505" max="505" width="14.109375" style="138" customWidth="1"/>
    <col min="506" max="506" width="13.88671875" style="138" customWidth="1"/>
    <col min="507" max="508" width="12.77734375" style="138" customWidth="1"/>
    <col min="509" max="509" width="13.5546875" style="138" customWidth="1"/>
    <col min="510" max="510" width="15.33203125" style="138" customWidth="1"/>
    <col min="511" max="511" width="12.77734375" style="138" customWidth="1"/>
    <col min="512" max="512" width="13.88671875" style="138" customWidth="1"/>
    <col min="513" max="513" width="1.88671875" style="138" customWidth="1"/>
    <col min="514" max="514" width="13" style="138" customWidth="1"/>
    <col min="515" max="754" width="8.88671875" style="138"/>
    <col min="755" max="755" width="6" style="138" customWidth="1"/>
    <col min="756" max="756" width="1.44140625" style="138" customWidth="1"/>
    <col min="757" max="757" width="39.109375" style="138" customWidth="1"/>
    <col min="758" max="758" width="12" style="138" customWidth="1"/>
    <col min="759" max="759" width="14.44140625" style="138" customWidth="1"/>
    <col min="760" max="760" width="11.88671875" style="138" customWidth="1"/>
    <col min="761" max="761" width="14.109375" style="138" customWidth="1"/>
    <col min="762" max="762" width="13.88671875" style="138" customWidth="1"/>
    <col min="763" max="764" width="12.77734375" style="138" customWidth="1"/>
    <col min="765" max="765" width="13.5546875" style="138" customWidth="1"/>
    <col min="766" max="766" width="15.33203125" style="138" customWidth="1"/>
    <col min="767" max="767" width="12.77734375" style="138" customWidth="1"/>
    <col min="768" max="768" width="13.88671875" style="138" customWidth="1"/>
    <col min="769" max="769" width="1.88671875" style="138" customWidth="1"/>
    <col min="770" max="770" width="13" style="138" customWidth="1"/>
    <col min="771" max="1010" width="8.88671875" style="138"/>
    <col min="1011" max="1011" width="6" style="138" customWidth="1"/>
    <col min="1012" max="1012" width="1.44140625" style="138" customWidth="1"/>
    <col min="1013" max="1013" width="39.109375" style="138" customWidth="1"/>
    <col min="1014" max="1014" width="12" style="138" customWidth="1"/>
    <col min="1015" max="1015" width="14.44140625" style="138" customWidth="1"/>
    <col min="1016" max="1016" width="11.88671875" style="138" customWidth="1"/>
    <col min="1017" max="1017" width="14.109375" style="138" customWidth="1"/>
    <col min="1018" max="1018" width="13.88671875" style="138" customWidth="1"/>
    <col min="1019" max="1020" width="12.77734375" style="138" customWidth="1"/>
    <col min="1021" max="1021" width="13.5546875" style="138" customWidth="1"/>
    <col min="1022" max="1022" width="15.33203125" style="138" customWidth="1"/>
    <col min="1023" max="1023" width="12.77734375" style="138" customWidth="1"/>
    <col min="1024" max="1024" width="13.88671875" style="138" customWidth="1"/>
    <col min="1025" max="1025" width="1.88671875" style="138" customWidth="1"/>
    <col min="1026" max="1026" width="13" style="138" customWidth="1"/>
    <col min="1027" max="1266" width="8.88671875" style="138"/>
    <col min="1267" max="1267" width="6" style="138" customWidth="1"/>
    <col min="1268" max="1268" width="1.44140625" style="138" customWidth="1"/>
    <col min="1269" max="1269" width="39.109375" style="138" customWidth="1"/>
    <col min="1270" max="1270" width="12" style="138" customWidth="1"/>
    <col min="1271" max="1271" width="14.44140625" style="138" customWidth="1"/>
    <col min="1272" max="1272" width="11.88671875" style="138" customWidth="1"/>
    <col min="1273" max="1273" width="14.109375" style="138" customWidth="1"/>
    <col min="1274" max="1274" width="13.88671875" style="138" customWidth="1"/>
    <col min="1275" max="1276" width="12.77734375" style="138" customWidth="1"/>
    <col min="1277" max="1277" width="13.5546875" style="138" customWidth="1"/>
    <col min="1278" max="1278" width="15.33203125" style="138" customWidth="1"/>
    <col min="1279" max="1279" width="12.77734375" style="138" customWidth="1"/>
    <col min="1280" max="1280" width="13.88671875" style="138" customWidth="1"/>
    <col min="1281" max="1281" width="1.88671875" style="138" customWidth="1"/>
    <col min="1282" max="1282" width="13" style="138" customWidth="1"/>
    <col min="1283" max="1522" width="8.88671875" style="138"/>
    <col min="1523" max="1523" width="6" style="138" customWidth="1"/>
    <col min="1524" max="1524" width="1.44140625" style="138" customWidth="1"/>
    <col min="1525" max="1525" width="39.109375" style="138" customWidth="1"/>
    <col min="1526" max="1526" width="12" style="138" customWidth="1"/>
    <col min="1527" max="1527" width="14.44140625" style="138" customWidth="1"/>
    <col min="1528" max="1528" width="11.88671875" style="138" customWidth="1"/>
    <col min="1529" max="1529" width="14.109375" style="138" customWidth="1"/>
    <col min="1530" max="1530" width="13.88671875" style="138" customWidth="1"/>
    <col min="1531" max="1532" width="12.77734375" style="138" customWidth="1"/>
    <col min="1533" max="1533" width="13.5546875" style="138" customWidth="1"/>
    <col min="1534" max="1534" width="15.33203125" style="138" customWidth="1"/>
    <col min="1535" max="1535" width="12.77734375" style="138" customWidth="1"/>
    <col min="1536" max="1536" width="13.88671875" style="138" customWidth="1"/>
    <col min="1537" max="1537" width="1.88671875" style="138" customWidth="1"/>
    <col min="1538" max="1538" width="13" style="138" customWidth="1"/>
    <col min="1539" max="1778" width="8.88671875" style="138"/>
    <col min="1779" max="1779" width="6" style="138" customWidth="1"/>
    <col min="1780" max="1780" width="1.44140625" style="138" customWidth="1"/>
    <col min="1781" max="1781" width="39.109375" style="138" customWidth="1"/>
    <col min="1782" max="1782" width="12" style="138" customWidth="1"/>
    <col min="1783" max="1783" width="14.44140625" style="138" customWidth="1"/>
    <col min="1784" max="1784" width="11.88671875" style="138" customWidth="1"/>
    <col min="1785" max="1785" width="14.109375" style="138" customWidth="1"/>
    <col min="1786" max="1786" width="13.88671875" style="138" customWidth="1"/>
    <col min="1787" max="1788" width="12.77734375" style="138" customWidth="1"/>
    <col min="1789" max="1789" width="13.5546875" style="138" customWidth="1"/>
    <col min="1790" max="1790" width="15.33203125" style="138" customWidth="1"/>
    <col min="1791" max="1791" width="12.77734375" style="138" customWidth="1"/>
    <col min="1792" max="1792" width="13.88671875" style="138" customWidth="1"/>
    <col min="1793" max="1793" width="1.88671875" style="138" customWidth="1"/>
    <col min="1794" max="1794" width="13" style="138" customWidth="1"/>
    <col min="1795" max="2034" width="8.88671875" style="138"/>
    <col min="2035" max="2035" width="6" style="138" customWidth="1"/>
    <col min="2036" max="2036" width="1.44140625" style="138" customWidth="1"/>
    <col min="2037" max="2037" width="39.109375" style="138" customWidth="1"/>
    <col min="2038" max="2038" width="12" style="138" customWidth="1"/>
    <col min="2039" max="2039" width="14.44140625" style="138" customWidth="1"/>
    <col min="2040" max="2040" width="11.88671875" style="138" customWidth="1"/>
    <col min="2041" max="2041" width="14.109375" style="138" customWidth="1"/>
    <col min="2042" max="2042" width="13.88671875" style="138" customWidth="1"/>
    <col min="2043" max="2044" width="12.77734375" style="138" customWidth="1"/>
    <col min="2045" max="2045" width="13.5546875" style="138" customWidth="1"/>
    <col min="2046" max="2046" width="15.33203125" style="138" customWidth="1"/>
    <col min="2047" max="2047" width="12.77734375" style="138" customWidth="1"/>
    <col min="2048" max="2048" width="13.88671875" style="138" customWidth="1"/>
    <col min="2049" max="2049" width="1.88671875" style="138" customWidth="1"/>
    <col min="2050" max="2050" width="13" style="138" customWidth="1"/>
    <col min="2051" max="2290" width="8.88671875" style="138"/>
    <col min="2291" max="2291" width="6" style="138" customWidth="1"/>
    <col min="2292" max="2292" width="1.44140625" style="138" customWidth="1"/>
    <col min="2293" max="2293" width="39.109375" style="138" customWidth="1"/>
    <col min="2294" max="2294" width="12" style="138" customWidth="1"/>
    <col min="2295" max="2295" width="14.44140625" style="138" customWidth="1"/>
    <col min="2296" max="2296" width="11.88671875" style="138" customWidth="1"/>
    <col min="2297" max="2297" width="14.109375" style="138" customWidth="1"/>
    <col min="2298" max="2298" width="13.88671875" style="138" customWidth="1"/>
    <col min="2299" max="2300" width="12.77734375" style="138" customWidth="1"/>
    <col min="2301" max="2301" width="13.5546875" style="138" customWidth="1"/>
    <col min="2302" max="2302" width="15.33203125" style="138" customWidth="1"/>
    <col min="2303" max="2303" width="12.77734375" style="138" customWidth="1"/>
    <col min="2304" max="2304" width="13.88671875" style="138" customWidth="1"/>
    <col min="2305" max="2305" width="1.88671875" style="138" customWidth="1"/>
    <col min="2306" max="2306" width="13" style="138" customWidth="1"/>
    <col min="2307" max="2546" width="8.88671875" style="138"/>
    <col min="2547" max="2547" width="6" style="138" customWidth="1"/>
    <col min="2548" max="2548" width="1.44140625" style="138" customWidth="1"/>
    <col min="2549" max="2549" width="39.109375" style="138" customWidth="1"/>
    <col min="2550" max="2550" width="12" style="138" customWidth="1"/>
    <col min="2551" max="2551" width="14.44140625" style="138" customWidth="1"/>
    <col min="2552" max="2552" width="11.88671875" style="138" customWidth="1"/>
    <col min="2553" max="2553" width="14.109375" style="138" customWidth="1"/>
    <col min="2554" max="2554" width="13.88671875" style="138" customWidth="1"/>
    <col min="2555" max="2556" width="12.77734375" style="138" customWidth="1"/>
    <col min="2557" max="2557" width="13.5546875" style="138" customWidth="1"/>
    <col min="2558" max="2558" width="15.33203125" style="138" customWidth="1"/>
    <col min="2559" max="2559" width="12.77734375" style="138" customWidth="1"/>
    <col min="2560" max="2560" width="13.88671875" style="138" customWidth="1"/>
    <col min="2561" max="2561" width="1.88671875" style="138" customWidth="1"/>
    <col min="2562" max="2562" width="13" style="138" customWidth="1"/>
    <col min="2563" max="2802" width="8.88671875" style="138"/>
    <col min="2803" max="2803" width="6" style="138" customWidth="1"/>
    <col min="2804" max="2804" width="1.44140625" style="138" customWidth="1"/>
    <col min="2805" max="2805" width="39.109375" style="138" customWidth="1"/>
    <col min="2806" max="2806" width="12" style="138" customWidth="1"/>
    <col min="2807" max="2807" width="14.44140625" style="138" customWidth="1"/>
    <col min="2808" max="2808" width="11.88671875" style="138" customWidth="1"/>
    <col min="2809" max="2809" width="14.109375" style="138" customWidth="1"/>
    <col min="2810" max="2810" width="13.88671875" style="138" customWidth="1"/>
    <col min="2811" max="2812" width="12.77734375" style="138" customWidth="1"/>
    <col min="2813" max="2813" width="13.5546875" style="138" customWidth="1"/>
    <col min="2814" max="2814" width="15.33203125" style="138" customWidth="1"/>
    <col min="2815" max="2815" width="12.77734375" style="138" customWidth="1"/>
    <col min="2816" max="2816" width="13.88671875" style="138" customWidth="1"/>
    <col min="2817" max="2817" width="1.88671875" style="138" customWidth="1"/>
    <col min="2818" max="2818" width="13" style="138" customWidth="1"/>
    <col min="2819" max="3058" width="8.88671875" style="138"/>
    <col min="3059" max="3059" width="6" style="138" customWidth="1"/>
    <col min="3060" max="3060" width="1.44140625" style="138" customWidth="1"/>
    <col min="3061" max="3061" width="39.109375" style="138" customWidth="1"/>
    <col min="3062" max="3062" width="12" style="138" customWidth="1"/>
    <col min="3063" max="3063" width="14.44140625" style="138" customWidth="1"/>
    <col min="3064" max="3064" width="11.88671875" style="138" customWidth="1"/>
    <col min="3065" max="3065" width="14.109375" style="138" customWidth="1"/>
    <col min="3066" max="3066" width="13.88671875" style="138" customWidth="1"/>
    <col min="3067" max="3068" width="12.77734375" style="138" customWidth="1"/>
    <col min="3069" max="3069" width="13.5546875" style="138" customWidth="1"/>
    <col min="3070" max="3070" width="15.33203125" style="138" customWidth="1"/>
    <col min="3071" max="3071" width="12.77734375" style="138" customWidth="1"/>
    <col min="3072" max="3072" width="13.88671875" style="138" customWidth="1"/>
    <col min="3073" max="3073" width="1.88671875" style="138" customWidth="1"/>
    <col min="3074" max="3074" width="13" style="138" customWidth="1"/>
    <col min="3075" max="3314" width="8.88671875" style="138"/>
    <col min="3315" max="3315" width="6" style="138" customWidth="1"/>
    <col min="3316" max="3316" width="1.44140625" style="138" customWidth="1"/>
    <col min="3317" max="3317" width="39.109375" style="138" customWidth="1"/>
    <col min="3318" max="3318" width="12" style="138" customWidth="1"/>
    <col min="3319" max="3319" width="14.44140625" style="138" customWidth="1"/>
    <col min="3320" max="3320" width="11.88671875" style="138" customWidth="1"/>
    <col min="3321" max="3321" width="14.109375" style="138" customWidth="1"/>
    <col min="3322" max="3322" width="13.88671875" style="138" customWidth="1"/>
    <col min="3323" max="3324" width="12.77734375" style="138" customWidth="1"/>
    <col min="3325" max="3325" width="13.5546875" style="138" customWidth="1"/>
    <col min="3326" max="3326" width="15.33203125" style="138" customWidth="1"/>
    <col min="3327" max="3327" width="12.77734375" style="138" customWidth="1"/>
    <col min="3328" max="3328" width="13.88671875" style="138" customWidth="1"/>
    <col min="3329" max="3329" width="1.88671875" style="138" customWidth="1"/>
    <col min="3330" max="3330" width="13" style="138" customWidth="1"/>
    <col min="3331" max="3570" width="8.88671875" style="138"/>
    <col min="3571" max="3571" width="6" style="138" customWidth="1"/>
    <col min="3572" max="3572" width="1.44140625" style="138" customWidth="1"/>
    <col min="3573" max="3573" width="39.109375" style="138" customWidth="1"/>
    <col min="3574" max="3574" width="12" style="138" customWidth="1"/>
    <col min="3575" max="3575" width="14.44140625" style="138" customWidth="1"/>
    <col min="3576" max="3576" width="11.88671875" style="138" customWidth="1"/>
    <col min="3577" max="3577" width="14.109375" style="138" customWidth="1"/>
    <col min="3578" max="3578" width="13.88671875" style="138" customWidth="1"/>
    <col min="3579" max="3580" width="12.77734375" style="138" customWidth="1"/>
    <col min="3581" max="3581" width="13.5546875" style="138" customWidth="1"/>
    <col min="3582" max="3582" width="15.33203125" style="138" customWidth="1"/>
    <col min="3583" max="3583" width="12.77734375" style="138" customWidth="1"/>
    <col min="3584" max="3584" width="13.88671875" style="138" customWidth="1"/>
    <col min="3585" max="3585" width="1.88671875" style="138" customWidth="1"/>
    <col min="3586" max="3586" width="13" style="138" customWidth="1"/>
    <col min="3587" max="3826" width="8.88671875" style="138"/>
    <col min="3827" max="3827" width="6" style="138" customWidth="1"/>
    <col min="3828" max="3828" width="1.44140625" style="138" customWidth="1"/>
    <col min="3829" max="3829" width="39.109375" style="138" customWidth="1"/>
    <col min="3830" max="3830" width="12" style="138" customWidth="1"/>
    <col min="3831" max="3831" width="14.44140625" style="138" customWidth="1"/>
    <col min="3832" max="3832" width="11.88671875" style="138" customWidth="1"/>
    <col min="3833" max="3833" width="14.109375" style="138" customWidth="1"/>
    <col min="3834" max="3834" width="13.88671875" style="138" customWidth="1"/>
    <col min="3835" max="3836" width="12.77734375" style="138" customWidth="1"/>
    <col min="3837" max="3837" width="13.5546875" style="138" customWidth="1"/>
    <col min="3838" max="3838" width="15.33203125" style="138" customWidth="1"/>
    <col min="3839" max="3839" width="12.77734375" style="138" customWidth="1"/>
    <col min="3840" max="3840" width="13.88671875" style="138" customWidth="1"/>
    <col min="3841" max="3841" width="1.88671875" style="138" customWidth="1"/>
    <col min="3842" max="3842" width="13" style="138" customWidth="1"/>
    <col min="3843" max="4082" width="8.88671875" style="138"/>
    <col min="4083" max="4083" width="6" style="138" customWidth="1"/>
    <col min="4084" max="4084" width="1.44140625" style="138" customWidth="1"/>
    <col min="4085" max="4085" width="39.109375" style="138" customWidth="1"/>
    <col min="4086" max="4086" width="12" style="138" customWidth="1"/>
    <col min="4087" max="4087" width="14.44140625" style="138" customWidth="1"/>
    <col min="4088" max="4088" width="11.88671875" style="138" customWidth="1"/>
    <col min="4089" max="4089" width="14.109375" style="138" customWidth="1"/>
    <col min="4090" max="4090" width="13.88671875" style="138" customWidth="1"/>
    <col min="4091" max="4092" width="12.77734375" style="138" customWidth="1"/>
    <col min="4093" max="4093" width="13.5546875" style="138" customWidth="1"/>
    <col min="4094" max="4094" width="15.33203125" style="138" customWidth="1"/>
    <col min="4095" max="4095" width="12.77734375" style="138" customWidth="1"/>
    <col min="4096" max="4096" width="13.88671875" style="138" customWidth="1"/>
    <col min="4097" max="4097" width="1.88671875" style="138" customWidth="1"/>
    <col min="4098" max="4098" width="13" style="138" customWidth="1"/>
    <col min="4099" max="4338" width="8.88671875" style="138"/>
    <col min="4339" max="4339" width="6" style="138" customWidth="1"/>
    <col min="4340" max="4340" width="1.44140625" style="138" customWidth="1"/>
    <col min="4341" max="4341" width="39.109375" style="138" customWidth="1"/>
    <col min="4342" max="4342" width="12" style="138" customWidth="1"/>
    <col min="4343" max="4343" width="14.44140625" style="138" customWidth="1"/>
    <col min="4344" max="4344" width="11.88671875" style="138" customWidth="1"/>
    <col min="4345" max="4345" width="14.109375" style="138" customWidth="1"/>
    <col min="4346" max="4346" width="13.88671875" style="138" customWidth="1"/>
    <col min="4347" max="4348" width="12.77734375" style="138" customWidth="1"/>
    <col min="4349" max="4349" width="13.5546875" style="138" customWidth="1"/>
    <col min="4350" max="4350" width="15.33203125" style="138" customWidth="1"/>
    <col min="4351" max="4351" width="12.77734375" style="138" customWidth="1"/>
    <col min="4352" max="4352" width="13.88671875" style="138" customWidth="1"/>
    <col min="4353" max="4353" width="1.88671875" style="138" customWidth="1"/>
    <col min="4354" max="4354" width="13" style="138" customWidth="1"/>
    <col min="4355" max="4594" width="8.88671875" style="138"/>
    <col min="4595" max="4595" width="6" style="138" customWidth="1"/>
    <col min="4596" max="4596" width="1.44140625" style="138" customWidth="1"/>
    <col min="4597" max="4597" width="39.109375" style="138" customWidth="1"/>
    <col min="4598" max="4598" width="12" style="138" customWidth="1"/>
    <col min="4599" max="4599" width="14.44140625" style="138" customWidth="1"/>
    <col min="4600" max="4600" width="11.88671875" style="138" customWidth="1"/>
    <col min="4601" max="4601" width="14.109375" style="138" customWidth="1"/>
    <col min="4602" max="4602" width="13.88671875" style="138" customWidth="1"/>
    <col min="4603" max="4604" width="12.77734375" style="138" customWidth="1"/>
    <col min="4605" max="4605" width="13.5546875" style="138" customWidth="1"/>
    <col min="4606" max="4606" width="15.33203125" style="138" customWidth="1"/>
    <col min="4607" max="4607" width="12.77734375" style="138" customWidth="1"/>
    <col min="4608" max="4608" width="13.88671875" style="138" customWidth="1"/>
    <col min="4609" max="4609" width="1.88671875" style="138" customWidth="1"/>
    <col min="4610" max="4610" width="13" style="138" customWidth="1"/>
    <col min="4611" max="4850" width="8.88671875" style="138"/>
    <col min="4851" max="4851" width="6" style="138" customWidth="1"/>
    <col min="4852" max="4852" width="1.44140625" style="138" customWidth="1"/>
    <col min="4853" max="4853" width="39.109375" style="138" customWidth="1"/>
    <col min="4854" max="4854" width="12" style="138" customWidth="1"/>
    <col min="4855" max="4855" width="14.44140625" style="138" customWidth="1"/>
    <col min="4856" max="4856" width="11.88671875" style="138" customWidth="1"/>
    <col min="4857" max="4857" width="14.109375" style="138" customWidth="1"/>
    <col min="4858" max="4858" width="13.88671875" style="138" customWidth="1"/>
    <col min="4859" max="4860" width="12.77734375" style="138" customWidth="1"/>
    <col min="4861" max="4861" width="13.5546875" style="138" customWidth="1"/>
    <col min="4862" max="4862" width="15.33203125" style="138" customWidth="1"/>
    <col min="4863" max="4863" width="12.77734375" style="138" customWidth="1"/>
    <col min="4864" max="4864" width="13.88671875" style="138" customWidth="1"/>
    <col min="4865" max="4865" width="1.88671875" style="138" customWidth="1"/>
    <col min="4866" max="4866" width="13" style="138" customWidth="1"/>
    <col min="4867" max="5106" width="8.88671875" style="138"/>
    <col min="5107" max="5107" width="6" style="138" customWidth="1"/>
    <col min="5108" max="5108" width="1.44140625" style="138" customWidth="1"/>
    <col min="5109" max="5109" width="39.109375" style="138" customWidth="1"/>
    <col min="5110" max="5110" width="12" style="138" customWidth="1"/>
    <col min="5111" max="5111" width="14.44140625" style="138" customWidth="1"/>
    <col min="5112" max="5112" width="11.88671875" style="138" customWidth="1"/>
    <col min="5113" max="5113" width="14.109375" style="138" customWidth="1"/>
    <col min="5114" max="5114" width="13.88671875" style="138" customWidth="1"/>
    <col min="5115" max="5116" width="12.77734375" style="138" customWidth="1"/>
    <col min="5117" max="5117" width="13.5546875" style="138" customWidth="1"/>
    <col min="5118" max="5118" width="15.33203125" style="138" customWidth="1"/>
    <col min="5119" max="5119" width="12.77734375" style="138" customWidth="1"/>
    <col min="5120" max="5120" width="13.88671875" style="138" customWidth="1"/>
    <col min="5121" max="5121" width="1.88671875" style="138" customWidth="1"/>
    <col min="5122" max="5122" width="13" style="138" customWidth="1"/>
    <col min="5123" max="5362" width="8.88671875" style="138"/>
    <col min="5363" max="5363" width="6" style="138" customWidth="1"/>
    <col min="5364" max="5364" width="1.44140625" style="138" customWidth="1"/>
    <col min="5365" max="5365" width="39.109375" style="138" customWidth="1"/>
    <col min="5366" max="5366" width="12" style="138" customWidth="1"/>
    <col min="5367" max="5367" width="14.44140625" style="138" customWidth="1"/>
    <col min="5368" max="5368" width="11.88671875" style="138" customWidth="1"/>
    <col min="5369" max="5369" width="14.109375" style="138" customWidth="1"/>
    <col min="5370" max="5370" width="13.88671875" style="138" customWidth="1"/>
    <col min="5371" max="5372" width="12.77734375" style="138" customWidth="1"/>
    <col min="5373" max="5373" width="13.5546875" style="138" customWidth="1"/>
    <col min="5374" max="5374" width="15.33203125" style="138" customWidth="1"/>
    <col min="5375" max="5375" width="12.77734375" style="138" customWidth="1"/>
    <col min="5376" max="5376" width="13.88671875" style="138" customWidth="1"/>
    <col min="5377" max="5377" width="1.88671875" style="138" customWidth="1"/>
    <col min="5378" max="5378" width="13" style="138" customWidth="1"/>
    <col min="5379" max="5618" width="8.88671875" style="138"/>
    <col min="5619" max="5619" width="6" style="138" customWidth="1"/>
    <col min="5620" max="5620" width="1.44140625" style="138" customWidth="1"/>
    <col min="5621" max="5621" width="39.109375" style="138" customWidth="1"/>
    <col min="5622" max="5622" width="12" style="138" customWidth="1"/>
    <col min="5623" max="5623" width="14.44140625" style="138" customWidth="1"/>
    <col min="5624" max="5624" width="11.88671875" style="138" customWidth="1"/>
    <col min="5625" max="5625" width="14.109375" style="138" customWidth="1"/>
    <col min="5626" max="5626" width="13.88671875" style="138" customWidth="1"/>
    <col min="5627" max="5628" width="12.77734375" style="138" customWidth="1"/>
    <col min="5629" max="5629" width="13.5546875" style="138" customWidth="1"/>
    <col min="5630" max="5630" width="15.33203125" style="138" customWidth="1"/>
    <col min="5631" max="5631" width="12.77734375" style="138" customWidth="1"/>
    <col min="5632" max="5632" width="13.88671875" style="138" customWidth="1"/>
    <col min="5633" max="5633" width="1.88671875" style="138" customWidth="1"/>
    <col min="5634" max="5634" width="13" style="138" customWidth="1"/>
    <col min="5635" max="5874" width="8.88671875" style="138"/>
    <col min="5875" max="5875" width="6" style="138" customWidth="1"/>
    <col min="5876" max="5876" width="1.44140625" style="138" customWidth="1"/>
    <col min="5877" max="5877" width="39.109375" style="138" customWidth="1"/>
    <col min="5878" max="5878" width="12" style="138" customWidth="1"/>
    <col min="5879" max="5879" width="14.44140625" style="138" customWidth="1"/>
    <col min="5880" max="5880" width="11.88671875" style="138" customWidth="1"/>
    <col min="5881" max="5881" width="14.109375" style="138" customWidth="1"/>
    <col min="5882" max="5882" width="13.88671875" style="138" customWidth="1"/>
    <col min="5883" max="5884" width="12.77734375" style="138" customWidth="1"/>
    <col min="5885" max="5885" width="13.5546875" style="138" customWidth="1"/>
    <col min="5886" max="5886" width="15.33203125" style="138" customWidth="1"/>
    <col min="5887" max="5887" width="12.77734375" style="138" customWidth="1"/>
    <col min="5888" max="5888" width="13.88671875" style="138" customWidth="1"/>
    <col min="5889" max="5889" width="1.88671875" style="138" customWidth="1"/>
    <col min="5890" max="5890" width="13" style="138" customWidth="1"/>
    <col min="5891" max="6130" width="8.88671875" style="138"/>
    <col min="6131" max="6131" width="6" style="138" customWidth="1"/>
    <col min="6132" max="6132" width="1.44140625" style="138" customWidth="1"/>
    <col min="6133" max="6133" width="39.109375" style="138" customWidth="1"/>
    <col min="6134" max="6134" width="12" style="138" customWidth="1"/>
    <col min="6135" max="6135" width="14.44140625" style="138" customWidth="1"/>
    <col min="6136" max="6136" width="11.88671875" style="138" customWidth="1"/>
    <col min="6137" max="6137" width="14.109375" style="138" customWidth="1"/>
    <col min="6138" max="6138" width="13.88671875" style="138" customWidth="1"/>
    <col min="6139" max="6140" width="12.77734375" style="138" customWidth="1"/>
    <col min="6141" max="6141" width="13.5546875" style="138" customWidth="1"/>
    <col min="6142" max="6142" width="15.33203125" style="138" customWidth="1"/>
    <col min="6143" max="6143" width="12.77734375" style="138" customWidth="1"/>
    <col min="6144" max="6144" width="13.88671875" style="138" customWidth="1"/>
    <col min="6145" max="6145" width="1.88671875" style="138" customWidth="1"/>
    <col min="6146" max="6146" width="13" style="138" customWidth="1"/>
    <col min="6147" max="6386" width="8.88671875" style="138"/>
    <col min="6387" max="6387" width="6" style="138" customWidth="1"/>
    <col min="6388" max="6388" width="1.44140625" style="138" customWidth="1"/>
    <col min="6389" max="6389" width="39.109375" style="138" customWidth="1"/>
    <col min="6390" max="6390" width="12" style="138" customWidth="1"/>
    <col min="6391" max="6391" width="14.44140625" style="138" customWidth="1"/>
    <col min="6392" max="6392" width="11.88671875" style="138" customWidth="1"/>
    <col min="6393" max="6393" width="14.109375" style="138" customWidth="1"/>
    <col min="6394" max="6394" width="13.88671875" style="138" customWidth="1"/>
    <col min="6395" max="6396" width="12.77734375" style="138" customWidth="1"/>
    <col min="6397" max="6397" width="13.5546875" style="138" customWidth="1"/>
    <col min="6398" max="6398" width="15.33203125" style="138" customWidth="1"/>
    <col min="6399" max="6399" width="12.77734375" style="138" customWidth="1"/>
    <col min="6400" max="6400" width="13.88671875" style="138" customWidth="1"/>
    <col min="6401" max="6401" width="1.88671875" style="138" customWidth="1"/>
    <col min="6402" max="6402" width="13" style="138" customWidth="1"/>
    <col min="6403" max="6642" width="8.88671875" style="138"/>
    <col min="6643" max="6643" width="6" style="138" customWidth="1"/>
    <col min="6644" max="6644" width="1.44140625" style="138" customWidth="1"/>
    <col min="6645" max="6645" width="39.109375" style="138" customWidth="1"/>
    <col min="6646" max="6646" width="12" style="138" customWidth="1"/>
    <col min="6647" max="6647" width="14.44140625" style="138" customWidth="1"/>
    <col min="6648" max="6648" width="11.88671875" style="138" customWidth="1"/>
    <col min="6649" max="6649" width="14.109375" style="138" customWidth="1"/>
    <col min="6650" max="6650" width="13.88671875" style="138" customWidth="1"/>
    <col min="6651" max="6652" width="12.77734375" style="138" customWidth="1"/>
    <col min="6653" max="6653" width="13.5546875" style="138" customWidth="1"/>
    <col min="6654" max="6654" width="15.33203125" style="138" customWidth="1"/>
    <col min="6655" max="6655" width="12.77734375" style="138" customWidth="1"/>
    <col min="6656" max="6656" width="13.88671875" style="138" customWidth="1"/>
    <col min="6657" max="6657" width="1.88671875" style="138" customWidth="1"/>
    <col min="6658" max="6658" width="13" style="138" customWidth="1"/>
    <col min="6659" max="6898" width="8.88671875" style="138"/>
    <col min="6899" max="6899" width="6" style="138" customWidth="1"/>
    <col min="6900" max="6900" width="1.44140625" style="138" customWidth="1"/>
    <col min="6901" max="6901" width="39.109375" style="138" customWidth="1"/>
    <col min="6902" max="6902" width="12" style="138" customWidth="1"/>
    <col min="6903" max="6903" width="14.44140625" style="138" customWidth="1"/>
    <col min="6904" max="6904" width="11.88671875" style="138" customWidth="1"/>
    <col min="6905" max="6905" width="14.109375" style="138" customWidth="1"/>
    <col min="6906" max="6906" width="13.88671875" style="138" customWidth="1"/>
    <col min="6907" max="6908" width="12.77734375" style="138" customWidth="1"/>
    <col min="6909" max="6909" width="13.5546875" style="138" customWidth="1"/>
    <col min="6910" max="6910" width="15.33203125" style="138" customWidth="1"/>
    <col min="6911" max="6911" width="12.77734375" style="138" customWidth="1"/>
    <col min="6912" max="6912" width="13.88671875" style="138" customWidth="1"/>
    <col min="6913" max="6913" width="1.88671875" style="138" customWidth="1"/>
    <col min="6914" max="6914" width="13" style="138" customWidth="1"/>
    <col min="6915" max="7154" width="8.88671875" style="138"/>
    <col min="7155" max="7155" width="6" style="138" customWidth="1"/>
    <col min="7156" max="7156" width="1.44140625" style="138" customWidth="1"/>
    <col min="7157" max="7157" width="39.109375" style="138" customWidth="1"/>
    <col min="7158" max="7158" width="12" style="138" customWidth="1"/>
    <col min="7159" max="7159" width="14.44140625" style="138" customWidth="1"/>
    <col min="7160" max="7160" width="11.88671875" style="138" customWidth="1"/>
    <col min="7161" max="7161" width="14.109375" style="138" customWidth="1"/>
    <col min="7162" max="7162" width="13.88671875" style="138" customWidth="1"/>
    <col min="7163" max="7164" width="12.77734375" style="138" customWidth="1"/>
    <col min="7165" max="7165" width="13.5546875" style="138" customWidth="1"/>
    <col min="7166" max="7166" width="15.33203125" style="138" customWidth="1"/>
    <col min="7167" max="7167" width="12.77734375" style="138" customWidth="1"/>
    <col min="7168" max="7168" width="13.88671875" style="138" customWidth="1"/>
    <col min="7169" max="7169" width="1.88671875" style="138" customWidth="1"/>
    <col min="7170" max="7170" width="13" style="138" customWidth="1"/>
    <col min="7171" max="7410" width="8.88671875" style="138"/>
    <col min="7411" max="7411" width="6" style="138" customWidth="1"/>
    <col min="7412" max="7412" width="1.44140625" style="138" customWidth="1"/>
    <col min="7413" max="7413" width="39.109375" style="138" customWidth="1"/>
    <col min="7414" max="7414" width="12" style="138" customWidth="1"/>
    <col min="7415" max="7415" width="14.44140625" style="138" customWidth="1"/>
    <col min="7416" max="7416" width="11.88671875" style="138" customWidth="1"/>
    <col min="7417" max="7417" width="14.109375" style="138" customWidth="1"/>
    <col min="7418" max="7418" width="13.88671875" style="138" customWidth="1"/>
    <col min="7419" max="7420" width="12.77734375" style="138" customWidth="1"/>
    <col min="7421" max="7421" width="13.5546875" style="138" customWidth="1"/>
    <col min="7422" max="7422" width="15.33203125" style="138" customWidth="1"/>
    <col min="7423" max="7423" width="12.77734375" style="138" customWidth="1"/>
    <col min="7424" max="7424" width="13.88671875" style="138" customWidth="1"/>
    <col min="7425" max="7425" width="1.88671875" style="138" customWidth="1"/>
    <col min="7426" max="7426" width="13" style="138" customWidth="1"/>
    <col min="7427" max="7666" width="8.88671875" style="138"/>
    <col min="7667" max="7667" width="6" style="138" customWidth="1"/>
    <col min="7668" max="7668" width="1.44140625" style="138" customWidth="1"/>
    <col min="7669" max="7669" width="39.109375" style="138" customWidth="1"/>
    <col min="7670" max="7670" width="12" style="138" customWidth="1"/>
    <col min="7671" max="7671" width="14.44140625" style="138" customWidth="1"/>
    <col min="7672" max="7672" width="11.88671875" style="138" customWidth="1"/>
    <col min="7673" max="7673" width="14.109375" style="138" customWidth="1"/>
    <col min="7674" max="7674" width="13.88671875" style="138" customWidth="1"/>
    <col min="7675" max="7676" width="12.77734375" style="138" customWidth="1"/>
    <col min="7677" max="7677" width="13.5546875" style="138" customWidth="1"/>
    <col min="7678" max="7678" width="15.33203125" style="138" customWidth="1"/>
    <col min="7679" max="7679" width="12.77734375" style="138" customWidth="1"/>
    <col min="7680" max="7680" width="13.88671875" style="138" customWidth="1"/>
    <col min="7681" max="7681" width="1.88671875" style="138" customWidth="1"/>
    <col min="7682" max="7682" width="13" style="138" customWidth="1"/>
    <col min="7683" max="7922" width="8.88671875" style="138"/>
    <col min="7923" max="7923" width="6" style="138" customWidth="1"/>
    <col min="7924" max="7924" width="1.44140625" style="138" customWidth="1"/>
    <col min="7925" max="7925" width="39.109375" style="138" customWidth="1"/>
    <col min="7926" max="7926" width="12" style="138" customWidth="1"/>
    <col min="7927" max="7927" width="14.44140625" style="138" customWidth="1"/>
    <col min="7928" max="7928" width="11.88671875" style="138" customWidth="1"/>
    <col min="7929" max="7929" width="14.109375" style="138" customWidth="1"/>
    <col min="7930" max="7930" width="13.88671875" style="138" customWidth="1"/>
    <col min="7931" max="7932" width="12.77734375" style="138" customWidth="1"/>
    <col min="7933" max="7933" width="13.5546875" style="138" customWidth="1"/>
    <col min="7934" max="7934" width="15.33203125" style="138" customWidth="1"/>
    <col min="7935" max="7935" width="12.77734375" style="138" customWidth="1"/>
    <col min="7936" max="7936" width="13.88671875" style="138" customWidth="1"/>
    <col min="7937" max="7937" width="1.88671875" style="138" customWidth="1"/>
    <col min="7938" max="7938" width="13" style="138" customWidth="1"/>
    <col min="7939" max="8178" width="8.88671875" style="138"/>
    <col min="8179" max="8179" width="6" style="138" customWidth="1"/>
    <col min="8180" max="8180" width="1.44140625" style="138" customWidth="1"/>
    <col min="8181" max="8181" width="39.109375" style="138" customWidth="1"/>
    <col min="8182" max="8182" width="12" style="138" customWidth="1"/>
    <col min="8183" max="8183" width="14.44140625" style="138" customWidth="1"/>
    <col min="8184" max="8184" width="11.88671875" style="138" customWidth="1"/>
    <col min="8185" max="8185" width="14.109375" style="138" customWidth="1"/>
    <col min="8186" max="8186" width="13.88671875" style="138" customWidth="1"/>
    <col min="8187" max="8188" width="12.77734375" style="138" customWidth="1"/>
    <col min="8189" max="8189" width="13.5546875" style="138" customWidth="1"/>
    <col min="8190" max="8190" width="15.33203125" style="138" customWidth="1"/>
    <col min="8191" max="8191" width="12.77734375" style="138" customWidth="1"/>
    <col min="8192" max="8192" width="13.88671875" style="138" customWidth="1"/>
    <col min="8193" max="8193" width="1.88671875" style="138" customWidth="1"/>
    <col min="8194" max="8194" width="13" style="138" customWidth="1"/>
    <col min="8195" max="8434" width="8.88671875" style="138"/>
    <col min="8435" max="8435" width="6" style="138" customWidth="1"/>
    <col min="8436" max="8436" width="1.44140625" style="138" customWidth="1"/>
    <col min="8437" max="8437" width="39.109375" style="138" customWidth="1"/>
    <col min="8438" max="8438" width="12" style="138" customWidth="1"/>
    <col min="8439" max="8439" width="14.44140625" style="138" customWidth="1"/>
    <col min="8440" max="8440" width="11.88671875" style="138" customWidth="1"/>
    <col min="8441" max="8441" width="14.109375" style="138" customWidth="1"/>
    <col min="8442" max="8442" width="13.88671875" style="138" customWidth="1"/>
    <col min="8443" max="8444" width="12.77734375" style="138" customWidth="1"/>
    <col min="8445" max="8445" width="13.5546875" style="138" customWidth="1"/>
    <col min="8446" max="8446" width="15.33203125" style="138" customWidth="1"/>
    <col min="8447" max="8447" width="12.77734375" style="138" customWidth="1"/>
    <col min="8448" max="8448" width="13.88671875" style="138" customWidth="1"/>
    <col min="8449" max="8449" width="1.88671875" style="138" customWidth="1"/>
    <col min="8450" max="8450" width="13" style="138" customWidth="1"/>
    <col min="8451" max="8690" width="8.88671875" style="138"/>
    <col min="8691" max="8691" width="6" style="138" customWidth="1"/>
    <col min="8692" max="8692" width="1.44140625" style="138" customWidth="1"/>
    <col min="8693" max="8693" width="39.109375" style="138" customWidth="1"/>
    <col min="8694" max="8694" width="12" style="138" customWidth="1"/>
    <col min="8695" max="8695" width="14.44140625" style="138" customWidth="1"/>
    <col min="8696" max="8696" width="11.88671875" style="138" customWidth="1"/>
    <col min="8697" max="8697" width="14.109375" style="138" customWidth="1"/>
    <col min="8698" max="8698" width="13.88671875" style="138" customWidth="1"/>
    <col min="8699" max="8700" width="12.77734375" style="138" customWidth="1"/>
    <col min="8701" max="8701" width="13.5546875" style="138" customWidth="1"/>
    <col min="8702" max="8702" width="15.33203125" style="138" customWidth="1"/>
    <col min="8703" max="8703" width="12.77734375" style="138" customWidth="1"/>
    <col min="8704" max="8704" width="13.88671875" style="138" customWidth="1"/>
    <col min="8705" max="8705" width="1.88671875" style="138" customWidth="1"/>
    <col min="8706" max="8706" width="13" style="138" customWidth="1"/>
    <col min="8707" max="8946" width="8.88671875" style="138"/>
    <col min="8947" max="8947" width="6" style="138" customWidth="1"/>
    <col min="8948" max="8948" width="1.44140625" style="138" customWidth="1"/>
    <col min="8949" max="8949" width="39.109375" style="138" customWidth="1"/>
    <col min="8950" max="8950" width="12" style="138" customWidth="1"/>
    <col min="8951" max="8951" width="14.44140625" style="138" customWidth="1"/>
    <col min="8952" max="8952" width="11.88671875" style="138" customWidth="1"/>
    <col min="8953" max="8953" width="14.109375" style="138" customWidth="1"/>
    <col min="8954" max="8954" width="13.88671875" style="138" customWidth="1"/>
    <col min="8955" max="8956" width="12.77734375" style="138" customWidth="1"/>
    <col min="8957" max="8957" width="13.5546875" style="138" customWidth="1"/>
    <col min="8958" max="8958" width="15.33203125" style="138" customWidth="1"/>
    <col min="8959" max="8959" width="12.77734375" style="138" customWidth="1"/>
    <col min="8960" max="8960" width="13.88671875" style="138" customWidth="1"/>
    <col min="8961" max="8961" width="1.88671875" style="138" customWidth="1"/>
    <col min="8962" max="8962" width="13" style="138" customWidth="1"/>
    <col min="8963" max="9202" width="8.88671875" style="138"/>
    <col min="9203" max="9203" width="6" style="138" customWidth="1"/>
    <col min="9204" max="9204" width="1.44140625" style="138" customWidth="1"/>
    <col min="9205" max="9205" width="39.109375" style="138" customWidth="1"/>
    <col min="9206" max="9206" width="12" style="138" customWidth="1"/>
    <col min="9207" max="9207" width="14.44140625" style="138" customWidth="1"/>
    <col min="9208" max="9208" width="11.88671875" style="138" customWidth="1"/>
    <col min="9209" max="9209" width="14.109375" style="138" customWidth="1"/>
    <col min="9210" max="9210" width="13.88671875" style="138" customWidth="1"/>
    <col min="9211" max="9212" width="12.77734375" style="138" customWidth="1"/>
    <col min="9213" max="9213" width="13.5546875" style="138" customWidth="1"/>
    <col min="9214" max="9214" width="15.33203125" style="138" customWidth="1"/>
    <col min="9215" max="9215" width="12.77734375" style="138" customWidth="1"/>
    <col min="9216" max="9216" width="13.88671875" style="138" customWidth="1"/>
    <col min="9217" max="9217" width="1.88671875" style="138" customWidth="1"/>
    <col min="9218" max="9218" width="13" style="138" customWidth="1"/>
    <col min="9219" max="9458" width="8.88671875" style="138"/>
    <col min="9459" max="9459" width="6" style="138" customWidth="1"/>
    <col min="9460" max="9460" width="1.44140625" style="138" customWidth="1"/>
    <col min="9461" max="9461" width="39.109375" style="138" customWidth="1"/>
    <col min="9462" max="9462" width="12" style="138" customWidth="1"/>
    <col min="9463" max="9463" width="14.44140625" style="138" customWidth="1"/>
    <col min="9464" max="9464" width="11.88671875" style="138" customWidth="1"/>
    <col min="9465" max="9465" width="14.109375" style="138" customWidth="1"/>
    <col min="9466" max="9466" width="13.88671875" style="138" customWidth="1"/>
    <col min="9467" max="9468" width="12.77734375" style="138" customWidth="1"/>
    <col min="9469" max="9469" width="13.5546875" style="138" customWidth="1"/>
    <col min="9470" max="9470" width="15.33203125" style="138" customWidth="1"/>
    <col min="9471" max="9471" width="12.77734375" style="138" customWidth="1"/>
    <col min="9472" max="9472" width="13.88671875" style="138" customWidth="1"/>
    <col min="9473" max="9473" width="1.88671875" style="138" customWidth="1"/>
    <col min="9474" max="9474" width="13" style="138" customWidth="1"/>
    <col min="9475" max="9714" width="8.88671875" style="138"/>
    <col min="9715" max="9715" width="6" style="138" customWidth="1"/>
    <col min="9716" max="9716" width="1.44140625" style="138" customWidth="1"/>
    <col min="9717" max="9717" width="39.109375" style="138" customWidth="1"/>
    <col min="9718" max="9718" width="12" style="138" customWidth="1"/>
    <col min="9719" max="9719" width="14.44140625" style="138" customWidth="1"/>
    <col min="9720" max="9720" width="11.88671875" style="138" customWidth="1"/>
    <col min="9721" max="9721" width="14.109375" style="138" customWidth="1"/>
    <col min="9722" max="9722" width="13.88671875" style="138" customWidth="1"/>
    <col min="9723" max="9724" width="12.77734375" style="138" customWidth="1"/>
    <col min="9725" max="9725" width="13.5546875" style="138" customWidth="1"/>
    <col min="9726" max="9726" width="15.33203125" style="138" customWidth="1"/>
    <col min="9727" max="9727" width="12.77734375" style="138" customWidth="1"/>
    <col min="9728" max="9728" width="13.88671875" style="138" customWidth="1"/>
    <col min="9729" max="9729" width="1.88671875" style="138" customWidth="1"/>
    <col min="9730" max="9730" width="13" style="138" customWidth="1"/>
    <col min="9731" max="9970" width="8.88671875" style="138"/>
    <col min="9971" max="9971" width="6" style="138" customWidth="1"/>
    <col min="9972" max="9972" width="1.44140625" style="138" customWidth="1"/>
    <col min="9973" max="9973" width="39.109375" style="138" customWidth="1"/>
    <col min="9974" max="9974" width="12" style="138" customWidth="1"/>
    <col min="9975" max="9975" width="14.44140625" style="138" customWidth="1"/>
    <col min="9976" max="9976" width="11.88671875" style="138" customWidth="1"/>
    <col min="9977" max="9977" width="14.109375" style="138" customWidth="1"/>
    <col min="9978" max="9978" width="13.88671875" style="138" customWidth="1"/>
    <col min="9979" max="9980" width="12.77734375" style="138" customWidth="1"/>
    <col min="9981" max="9981" width="13.5546875" style="138" customWidth="1"/>
    <col min="9982" max="9982" width="15.33203125" style="138" customWidth="1"/>
    <col min="9983" max="9983" width="12.77734375" style="138" customWidth="1"/>
    <col min="9984" max="9984" width="13.88671875" style="138" customWidth="1"/>
    <col min="9985" max="9985" width="1.88671875" style="138" customWidth="1"/>
    <col min="9986" max="9986" width="13" style="138" customWidth="1"/>
    <col min="9987" max="10226" width="8.88671875" style="138"/>
    <col min="10227" max="10227" width="6" style="138" customWidth="1"/>
    <col min="10228" max="10228" width="1.44140625" style="138" customWidth="1"/>
    <col min="10229" max="10229" width="39.109375" style="138" customWidth="1"/>
    <col min="10230" max="10230" width="12" style="138" customWidth="1"/>
    <col min="10231" max="10231" width="14.44140625" style="138" customWidth="1"/>
    <col min="10232" max="10232" width="11.88671875" style="138" customWidth="1"/>
    <col min="10233" max="10233" width="14.109375" style="138" customWidth="1"/>
    <col min="10234" max="10234" width="13.88671875" style="138" customWidth="1"/>
    <col min="10235" max="10236" width="12.77734375" style="138" customWidth="1"/>
    <col min="10237" max="10237" width="13.5546875" style="138" customWidth="1"/>
    <col min="10238" max="10238" width="15.33203125" style="138" customWidth="1"/>
    <col min="10239" max="10239" width="12.77734375" style="138" customWidth="1"/>
    <col min="10240" max="10240" width="13.88671875" style="138" customWidth="1"/>
    <col min="10241" max="10241" width="1.88671875" style="138" customWidth="1"/>
    <col min="10242" max="10242" width="13" style="138" customWidth="1"/>
    <col min="10243" max="10482" width="8.88671875" style="138"/>
    <col min="10483" max="10483" width="6" style="138" customWidth="1"/>
    <col min="10484" max="10484" width="1.44140625" style="138" customWidth="1"/>
    <col min="10485" max="10485" width="39.109375" style="138" customWidth="1"/>
    <col min="10486" max="10486" width="12" style="138" customWidth="1"/>
    <col min="10487" max="10487" width="14.44140625" style="138" customWidth="1"/>
    <col min="10488" max="10488" width="11.88671875" style="138" customWidth="1"/>
    <col min="10489" max="10489" width="14.109375" style="138" customWidth="1"/>
    <col min="10490" max="10490" width="13.88671875" style="138" customWidth="1"/>
    <col min="10491" max="10492" width="12.77734375" style="138" customWidth="1"/>
    <col min="10493" max="10493" width="13.5546875" style="138" customWidth="1"/>
    <col min="10494" max="10494" width="15.33203125" style="138" customWidth="1"/>
    <col min="10495" max="10495" width="12.77734375" style="138" customWidth="1"/>
    <col min="10496" max="10496" width="13.88671875" style="138" customWidth="1"/>
    <col min="10497" max="10497" width="1.88671875" style="138" customWidth="1"/>
    <col min="10498" max="10498" width="13" style="138" customWidth="1"/>
    <col min="10499" max="10738" width="8.88671875" style="138"/>
    <col min="10739" max="10739" width="6" style="138" customWidth="1"/>
    <col min="10740" max="10740" width="1.44140625" style="138" customWidth="1"/>
    <col min="10741" max="10741" width="39.109375" style="138" customWidth="1"/>
    <col min="10742" max="10742" width="12" style="138" customWidth="1"/>
    <col min="10743" max="10743" width="14.44140625" style="138" customWidth="1"/>
    <col min="10744" max="10744" width="11.88671875" style="138" customWidth="1"/>
    <col min="10745" max="10745" width="14.109375" style="138" customWidth="1"/>
    <col min="10746" max="10746" width="13.88671875" style="138" customWidth="1"/>
    <col min="10747" max="10748" width="12.77734375" style="138" customWidth="1"/>
    <col min="10749" max="10749" width="13.5546875" style="138" customWidth="1"/>
    <col min="10750" max="10750" width="15.33203125" style="138" customWidth="1"/>
    <col min="10751" max="10751" width="12.77734375" style="138" customWidth="1"/>
    <col min="10752" max="10752" width="13.88671875" style="138" customWidth="1"/>
    <col min="10753" max="10753" width="1.88671875" style="138" customWidth="1"/>
    <col min="10754" max="10754" width="13" style="138" customWidth="1"/>
    <col min="10755" max="10994" width="8.88671875" style="138"/>
    <col min="10995" max="10995" width="6" style="138" customWidth="1"/>
    <col min="10996" max="10996" width="1.44140625" style="138" customWidth="1"/>
    <col min="10997" max="10997" width="39.109375" style="138" customWidth="1"/>
    <col min="10998" max="10998" width="12" style="138" customWidth="1"/>
    <col min="10999" max="10999" width="14.44140625" style="138" customWidth="1"/>
    <col min="11000" max="11000" width="11.88671875" style="138" customWidth="1"/>
    <col min="11001" max="11001" width="14.109375" style="138" customWidth="1"/>
    <col min="11002" max="11002" width="13.88671875" style="138" customWidth="1"/>
    <col min="11003" max="11004" width="12.77734375" style="138" customWidth="1"/>
    <col min="11005" max="11005" width="13.5546875" style="138" customWidth="1"/>
    <col min="11006" max="11006" width="15.33203125" style="138" customWidth="1"/>
    <col min="11007" max="11007" width="12.77734375" style="138" customWidth="1"/>
    <col min="11008" max="11008" width="13.88671875" style="138" customWidth="1"/>
    <col min="11009" max="11009" width="1.88671875" style="138" customWidth="1"/>
    <col min="11010" max="11010" width="13" style="138" customWidth="1"/>
    <col min="11011" max="11250" width="8.88671875" style="138"/>
    <col min="11251" max="11251" width="6" style="138" customWidth="1"/>
    <col min="11252" max="11252" width="1.44140625" style="138" customWidth="1"/>
    <col min="11253" max="11253" width="39.109375" style="138" customWidth="1"/>
    <col min="11254" max="11254" width="12" style="138" customWidth="1"/>
    <col min="11255" max="11255" width="14.44140625" style="138" customWidth="1"/>
    <col min="11256" max="11256" width="11.88671875" style="138" customWidth="1"/>
    <col min="11257" max="11257" width="14.109375" style="138" customWidth="1"/>
    <col min="11258" max="11258" width="13.88671875" style="138" customWidth="1"/>
    <col min="11259" max="11260" width="12.77734375" style="138" customWidth="1"/>
    <col min="11261" max="11261" width="13.5546875" style="138" customWidth="1"/>
    <col min="11262" max="11262" width="15.33203125" style="138" customWidth="1"/>
    <col min="11263" max="11263" width="12.77734375" style="138" customWidth="1"/>
    <col min="11264" max="11264" width="13.88671875" style="138" customWidth="1"/>
    <col min="11265" max="11265" width="1.88671875" style="138" customWidth="1"/>
    <col min="11266" max="11266" width="13" style="138" customWidth="1"/>
    <col min="11267" max="11506" width="8.88671875" style="138"/>
    <col min="11507" max="11507" width="6" style="138" customWidth="1"/>
    <col min="11508" max="11508" width="1.44140625" style="138" customWidth="1"/>
    <col min="11509" max="11509" width="39.109375" style="138" customWidth="1"/>
    <col min="11510" max="11510" width="12" style="138" customWidth="1"/>
    <col min="11511" max="11511" width="14.44140625" style="138" customWidth="1"/>
    <col min="11512" max="11512" width="11.88671875" style="138" customWidth="1"/>
    <col min="11513" max="11513" width="14.109375" style="138" customWidth="1"/>
    <col min="11514" max="11514" width="13.88671875" style="138" customWidth="1"/>
    <col min="11515" max="11516" width="12.77734375" style="138" customWidth="1"/>
    <col min="11517" max="11517" width="13.5546875" style="138" customWidth="1"/>
    <col min="11518" max="11518" width="15.33203125" style="138" customWidth="1"/>
    <col min="11519" max="11519" width="12.77734375" style="138" customWidth="1"/>
    <col min="11520" max="11520" width="13.88671875" style="138" customWidth="1"/>
    <col min="11521" max="11521" width="1.88671875" style="138" customWidth="1"/>
    <col min="11522" max="11522" width="13" style="138" customWidth="1"/>
    <col min="11523" max="11762" width="8.88671875" style="138"/>
    <col min="11763" max="11763" width="6" style="138" customWidth="1"/>
    <col min="11764" max="11764" width="1.44140625" style="138" customWidth="1"/>
    <col min="11765" max="11765" width="39.109375" style="138" customWidth="1"/>
    <col min="11766" max="11766" width="12" style="138" customWidth="1"/>
    <col min="11767" max="11767" width="14.44140625" style="138" customWidth="1"/>
    <col min="11768" max="11768" width="11.88671875" style="138" customWidth="1"/>
    <col min="11769" max="11769" width="14.109375" style="138" customWidth="1"/>
    <col min="11770" max="11770" width="13.88671875" style="138" customWidth="1"/>
    <col min="11771" max="11772" width="12.77734375" style="138" customWidth="1"/>
    <col min="11773" max="11773" width="13.5546875" style="138" customWidth="1"/>
    <col min="11774" max="11774" width="15.33203125" style="138" customWidth="1"/>
    <col min="11775" max="11775" width="12.77734375" style="138" customWidth="1"/>
    <col min="11776" max="11776" width="13.88671875" style="138" customWidth="1"/>
    <col min="11777" max="11777" width="1.88671875" style="138" customWidth="1"/>
    <col min="11778" max="11778" width="13" style="138" customWidth="1"/>
    <col min="11779" max="12018" width="8.88671875" style="138"/>
    <col min="12019" max="12019" width="6" style="138" customWidth="1"/>
    <col min="12020" max="12020" width="1.44140625" style="138" customWidth="1"/>
    <col min="12021" max="12021" width="39.109375" style="138" customWidth="1"/>
    <col min="12022" max="12022" width="12" style="138" customWidth="1"/>
    <col min="12023" max="12023" width="14.44140625" style="138" customWidth="1"/>
    <col min="12024" max="12024" width="11.88671875" style="138" customWidth="1"/>
    <col min="12025" max="12025" width="14.109375" style="138" customWidth="1"/>
    <col min="12026" max="12026" width="13.88671875" style="138" customWidth="1"/>
    <col min="12027" max="12028" width="12.77734375" style="138" customWidth="1"/>
    <col min="12029" max="12029" width="13.5546875" style="138" customWidth="1"/>
    <col min="12030" max="12030" width="15.33203125" style="138" customWidth="1"/>
    <col min="12031" max="12031" width="12.77734375" style="138" customWidth="1"/>
    <col min="12032" max="12032" width="13.88671875" style="138" customWidth="1"/>
    <col min="12033" max="12033" width="1.88671875" style="138" customWidth="1"/>
    <col min="12034" max="12034" width="13" style="138" customWidth="1"/>
    <col min="12035" max="12274" width="8.88671875" style="138"/>
    <col min="12275" max="12275" width="6" style="138" customWidth="1"/>
    <col min="12276" max="12276" width="1.44140625" style="138" customWidth="1"/>
    <col min="12277" max="12277" width="39.109375" style="138" customWidth="1"/>
    <col min="12278" max="12278" width="12" style="138" customWidth="1"/>
    <col min="12279" max="12279" width="14.44140625" style="138" customWidth="1"/>
    <col min="12280" max="12280" width="11.88671875" style="138" customWidth="1"/>
    <col min="12281" max="12281" width="14.109375" style="138" customWidth="1"/>
    <col min="12282" max="12282" width="13.88671875" style="138" customWidth="1"/>
    <col min="12283" max="12284" width="12.77734375" style="138" customWidth="1"/>
    <col min="12285" max="12285" width="13.5546875" style="138" customWidth="1"/>
    <col min="12286" max="12286" width="15.33203125" style="138" customWidth="1"/>
    <col min="12287" max="12287" width="12.77734375" style="138" customWidth="1"/>
    <col min="12288" max="12288" width="13.88671875" style="138" customWidth="1"/>
    <col min="12289" max="12289" width="1.88671875" style="138" customWidth="1"/>
    <col min="12290" max="12290" width="13" style="138" customWidth="1"/>
    <col min="12291" max="12530" width="8.88671875" style="138"/>
    <col min="12531" max="12531" width="6" style="138" customWidth="1"/>
    <col min="12532" max="12532" width="1.44140625" style="138" customWidth="1"/>
    <col min="12533" max="12533" width="39.109375" style="138" customWidth="1"/>
    <col min="12534" max="12534" width="12" style="138" customWidth="1"/>
    <col min="12535" max="12535" width="14.44140625" style="138" customWidth="1"/>
    <col min="12536" max="12536" width="11.88671875" style="138" customWidth="1"/>
    <col min="12537" max="12537" width="14.109375" style="138" customWidth="1"/>
    <col min="12538" max="12538" width="13.88671875" style="138" customWidth="1"/>
    <col min="12539" max="12540" width="12.77734375" style="138" customWidth="1"/>
    <col min="12541" max="12541" width="13.5546875" style="138" customWidth="1"/>
    <col min="12542" max="12542" width="15.33203125" style="138" customWidth="1"/>
    <col min="12543" max="12543" width="12.77734375" style="138" customWidth="1"/>
    <col min="12544" max="12544" width="13.88671875" style="138" customWidth="1"/>
    <col min="12545" max="12545" width="1.88671875" style="138" customWidth="1"/>
    <col min="12546" max="12546" width="13" style="138" customWidth="1"/>
    <col min="12547" max="12786" width="8.88671875" style="138"/>
    <col min="12787" max="12787" width="6" style="138" customWidth="1"/>
    <col min="12788" max="12788" width="1.44140625" style="138" customWidth="1"/>
    <col min="12789" max="12789" width="39.109375" style="138" customWidth="1"/>
    <col min="12790" max="12790" width="12" style="138" customWidth="1"/>
    <col min="12791" max="12791" width="14.44140625" style="138" customWidth="1"/>
    <col min="12792" max="12792" width="11.88671875" style="138" customWidth="1"/>
    <col min="12793" max="12793" width="14.109375" style="138" customWidth="1"/>
    <col min="12794" max="12794" width="13.88671875" style="138" customWidth="1"/>
    <col min="12795" max="12796" width="12.77734375" style="138" customWidth="1"/>
    <col min="12797" max="12797" width="13.5546875" style="138" customWidth="1"/>
    <col min="12798" max="12798" width="15.33203125" style="138" customWidth="1"/>
    <col min="12799" max="12799" width="12.77734375" style="138" customWidth="1"/>
    <col min="12800" max="12800" width="13.88671875" style="138" customWidth="1"/>
    <col min="12801" max="12801" width="1.88671875" style="138" customWidth="1"/>
    <col min="12802" max="12802" width="13" style="138" customWidth="1"/>
    <col min="12803" max="13042" width="8.88671875" style="138"/>
    <col min="13043" max="13043" width="6" style="138" customWidth="1"/>
    <col min="13044" max="13044" width="1.44140625" style="138" customWidth="1"/>
    <col min="13045" max="13045" width="39.109375" style="138" customWidth="1"/>
    <col min="13046" max="13046" width="12" style="138" customWidth="1"/>
    <col min="13047" max="13047" width="14.44140625" style="138" customWidth="1"/>
    <col min="13048" max="13048" width="11.88671875" style="138" customWidth="1"/>
    <col min="13049" max="13049" width="14.109375" style="138" customWidth="1"/>
    <col min="13050" max="13050" width="13.88671875" style="138" customWidth="1"/>
    <col min="13051" max="13052" width="12.77734375" style="138" customWidth="1"/>
    <col min="13053" max="13053" width="13.5546875" style="138" customWidth="1"/>
    <col min="13054" max="13054" width="15.33203125" style="138" customWidth="1"/>
    <col min="13055" max="13055" width="12.77734375" style="138" customWidth="1"/>
    <col min="13056" max="13056" width="13.88671875" style="138" customWidth="1"/>
    <col min="13057" max="13057" width="1.88671875" style="138" customWidth="1"/>
    <col min="13058" max="13058" width="13" style="138" customWidth="1"/>
    <col min="13059" max="13298" width="8.88671875" style="138"/>
    <col min="13299" max="13299" width="6" style="138" customWidth="1"/>
    <col min="13300" max="13300" width="1.44140625" style="138" customWidth="1"/>
    <col min="13301" max="13301" width="39.109375" style="138" customWidth="1"/>
    <col min="13302" max="13302" width="12" style="138" customWidth="1"/>
    <col min="13303" max="13303" width="14.44140625" style="138" customWidth="1"/>
    <col min="13304" max="13304" width="11.88671875" style="138" customWidth="1"/>
    <col min="13305" max="13305" width="14.109375" style="138" customWidth="1"/>
    <col min="13306" max="13306" width="13.88671875" style="138" customWidth="1"/>
    <col min="13307" max="13308" width="12.77734375" style="138" customWidth="1"/>
    <col min="13309" max="13309" width="13.5546875" style="138" customWidth="1"/>
    <col min="13310" max="13310" width="15.33203125" style="138" customWidth="1"/>
    <col min="13311" max="13311" width="12.77734375" style="138" customWidth="1"/>
    <col min="13312" max="13312" width="13.88671875" style="138" customWidth="1"/>
    <col min="13313" max="13313" width="1.88671875" style="138" customWidth="1"/>
    <col min="13314" max="13314" width="13" style="138" customWidth="1"/>
    <col min="13315" max="13554" width="8.88671875" style="138"/>
    <col min="13555" max="13555" width="6" style="138" customWidth="1"/>
    <col min="13556" max="13556" width="1.44140625" style="138" customWidth="1"/>
    <col min="13557" max="13557" width="39.109375" style="138" customWidth="1"/>
    <col min="13558" max="13558" width="12" style="138" customWidth="1"/>
    <col min="13559" max="13559" width="14.44140625" style="138" customWidth="1"/>
    <col min="13560" max="13560" width="11.88671875" style="138" customWidth="1"/>
    <col min="13561" max="13561" width="14.109375" style="138" customWidth="1"/>
    <col min="13562" max="13562" width="13.88671875" style="138" customWidth="1"/>
    <col min="13563" max="13564" width="12.77734375" style="138" customWidth="1"/>
    <col min="13565" max="13565" width="13.5546875" style="138" customWidth="1"/>
    <col min="13566" max="13566" width="15.33203125" style="138" customWidth="1"/>
    <col min="13567" max="13567" width="12.77734375" style="138" customWidth="1"/>
    <col min="13568" max="13568" width="13.88671875" style="138" customWidth="1"/>
    <col min="13569" max="13569" width="1.88671875" style="138" customWidth="1"/>
    <col min="13570" max="13570" width="13" style="138" customWidth="1"/>
    <col min="13571" max="13810" width="8.88671875" style="138"/>
    <col min="13811" max="13811" width="6" style="138" customWidth="1"/>
    <col min="13812" max="13812" width="1.44140625" style="138" customWidth="1"/>
    <col min="13813" max="13813" width="39.109375" style="138" customWidth="1"/>
    <col min="13814" max="13814" width="12" style="138" customWidth="1"/>
    <col min="13815" max="13815" width="14.44140625" style="138" customWidth="1"/>
    <col min="13816" max="13816" width="11.88671875" style="138" customWidth="1"/>
    <col min="13817" max="13817" width="14.109375" style="138" customWidth="1"/>
    <col min="13818" max="13818" width="13.88671875" style="138" customWidth="1"/>
    <col min="13819" max="13820" width="12.77734375" style="138" customWidth="1"/>
    <col min="13821" max="13821" width="13.5546875" style="138" customWidth="1"/>
    <col min="13822" max="13822" width="15.33203125" style="138" customWidth="1"/>
    <col min="13823" max="13823" width="12.77734375" style="138" customWidth="1"/>
    <col min="13824" max="13824" width="13.88671875" style="138" customWidth="1"/>
    <col min="13825" max="13825" width="1.88671875" style="138" customWidth="1"/>
    <col min="13826" max="13826" width="13" style="138" customWidth="1"/>
    <col min="13827" max="14066" width="8.88671875" style="138"/>
    <col min="14067" max="14067" width="6" style="138" customWidth="1"/>
    <col min="14068" max="14068" width="1.44140625" style="138" customWidth="1"/>
    <col min="14069" max="14069" width="39.109375" style="138" customWidth="1"/>
    <col min="14070" max="14070" width="12" style="138" customWidth="1"/>
    <col min="14071" max="14071" width="14.44140625" style="138" customWidth="1"/>
    <col min="14072" max="14072" width="11.88671875" style="138" customWidth="1"/>
    <col min="14073" max="14073" width="14.109375" style="138" customWidth="1"/>
    <col min="14074" max="14074" width="13.88671875" style="138" customWidth="1"/>
    <col min="14075" max="14076" width="12.77734375" style="138" customWidth="1"/>
    <col min="14077" max="14077" width="13.5546875" style="138" customWidth="1"/>
    <col min="14078" max="14078" width="15.33203125" style="138" customWidth="1"/>
    <col min="14079" max="14079" width="12.77734375" style="138" customWidth="1"/>
    <col min="14080" max="14080" width="13.88671875" style="138" customWidth="1"/>
    <col min="14081" max="14081" width="1.88671875" style="138" customWidth="1"/>
    <col min="14082" max="14082" width="13" style="138" customWidth="1"/>
    <col min="14083" max="14322" width="8.88671875" style="138"/>
    <col min="14323" max="14323" width="6" style="138" customWidth="1"/>
    <col min="14324" max="14324" width="1.44140625" style="138" customWidth="1"/>
    <col min="14325" max="14325" width="39.109375" style="138" customWidth="1"/>
    <col min="14326" max="14326" width="12" style="138" customWidth="1"/>
    <col min="14327" max="14327" width="14.44140625" style="138" customWidth="1"/>
    <col min="14328" max="14328" width="11.88671875" style="138" customWidth="1"/>
    <col min="14329" max="14329" width="14.109375" style="138" customWidth="1"/>
    <col min="14330" max="14330" width="13.88671875" style="138" customWidth="1"/>
    <col min="14331" max="14332" width="12.77734375" style="138" customWidth="1"/>
    <col min="14333" max="14333" width="13.5546875" style="138" customWidth="1"/>
    <col min="14334" max="14334" width="15.33203125" style="138" customWidth="1"/>
    <col min="14335" max="14335" width="12.77734375" style="138" customWidth="1"/>
    <col min="14336" max="14336" width="13.88671875" style="138" customWidth="1"/>
    <col min="14337" max="14337" width="1.88671875" style="138" customWidth="1"/>
    <col min="14338" max="14338" width="13" style="138" customWidth="1"/>
    <col min="14339" max="14578" width="8.88671875" style="138"/>
    <col min="14579" max="14579" width="6" style="138" customWidth="1"/>
    <col min="14580" max="14580" width="1.44140625" style="138" customWidth="1"/>
    <col min="14581" max="14581" width="39.109375" style="138" customWidth="1"/>
    <col min="14582" max="14582" width="12" style="138" customWidth="1"/>
    <col min="14583" max="14583" width="14.44140625" style="138" customWidth="1"/>
    <col min="14584" max="14584" width="11.88671875" style="138" customWidth="1"/>
    <col min="14585" max="14585" width="14.109375" style="138" customWidth="1"/>
    <col min="14586" max="14586" width="13.88671875" style="138" customWidth="1"/>
    <col min="14587" max="14588" width="12.77734375" style="138" customWidth="1"/>
    <col min="14589" max="14589" width="13.5546875" style="138" customWidth="1"/>
    <col min="14590" max="14590" width="15.33203125" style="138" customWidth="1"/>
    <col min="14591" max="14591" width="12.77734375" style="138" customWidth="1"/>
    <col min="14592" max="14592" width="13.88671875" style="138" customWidth="1"/>
    <col min="14593" max="14593" width="1.88671875" style="138" customWidth="1"/>
    <col min="14594" max="14594" width="13" style="138" customWidth="1"/>
    <col min="14595" max="14834" width="8.88671875" style="138"/>
    <col min="14835" max="14835" width="6" style="138" customWidth="1"/>
    <col min="14836" max="14836" width="1.44140625" style="138" customWidth="1"/>
    <col min="14837" max="14837" width="39.109375" style="138" customWidth="1"/>
    <col min="14838" max="14838" width="12" style="138" customWidth="1"/>
    <col min="14839" max="14839" width="14.44140625" style="138" customWidth="1"/>
    <col min="14840" max="14840" width="11.88671875" style="138" customWidth="1"/>
    <col min="14841" max="14841" width="14.109375" style="138" customWidth="1"/>
    <col min="14842" max="14842" width="13.88671875" style="138" customWidth="1"/>
    <col min="14843" max="14844" width="12.77734375" style="138" customWidth="1"/>
    <col min="14845" max="14845" width="13.5546875" style="138" customWidth="1"/>
    <col min="14846" max="14846" width="15.33203125" style="138" customWidth="1"/>
    <col min="14847" max="14847" width="12.77734375" style="138" customWidth="1"/>
    <col min="14848" max="14848" width="13.88671875" style="138" customWidth="1"/>
    <col min="14849" max="14849" width="1.88671875" style="138" customWidth="1"/>
    <col min="14850" max="14850" width="13" style="138" customWidth="1"/>
    <col min="14851" max="15090" width="8.88671875" style="138"/>
    <col min="15091" max="15091" width="6" style="138" customWidth="1"/>
    <col min="15092" max="15092" width="1.44140625" style="138" customWidth="1"/>
    <col min="15093" max="15093" width="39.109375" style="138" customWidth="1"/>
    <col min="15094" max="15094" width="12" style="138" customWidth="1"/>
    <col min="15095" max="15095" width="14.44140625" style="138" customWidth="1"/>
    <col min="15096" max="15096" width="11.88671875" style="138" customWidth="1"/>
    <col min="15097" max="15097" width="14.109375" style="138" customWidth="1"/>
    <col min="15098" max="15098" width="13.88671875" style="138" customWidth="1"/>
    <col min="15099" max="15100" width="12.77734375" style="138" customWidth="1"/>
    <col min="15101" max="15101" width="13.5546875" style="138" customWidth="1"/>
    <col min="15102" max="15102" width="15.33203125" style="138" customWidth="1"/>
    <col min="15103" max="15103" width="12.77734375" style="138" customWidth="1"/>
    <col min="15104" max="15104" width="13.88671875" style="138" customWidth="1"/>
    <col min="15105" max="15105" width="1.88671875" style="138" customWidth="1"/>
    <col min="15106" max="15106" width="13" style="138" customWidth="1"/>
    <col min="15107" max="15346" width="8.88671875" style="138"/>
    <col min="15347" max="15347" width="6" style="138" customWidth="1"/>
    <col min="15348" max="15348" width="1.44140625" style="138" customWidth="1"/>
    <col min="15349" max="15349" width="39.109375" style="138" customWidth="1"/>
    <col min="15350" max="15350" width="12" style="138" customWidth="1"/>
    <col min="15351" max="15351" width="14.44140625" style="138" customWidth="1"/>
    <col min="15352" max="15352" width="11.88671875" style="138" customWidth="1"/>
    <col min="15353" max="15353" width="14.109375" style="138" customWidth="1"/>
    <col min="15354" max="15354" width="13.88671875" style="138" customWidth="1"/>
    <col min="15355" max="15356" width="12.77734375" style="138" customWidth="1"/>
    <col min="15357" max="15357" width="13.5546875" style="138" customWidth="1"/>
    <col min="15358" max="15358" width="15.33203125" style="138" customWidth="1"/>
    <col min="15359" max="15359" width="12.77734375" style="138" customWidth="1"/>
    <col min="15360" max="15360" width="13.88671875" style="138" customWidth="1"/>
    <col min="15361" max="15361" width="1.88671875" style="138" customWidth="1"/>
    <col min="15362" max="15362" width="13" style="138" customWidth="1"/>
    <col min="15363" max="15602" width="8.88671875" style="138"/>
    <col min="15603" max="15603" width="6" style="138" customWidth="1"/>
    <col min="15604" max="15604" width="1.44140625" style="138" customWidth="1"/>
    <col min="15605" max="15605" width="39.109375" style="138" customWidth="1"/>
    <col min="15606" max="15606" width="12" style="138" customWidth="1"/>
    <col min="15607" max="15607" width="14.44140625" style="138" customWidth="1"/>
    <col min="15608" max="15608" width="11.88671875" style="138" customWidth="1"/>
    <col min="15609" max="15609" width="14.109375" style="138" customWidth="1"/>
    <col min="15610" max="15610" width="13.88671875" style="138" customWidth="1"/>
    <col min="15611" max="15612" width="12.77734375" style="138" customWidth="1"/>
    <col min="15613" max="15613" width="13.5546875" style="138" customWidth="1"/>
    <col min="15614" max="15614" width="15.33203125" style="138" customWidth="1"/>
    <col min="15615" max="15615" width="12.77734375" style="138" customWidth="1"/>
    <col min="15616" max="15616" width="13.88671875" style="138" customWidth="1"/>
    <col min="15617" max="15617" width="1.88671875" style="138" customWidth="1"/>
    <col min="15618" max="15618" width="13" style="138" customWidth="1"/>
    <col min="15619" max="15858" width="8.88671875" style="138"/>
    <col min="15859" max="15859" width="6" style="138" customWidth="1"/>
    <col min="15860" max="15860" width="1.44140625" style="138" customWidth="1"/>
    <col min="15861" max="15861" width="39.109375" style="138" customWidth="1"/>
    <col min="15862" max="15862" width="12" style="138" customWidth="1"/>
    <col min="15863" max="15863" width="14.44140625" style="138" customWidth="1"/>
    <col min="15864" max="15864" width="11.88671875" style="138" customWidth="1"/>
    <col min="15865" max="15865" width="14.109375" style="138" customWidth="1"/>
    <col min="15866" max="15866" width="13.88671875" style="138" customWidth="1"/>
    <col min="15867" max="15868" width="12.77734375" style="138" customWidth="1"/>
    <col min="15869" max="15869" width="13.5546875" style="138" customWidth="1"/>
    <col min="15870" max="15870" width="15.33203125" style="138" customWidth="1"/>
    <col min="15871" max="15871" width="12.77734375" style="138" customWidth="1"/>
    <col min="15872" max="15872" width="13.88671875" style="138" customWidth="1"/>
    <col min="15873" max="15873" width="1.88671875" style="138" customWidth="1"/>
    <col min="15874" max="15874" width="13" style="138" customWidth="1"/>
    <col min="15875" max="16114" width="8.88671875" style="138"/>
    <col min="16115" max="16115" width="6" style="138" customWidth="1"/>
    <col min="16116" max="16116" width="1.44140625" style="138" customWidth="1"/>
    <col min="16117" max="16117" width="39.109375" style="138" customWidth="1"/>
    <col min="16118" max="16118" width="12" style="138" customWidth="1"/>
    <col min="16119" max="16119" width="14.44140625" style="138" customWidth="1"/>
    <col min="16120" max="16120" width="11.88671875" style="138" customWidth="1"/>
    <col min="16121" max="16121" width="14.109375" style="138" customWidth="1"/>
    <col min="16122" max="16122" width="13.88671875" style="138" customWidth="1"/>
    <col min="16123" max="16124" width="12.77734375" style="138" customWidth="1"/>
    <col min="16125" max="16125" width="13.5546875" style="138" customWidth="1"/>
    <col min="16126" max="16126" width="15.33203125" style="138" customWidth="1"/>
    <col min="16127" max="16127" width="12.77734375" style="138" customWidth="1"/>
    <col min="16128" max="16128" width="13.88671875" style="138" customWidth="1"/>
    <col min="16129" max="16129" width="1.88671875" style="138" customWidth="1"/>
    <col min="16130" max="16130" width="13" style="138" customWidth="1"/>
    <col min="16131" max="16370" width="8.88671875" style="138"/>
    <col min="16371" max="16384" width="8.88671875" style="138" customWidth="1"/>
  </cols>
  <sheetData>
    <row r="1" spans="1:51">
      <c r="I1" s="77" t="s">
        <v>369</v>
      </c>
    </row>
    <row r="2" spans="1:51">
      <c r="I2" s="77" t="s">
        <v>421</v>
      </c>
    </row>
    <row r="3" spans="1:51">
      <c r="I3" s="424" t="s">
        <v>231</v>
      </c>
    </row>
    <row r="4" spans="1:51">
      <c r="I4" s="139" t="str">
        <f>'DE Ohio &amp; Kentucky'!J7</f>
        <v>For the 12 months ended: 12/31/2015</v>
      </c>
    </row>
    <row r="5" spans="1:51">
      <c r="C5" s="113"/>
    </row>
    <row r="6" spans="1:51">
      <c r="A6" s="221" t="s">
        <v>309</v>
      </c>
      <c r="B6" s="283"/>
      <c r="C6" s="283"/>
      <c r="D6" s="221"/>
      <c r="E6" s="221"/>
      <c r="F6" s="221"/>
      <c r="G6" s="283"/>
      <c r="H6" s="221"/>
      <c r="I6" s="221"/>
      <c r="J6" s="111"/>
      <c r="K6" s="142"/>
      <c r="L6" s="142"/>
      <c r="M6" s="142"/>
      <c r="N6" s="142"/>
      <c r="O6" s="142"/>
      <c r="P6" s="142"/>
      <c r="Q6" s="142"/>
      <c r="R6" s="142"/>
      <c r="S6" s="142"/>
      <c r="T6" s="142"/>
      <c r="U6" s="142"/>
      <c r="V6" s="142"/>
      <c r="W6" s="142"/>
      <c r="X6" s="142"/>
      <c r="Y6" s="142"/>
      <c r="Z6" s="142"/>
      <c r="AA6" s="142"/>
      <c r="AB6" s="142"/>
      <c r="AC6" s="142"/>
      <c r="AD6" s="142"/>
      <c r="AE6" s="142"/>
      <c r="AF6" s="142"/>
      <c r="AG6" s="142"/>
      <c r="AH6" s="142"/>
      <c r="AI6" s="142"/>
      <c r="AJ6" s="142"/>
      <c r="AK6" s="142"/>
      <c r="AL6" s="142"/>
      <c r="AM6" s="142"/>
      <c r="AN6" s="142"/>
      <c r="AO6" s="142"/>
      <c r="AP6" s="142"/>
      <c r="AQ6" s="142"/>
      <c r="AR6" s="142"/>
      <c r="AS6" s="142"/>
      <c r="AT6" s="142"/>
      <c r="AU6" s="142"/>
      <c r="AV6" s="142"/>
      <c r="AW6" s="142"/>
      <c r="AX6" s="142"/>
      <c r="AY6" s="142"/>
    </row>
    <row r="7" spans="1:51">
      <c r="A7" s="222" t="s">
        <v>370</v>
      </c>
      <c r="B7" s="283"/>
      <c r="C7" s="283"/>
      <c r="D7" s="223"/>
      <c r="E7" s="223"/>
      <c r="F7" s="223"/>
      <c r="G7" s="283"/>
      <c r="H7" s="223"/>
      <c r="I7" s="223"/>
      <c r="J7" s="111"/>
      <c r="K7" s="142"/>
      <c r="L7" s="142"/>
      <c r="M7" s="142"/>
      <c r="N7" s="142"/>
      <c r="O7" s="142"/>
      <c r="P7" s="142"/>
      <c r="Q7" s="142"/>
      <c r="R7" s="142"/>
      <c r="S7" s="142"/>
      <c r="T7" s="142"/>
      <c r="U7" s="142"/>
      <c r="V7" s="142"/>
      <c r="W7" s="142"/>
      <c r="X7" s="142"/>
      <c r="Y7" s="142"/>
      <c r="Z7" s="142"/>
      <c r="AA7" s="142"/>
      <c r="AB7" s="142"/>
      <c r="AC7" s="142"/>
      <c r="AD7" s="142"/>
      <c r="AE7" s="142"/>
      <c r="AF7" s="142"/>
      <c r="AG7" s="142"/>
      <c r="AH7" s="142"/>
      <c r="AI7" s="142"/>
      <c r="AJ7" s="142"/>
      <c r="AK7" s="142"/>
      <c r="AL7" s="142"/>
      <c r="AM7" s="142"/>
      <c r="AN7" s="142"/>
      <c r="AO7" s="142"/>
      <c r="AP7" s="142"/>
      <c r="AQ7" s="142"/>
      <c r="AR7" s="142"/>
      <c r="AS7" s="142"/>
      <c r="AT7" s="142"/>
      <c r="AU7" s="142"/>
      <c r="AV7" s="142"/>
      <c r="AW7" s="142"/>
      <c r="AX7" s="142"/>
      <c r="AY7" s="142"/>
    </row>
    <row r="8" spans="1:51">
      <c r="A8" s="223"/>
      <c r="B8" s="283"/>
      <c r="C8" s="283"/>
      <c r="D8" s="223"/>
      <c r="E8" s="223"/>
      <c r="F8" s="223"/>
      <c r="G8" s="283"/>
      <c r="H8" s="223"/>
      <c r="I8" s="223"/>
      <c r="J8" s="111"/>
      <c r="K8" s="142"/>
      <c r="L8" s="142"/>
      <c r="M8" s="142"/>
      <c r="N8" s="142"/>
      <c r="O8" s="142"/>
      <c r="P8" s="142"/>
      <c r="Q8" s="142"/>
      <c r="R8" s="142"/>
      <c r="S8" s="142"/>
      <c r="T8" s="142"/>
      <c r="U8" s="142"/>
      <c r="V8" s="142"/>
      <c r="W8" s="142"/>
      <c r="X8" s="142"/>
      <c r="Y8" s="142"/>
      <c r="Z8" s="142"/>
      <c r="AA8" s="142"/>
      <c r="AB8" s="142"/>
      <c r="AC8" s="142"/>
      <c r="AD8" s="142"/>
      <c r="AE8" s="142"/>
      <c r="AF8" s="142"/>
      <c r="AG8" s="142"/>
      <c r="AH8" s="142"/>
      <c r="AI8" s="142"/>
      <c r="AJ8" s="142"/>
      <c r="AK8" s="142"/>
      <c r="AL8" s="142"/>
      <c r="AM8" s="142"/>
      <c r="AN8" s="142"/>
      <c r="AO8" s="142"/>
      <c r="AP8" s="142"/>
      <c r="AQ8" s="142"/>
      <c r="AR8" s="142"/>
      <c r="AS8" s="142"/>
      <c r="AT8" s="142"/>
      <c r="AU8" s="142"/>
      <c r="AV8" s="142"/>
      <c r="AW8" s="142"/>
      <c r="AX8" s="142"/>
      <c r="AY8" s="142"/>
    </row>
    <row r="9" spans="1:51">
      <c r="A9" s="285" t="s">
        <v>211</v>
      </c>
      <c r="B9" s="283"/>
      <c r="C9" s="283"/>
      <c r="D9" s="223"/>
      <c r="E9" s="223"/>
      <c r="F9" s="223"/>
      <c r="G9" s="283"/>
      <c r="H9" s="286"/>
      <c r="I9" s="223"/>
      <c r="J9" s="111"/>
      <c r="K9" s="142"/>
      <c r="L9" s="142"/>
      <c r="M9" s="142"/>
      <c r="N9" s="142"/>
      <c r="O9" s="142"/>
      <c r="P9" s="142"/>
      <c r="Q9" s="142"/>
      <c r="R9" s="142"/>
      <c r="S9" s="142"/>
      <c r="T9" s="142"/>
      <c r="U9" s="142"/>
      <c r="V9" s="142"/>
      <c r="W9" s="142"/>
      <c r="X9" s="142"/>
      <c r="Y9" s="142"/>
      <c r="Z9" s="142"/>
      <c r="AA9" s="142"/>
      <c r="AB9" s="142"/>
      <c r="AC9" s="142"/>
      <c r="AD9" s="142"/>
      <c r="AE9" s="142"/>
      <c r="AF9" s="142"/>
      <c r="AG9" s="142"/>
      <c r="AH9" s="142"/>
      <c r="AI9" s="142"/>
      <c r="AJ9" s="142"/>
      <c r="AK9" s="142"/>
      <c r="AL9" s="142"/>
      <c r="AM9" s="142"/>
      <c r="AN9" s="142"/>
      <c r="AO9" s="142"/>
      <c r="AP9" s="142"/>
      <c r="AQ9" s="142"/>
      <c r="AR9" s="142"/>
      <c r="AS9" s="142"/>
      <c r="AT9" s="142"/>
      <c r="AU9" s="142"/>
      <c r="AV9" s="142"/>
      <c r="AW9" s="142"/>
      <c r="AX9" s="142"/>
      <c r="AY9" s="142"/>
    </row>
    <row r="10" spans="1:51">
      <c r="A10" s="364" t="s">
        <v>367</v>
      </c>
      <c r="B10" s="283"/>
      <c r="C10" s="283"/>
      <c r="D10" s="223"/>
      <c r="E10" s="223"/>
      <c r="F10" s="223"/>
      <c r="G10" s="283"/>
      <c r="H10" s="286"/>
      <c r="I10" s="223"/>
      <c r="J10" s="111"/>
      <c r="K10" s="142"/>
      <c r="L10" s="142"/>
      <c r="M10" s="142"/>
      <c r="N10" s="142"/>
      <c r="O10" s="142"/>
      <c r="P10" s="142"/>
      <c r="Q10" s="142"/>
      <c r="R10" s="142"/>
      <c r="S10" s="142"/>
      <c r="T10" s="142"/>
      <c r="U10" s="142"/>
      <c r="V10" s="142"/>
      <c r="W10" s="142"/>
      <c r="X10" s="142"/>
      <c r="Y10" s="142"/>
      <c r="Z10" s="142"/>
      <c r="AA10" s="142"/>
      <c r="AB10" s="142"/>
      <c r="AC10" s="142"/>
      <c r="AD10" s="142"/>
      <c r="AE10" s="142"/>
      <c r="AF10" s="142"/>
      <c r="AG10" s="142"/>
      <c r="AH10" s="142"/>
      <c r="AI10" s="142"/>
      <c r="AJ10" s="142"/>
      <c r="AK10" s="142"/>
      <c r="AL10" s="142"/>
      <c r="AM10" s="142"/>
      <c r="AN10" s="142"/>
      <c r="AO10" s="142"/>
      <c r="AP10" s="142"/>
      <c r="AQ10" s="142"/>
      <c r="AR10" s="142"/>
      <c r="AS10" s="142"/>
      <c r="AT10" s="142"/>
      <c r="AU10" s="142"/>
      <c r="AV10" s="142"/>
      <c r="AW10" s="142"/>
      <c r="AX10" s="142"/>
      <c r="AY10" s="142"/>
    </row>
    <row r="11" spans="1:51">
      <c r="A11" s="423"/>
      <c r="B11" s="283"/>
      <c r="C11" s="223"/>
      <c r="D11" s="223"/>
      <c r="E11" s="223"/>
      <c r="F11" s="223"/>
      <c r="G11" s="286"/>
      <c r="H11" s="223"/>
      <c r="I11" s="223"/>
      <c r="J11" s="111"/>
      <c r="K11" s="142"/>
      <c r="L11" s="142"/>
      <c r="M11" s="142"/>
      <c r="N11" s="142"/>
      <c r="O11" s="142"/>
      <c r="P11" s="142"/>
      <c r="Q11" s="142"/>
      <c r="R11" s="142"/>
      <c r="S11" s="142"/>
      <c r="T11" s="142"/>
      <c r="U11" s="142"/>
      <c r="V11" s="142"/>
      <c r="W11" s="142"/>
      <c r="X11" s="142"/>
      <c r="Y11" s="142"/>
      <c r="Z11" s="142"/>
      <c r="AA11" s="142"/>
      <c r="AB11" s="142"/>
      <c r="AC11" s="142"/>
      <c r="AD11" s="142"/>
      <c r="AE11" s="142"/>
      <c r="AF11" s="142"/>
      <c r="AG11" s="142"/>
      <c r="AH11" s="142"/>
      <c r="AI11" s="142"/>
      <c r="AJ11" s="142"/>
      <c r="AK11" s="142"/>
      <c r="AL11" s="142"/>
      <c r="AM11" s="142"/>
      <c r="AN11" s="142"/>
      <c r="AO11" s="142"/>
      <c r="AP11" s="142"/>
      <c r="AQ11" s="142"/>
      <c r="AR11" s="142"/>
      <c r="AS11" s="142"/>
      <c r="AT11" s="142"/>
      <c r="AU11" s="142"/>
      <c r="AV11" s="142"/>
      <c r="AW11" s="142"/>
      <c r="AX11" s="142"/>
      <c r="AY11" s="142"/>
    </row>
    <row r="12" spans="1:51">
      <c r="A12" s="223" t="s">
        <v>709</v>
      </c>
      <c r="B12" s="283"/>
      <c r="C12" s="283"/>
      <c r="D12" s="223"/>
      <c r="E12" s="223"/>
      <c r="F12" s="223"/>
      <c r="G12" s="286"/>
      <c r="H12" s="223"/>
      <c r="I12" s="223"/>
      <c r="J12" s="111"/>
      <c r="K12" s="142"/>
      <c r="L12" s="142"/>
      <c r="M12" s="142"/>
      <c r="N12" s="142"/>
      <c r="O12" s="142"/>
      <c r="P12" s="142"/>
      <c r="Q12" s="142"/>
      <c r="R12" s="142"/>
      <c r="S12" s="142"/>
      <c r="T12" s="142"/>
      <c r="U12" s="142"/>
      <c r="V12" s="142"/>
      <c r="W12" s="142"/>
      <c r="X12" s="142"/>
      <c r="Y12" s="142"/>
      <c r="Z12" s="142"/>
      <c r="AA12" s="142"/>
      <c r="AB12" s="142"/>
      <c r="AC12" s="142"/>
      <c r="AD12" s="142"/>
      <c r="AE12" s="142"/>
      <c r="AF12" s="142"/>
      <c r="AG12" s="142"/>
      <c r="AH12" s="142"/>
      <c r="AI12" s="142"/>
      <c r="AJ12" s="142"/>
      <c r="AK12" s="142"/>
      <c r="AL12" s="142"/>
      <c r="AM12" s="142"/>
      <c r="AN12" s="142"/>
      <c r="AO12" s="142"/>
      <c r="AP12" s="142"/>
      <c r="AQ12" s="142"/>
      <c r="AR12" s="142"/>
      <c r="AS12" s="142"/>
      <c r="AT12" s="142"/>
      <c r="AU12" s="142"/>
      <c r="AV12" s="142"/>
      <c r="AW12" s="142"/>
      <c r="AX12" s="142"/>
      <c r="AY12" s="142"/>
    </row>
    <row r="13" spans="1:51">
      <c r="A13" s="143"/>
      <c r="C13" s="111"/>
      <c r="D13" s="111"/>
      <c r="E13" s="111"/>
      <c r="F13" s="111"/>
      <c r="G13" s="144"/>
      <c r="K13" s="142"/>
      <c r="L13" s="142"/>
      <c r="M13" s="142"/>
      <c r="N13" s="142"/>
      <c r="O13" s="142"/>
      <c r="P13" s="142"/>
      <c r="Q13" s="142"/>
      <c r="R13" s="142"/>
      <c r="S13" s="142"/>
      <c r="T13" s="142"/>
      <c r="U13" s="142"/>
      <c r="V13" s="142"/>
      <c r="W13" s="142"/>
      <c r="X13" s="142"/>
      <c r="Y13" s="142"/>
      <c r="Z13" s="142"/>
      <c r="AA13" s="142"/>
      <c r="AB13" s="142"/>
      <c r="AC13" s="142"/>
      <c r="AD13" s="142"/>
      <c r="AE13" s="142"/>
      <c r="AF13" s="142"/>
      <c r="AG13" s="142"/>
      <c r="AH13" s="142"/>
      <c r="AI13" s="142"/>
      <c r="AJ13" s="142"/>
      <c r="AK13" s="142"/>
      <c r="AL13" s="142"/>
      <c r="AM13" s="142"/>
      <c r="AN13" s="142"/>
      <c r="AO13" s="142"/>
      <c r="AP13" s="142"/>
      <c r="AQ13" s="142"/>
      <c r="AR13" s="142"/>
      <c r="AS13" s="142"/>
      <c r="AT13" s="142"/>
      <c r="AU13" s="142"/>
      <c r="AV13" s="142"/>
      <c r="AW13" s="142"/>
      <c r="AX13" s="142"/>
      <c r="AY13" s="142"/>
    </row>
    <row r="14" spans="1:51">
      <c r="A14" s="143"/>
      <c r="C14" s="111"/>
      <c r="D14" s="111"/>
      <c r="E14" s="111"/>
      <c r="F14" s="111"/>
      <c r="G14" s="111"/>
      <c r="K14" s="142"/>
      <c r="L14" s="142"/>
      <c r="M14" s="142"/>
      <c r="N14" s="142"/>
      <c r="O14" s="142"/>
      <c r="P14" s="142"/>
      <c r="Q14" s="142"/>
      <c r="R14" s="142"/>
      <c r="S14" s="142"/>
      <c r="T14" s="142"/>
      <c r="U14" s="142"/>
      <c r="V14" s="142"/>
      <c r="W14" s="142"/>
      <c r="X14" s="142"/>
      <c r="Y14" s="142"/>
      <c r="Z14" s="142"/>
      <c r="AA14" s="142"/>
      <c r="AB14" s="142"/>
      <c r="AC14" s="142"/>
      <c r="AD14" s="142"/>
      <c r="AE14" s="142"/>
      <c r="AF14" s="142"/>
      <c r="AG14" s="142"/>
      <c r="AH14" s="142"/>
      <c r="AI14" s="142"/>
      <c r="AJ14" s="142"/>
      <c r="AK14" s="142"/>
      <c r="AL14" s="142"/>
      <c r="AM14" s="142"/>
      <c r="AN14" s="142"/>
      <c r="AO14" s="142"/>
      <c r="AP14" s="142"/>
      <c r="AQ14" s="142"/>
      <c r="AR14" s="142"/>
      <c r="AS14" s="142"/>
      <c r="AT14" s="142"/>
      <c r="AU14" s="142"/>
      <c r="AV14" s="142"/>
      <c r="AW14" s="142"/>
      <c r="AX14" s="142"/>
      <c r="AY14" s="142"/>
    </row>
    <row r="15" spans="1:51">
      <c r="C15" s="109" t="s">
        <v>24</v>
      </c>
      <c r="D15" s="109"/>
      <c r="E15" s="109" t="s">
        <v>25</v>
      </c>
      <c r="F15" s="109"/>
      <c r="G15" s="109" t="s">
        <v>26</v>
      </c>
      <c r="I15" s="145" t="s">
        <v>27</v>
      </c>
      <c r="K15" s="142"/>
      <c r="L15" s="142"/>
      <c r="M15" s="142"/>
      <c r="N15" s="142"/>
      <c r="O15" s="142"/>
      <c r="P15" s="142"/>
      <c r="Q15" s="142"/>
      <c r="R15" s="142"/>
      <c r="S15" s="142"/>
      <c r="T15" s="142"/>
      <c r="U15" s="142"/>
      <c r="V15" s="142"/>
      <c r="W15" s="142"/>
      <c r="X15" s="142"/>
      <c r="Y15" s="142"/>
      <c r="Z15" s="142"/>
      <c r="AA15" s="142"/>
      <c r="AB15" s="142"/>
      <c r="AC15" s="142"/>
      <c r="AD15" s="142"/>
      <c r="AE15" s="142"/>
      <c r="AF15" s="142"/>
      <c r="AG15" s="142"/>
      <c r="AH15" s="142"/>
      <c r="AI15" s="142"/>
      <c r="AJ15" s="142"/>
      <c r="AK15" s="142"/>
      <c r="AL15" s="142"/>
      <c r="AM15" s="142"/>
      <c r="AN15" s="142"/>
      <c r="AO15" s="142"/>
      <c r="AP15" s="142"/>
      <c r="AQ15" s="142"/>
      <c r="AR15" s="142"/>
      <c r="AS15" s="142"/>
      <c r="AT15" s="142"/>
      <c r="AU15" s="142"/>
      <c r="AV15" s="142"/>
      <c r="AW15" s="142"/>
      <c r="AX15" s="142"/>
      <c r="AY15" s="142"/>
    </row>
    <row r="16" spans="1:51" ht="15.75">
      <c r="C16" s="108"/>
      <c r="D16" s="108"/>
      <c r="I16" s="150"/>
      <c r="K16" s="142"/>
      <c r="L16" s="142"/>
      <c r="M16" s="142"/>
      <c r="N16" s="142"/>
      <c r="O16" s="142"/>
      <c r="P16" s="142"/>
      <c r="Q16" s="142"/>
      <c r="R16" s="142"/>
      <c r="S16" s="142"/>
      <c r="T16" s="142"/>
      <c r="U16" s="142"/>
      <c r="V16" s="142"/>
      <c r="W16" s="142"/>
      <c r="X16" s="142"/>
      <c r="Y16" s="142"/>
      <c r="Z16" s="142"/>
      <c r="AA16" s="142"/>
      <c r="AB16" s="142"/>
      <c r="AC16" s="142"/>
      <c r="AD16" s="142"/>
      <c r="AE16" s="142"/>
      <c r="AF16" s="142"/>
      <c r="AG16" s="142"/>
      <c r="AH16" s="142"/>
      <c r="AI16" s="142"/>
      <c r="AJ16" s="142"/>
      <c r="AK16" s="142"/>
      <c r="AL16" s="142"/>
      <c r="AM16" s="142"/>
      <c r="AN16" s="142"/>
      <c r="AO16" s="142"/>
      <c r="AP16" s="142"/>
      <c r="AQ16" s="142"/>
      <c r="AR16" s="142"/>
      <c r="AS16" s="142"/>
      <c r="AT16" s="142"/>
      <c r="AU16" s="142"/>
      <c r="AV16" s="142"/>
      <c r="AW16" s="142"/>
      <c r="AX16" s="142"/>
      <c r="AY16" s="142"/>
    </row>
    <row r="17" spans="1:51">
      <c r="A17" s="375" t="s">
        <v>13</v>
      </c>
      <c r="B17" s="142"/>
      <c r="C17" s="108"/>
      <c r="D17" s="108"/>
      <c r="E17" s="154" t="s">
        <v>369</v>
      </c>
      <c r="F17" s="154"/>
      <c r="G17" s="112"/>
      <c r="H17" s="142"/>
      <c r="I17" s="142"/>
      <c r="K17" s="142"/>
      <c r="L17" s="142"/>
      <c r="M17" s="142"/>
      <c r="N17" s="142"/>
      <c r="O17" s="142"/>
      <c r="P17" s="142"/>
      <c r="Q17" s="142"/>
      <c r="R17" s="142"/>
      <c r="S17" s="142"/>
      <c r="T17" s="142"/>
      <c r="U17" s="142"/>
      <c r="V17" s="142"/>
      <c r="W17" s="142"/>
      <c r="X17" s="142"/>
      <c r="Y17" s="142"/>
      <c r="Z17" s="142"/>
      <c r="AA17" s="142"/>
      <c r="AB17" s="142"/>
      <c r="AC17" s="142"/>
      <c r="AD17" s="142"/>
      <c r="AE17" s="142"/>
      <c r="AF17" s="142"/>
      <c r="AG17" s="142"/>
      <c r="AH17" s="142"/>
      <c r="AI17" s="142"/>
      <c r="AJ17" s="142"/>
      <c r="AK17" s="142"/>
      <c r="AL17" s="142"/>
      <c r="AM17" s="142"/>
      <c r="AN17" s="142"/>
      <c r="AO17" s="142"/>
      <c r="AP17" s="142"/>
      <c r="AQ17" s="142"/>
      <c r="AR17" s="142"/>
      <c r="AS17" s="142"/>
      <c r="AT17" s="142"/>
      <c r="AU17" s="142"/>
      <c r="AV17" s="142"/>
      <c r="AW17" s="142"/>
      <c r="AX17" s="142"/>
      <c r="AY17" s="142"/>
    </row>
    <row r="18" spans="1:51">
      <c r="A18" s="419" t="s">
        <v>15</v>
      </c>
      <c r="B18" s="420"/>
      <c r="C18" s="421"/>
      <c r="D18" s="421"/>
      <c r="E18" s="422" t="s">
        <v>31</v>
      </c>
      <c r="F18" s="422"/>
      <c r="G18" s="419" t="s">
        <v>30</v>
      </c>
      <c r="H18" s="420"/>
      <c r="I18" s="419" t="s">
        <v>18</v>
      </c>
      <c r="K18" s="142"/>
      <c r="L18" s="142"/>
      <c r="M18" s="142"/>
      <c r="N18" s="142"/>
      <c r="O18" s="142"/>
      <c r="P18" s="142"/>
      <c r="Q18" s="142"/>
      <c r="R18" s="142"/>
      <c r="S18" s="142"/>
      <c r="T18" s="142"/>
      <c r="U18" s="142"/>
      <c r="V18" s="142"/>
      <c r="W18" s="142"/>
      <c r="X18" s="142"/>
      <c r="Y18" s="142"/>
      <c r="Z18" s="142"/>
      <c r="AA18" s="142"/>
      <c r="AB18" s="142"/>
      <c r="AC18" s="142"/>
      <c r="AD18" s="142"/>
      <c r="AE18" s="142"/>
      <c r="AF18" s="142"/>
      <c r="AG18" s="142"/>
      <c r="AH18" s="142"/>
      <c r="AI18" s="142"/>
      <c r="AJ18" s="142"/>
      <c r="AK18" s="142"/>
      <c r="AL18" s="142"/>
      <c r="AM18" s="142"/>
      <c r="AN18" s="142"/>
      <c r="AO18" s="142"/>
      <c r="AP18" s="142"/>
      <c r="AQ18" s="142"/>
      <c r="AR18" s="142"/>
      <c r="AS18" s="142"/>
      <c r="AT18" s="142"/>
      <c r="AU18" s="142"/>
      <c r="AV18" s="142"/>
      <c r="AW18" s="142"/>
      <c r="AX18" s="142"/>
      <c r="AY18" s="142"/>
    </row>
    <row r="19" spans="1:51" ht="15.75">
      <c r="A19" s="152"/>
      <c r="C19" s="108" t="s">
        <v>417</v>
      </c>
      <c r="D19" s="108"/>
      <c r="E19" s="112"/>
      <c r="F19" s="112"/>
      <c r="G19" s="112"/>
      <c r="I19" s="112"/>
      <c r="K19" s="142"/>
      <c r="L19" s="142"/>
      <c r="M19" s="142"/>
      <c r="N19" s="142"/>
      <c r="O19" s="142"/>
      <c r="P19" s="142"/>
      <c r="Q19" s="142"/>
      <c r="R19" s="142"/>
      <c r="S19" s="142"/>
      <c r="T19" s="142"/>
      <c r="U19" s="142"/>
      <c r="V19" s="142"/>
      <c r="W19" s="142"/>
      <c r="X19" s="142"/>
      <c r="Y19" s="142"/>
      <c r="Z19" s="142"/>
      <c r="AA19" s="142"/>
      <c r="AB19" s="142"/>
      <c r="AC19" s="142"/>
      <c r="AD19" s="142"/>
      <c r="AE19" s="142"/>
      <c r="AF19" s="142"/>
      <c r="AG19" s="142"/>
      <c r="AH19" s="142"/>
      <c r="AI19" s="142"/>
      <c r="AJ19" s="142"/>
      <c r="AK19" s="142"/>
      <c r="AL19" s="142"/>
      <c r="AM19" s="142"/>
      <c r="AN19" s="142"/>
      <c r="AO19" s="142"/>
      <c r="AP19" s="142"/>
      <c r="AQ19" s="142"/>
      <c r="AR19" s="142"/>
      <c r="AS19" s="142"/>
      <c r="AT19" s="142"/>
      <c r="AU19" s="142"/>
      <c r="AV19" s="142"/>
      <c r="AW19" s="142"/>
      <c r="AX19" s="142"/>
      <c r="AY19" s="142"/>
    </row>
    <row r="20" spans="1:51">
      <c r="A20" s="153">
        <v>1</v>
      </c>
      <c r="C20" s="108" t="s">
        <v>266</v>
      </c>
      <c r="D20" s="108"/>
      <c r="E20" s="868" t="s">
        <v>803</v>
      </c>
      <c r="F20" s="154"/>
      <c r="G20" s="155">
        <f>DEO!J76</f>
        <v>722095646</v>
      </c>
      <c r="K20" s="142"/>
      <c r="L20" s="142"/>
      <c r="M20" s="142"/>
      <c r="N20" s="142"/>
      <c r="O20" s="142"/>
      <c r="P20" s="142"/>
      <c r="Q20" s="142"/>
      <c r="R20" s="142"/>
      <c r="S20" s="142"/>
      <c r="T20" s="142"/>
      <c r="U20" s="142"/>
      <c r="V20" s="142"/>
      <c r="W20" s="142"/>
      <c r="X20" s="142"/>
      <c r="Y20" s="142"/>
      <c r="Z20" s="142"/>
      <c r="AA20" s="142"/>
      <c r="AB20" s="142"/>
      <c r="AC20" s="142"/>
      <c r="AD20" s="142"/>
      <c r="AE20" s="142"/>
      <c r="AF20" s="142"/>
      <c r="AG20" s="142"/>
      <c r="AH20" s="142"/>
      <c r="AI20" s="142"/>
      <c r="AJ20" s="142"/>
      <c r="AK20" s="142"/>
      <c r="AL20" s="142"/>
      <c r="AM20" s="142"/>
      <c r="AN20" s="142"/>
      <c r="AO20" s="142"/>
      <c r="AP20" s="142"/>
      <c r="AQ20" s="142"/>
      <c r="AR20" s="142"/>
      <c r="AS20" s="142"/>
      <c r="AT20" s="142"/>
      <c r="AU20" s="142"/>
      <c r="AV20" s="142"/>
      <c r="AW20" s="142"/>
      <c r="AX20" s="142"/>
      <c r="AY20" s="142"/>
    </row>
    <row r="21" spans="1:51">
      <c r="A21" s="153">
        <v>2</v>
      </c>
      <c r="C21" s="108" t="s">
        <v>267</v>
      </c>
      <c r="D21" s="108"/>
      <c r="E21" s="868" t="s">
        <v>804</v>
      </c>
      <c r="F21" s="154"/>
      <c r="G21" s="155">
        <f>DEO!J92</f>
        <v>481193820</v>
      </c>
      <c r="I21" s="112"/>
      <c r="K21" s="142"/>
      <c r="L21" s="142"/>
      <c r="M21" s="142"/>
      <c r="N21" s="142"/>
      <c r="O21" s="142"/>
      <c r="P21" s="142"/>
      <c r="Q21" s="142"/>
      <c r="R21" s="142"/>
      <c r="S21" s="142"/>
      <c r="T21" s="142"/>
      <c r="U21" s="142"/>
      <c r="V21" s="142"/>
      <c r="W21" s="142"/>
      <c r="X21" s="142"/>
      <c r="Y21" s="142"/>
      <c r="Z21" s="142"/>
      <c r="AA21" s="142"/>
      <c r="AB21" s="142"/>
      <c r="AC21" s="142"/>
      <c r="AD21" s="142"/>
      <c r="AE21" s="142"/>
      <c r="AF21" s="142"/>
      <c r="AG21" s="142"/>
      <c r="AH21" s="142"/>
      <c r="AI21" s="142"/>
      <c r="AJ21" s="142"/>
      <c r="AK21" s="142"/>
      <c r="AL21" s="142"/>
      <c r="AM21" s="142"/>
      <c r="AN21" s="142"/>
      <c r="AO21" s="142"/>
      <c r="AP21" s="142"/>
      <c r="AQ21" s="142"/>
      <c r="AR21" s="142"/>
      <c r="AS21" s="142"/>
      <c r="AT21" s="142"/>
      <c r="AU21" s="142"/>
      <c r="AV21" s="142"/>
      <c r="AW21" s="142"/>
      <c r="AX21" s="142"/>
      <c r="AY21" s="142"/>
    </row>
    <row r="22" spans="1:51">
      <c r="A22" s="153"/>
      <c r="E22" s="868"/>
      <c r="F22" s="154"/>
      <c r="K22" s="142"/>
      <c r="L22" s="142"/>
      <c r="M22" s="142"/>
      <c r="N22" s="142"/>
      <c r="O22" s="142"/>
      <c r="P22" s="142"/>
      <c r="Q22" s="142"/>
      <c r="R22" s="142"/>
      <c r="S22" s="142"/>
      <c r="T22" s="142"/>
      <c r="U22" s="142"/>
      <c r="V22" s="142"/>
      <c r="W22" s="142"/>
      <c r="X22" s="142"/>
      <c r="Y22" s="142"/>
      <c r="Z22" s="142"/>
      <c r="AA22" s="142"/>
      <c r="AB22" s="142"/>
      <c r="AC22" s="142"/>
      <c r="AD22" s="142"/>
      <c r="AE22" s="142"/>
      <c r="AF22" s="142"/>
      <c r="AG22" s="142"/>
      <c r="AH22" s="142"/>
      <c r="AI22" s="142"/>
      <c r="AJ22" s="142"/>
      <c r="AK22" s="142"/>
      <c r="AL22" s="142"/>
      <c r="AM22" s="142"/>
      <c r="AN22" s="142"/>
      <c r="AO22" s="142"/>
      <c r="AP22" s="142"/>
      <c r="AQ22" s="142"/>
      <c r="AR22" s="142"/>
      <c r="AS22" s="142"/>
      <c r="AT22" s="142"/>
      <c r="AU22" s="142"/>
      <c r="AV22" s="142"/>
      <c r="AW22" s="142"/>
      <c r="AX22" s="142"/>
      <c r="AY22" s="142"/>
    </row>
    <row r="23" spans="1:51">
      <c r="A23" s="153"/>
      <c r="C23" s="108" t="s">
        <v>232</v>
      </c>
      <c r="D23" s="108"/>
      <c r="E23" s="868"/>
      <c r="F23" s="154"/>
      <c r="G23" s="112"/>
      <c r="K23" s="142"/>
      <c r="L23" s="142"/>
      <c r="M23" s="142"/>
      <c r="N23" s="142"/>
      <c r="O23" s="142"/>
      <c r="P23" s="142"/>
      <c r="Q23" s="142"/>
      <c r="R23" s="142"/>
      <c r="S23" s="142"/>
      <c r="T23" s="142"/>
      <c r="U23" s="142"/>
      <c r="V23" s="142"/>
      <c r="W23" s="142"/>
      <c r="X23" s="142"/>
      <c r="Y23" s="142"/>
      <c r="Z23" s="142"/>
      <c r="AA23" s="142"/>
      <c r="AB23" s="142"/>
      <c r="AC23" s="142"/>
      <c r="AD23" s="142"/>
      <c r="AE23" s="142"/>
      <c r="AF23" s="142"/>
      <c r="AG23" s="142"/>
      <c r="AH23" s="142"/>
      <c r="AI23" s="142"/>
      <c r="AJ23" s="142"/>
      <c r="AK23" s="142"/>
      <c r="AL23" s="142"/>
      <c r="AM23" s="142"/>
      <c r="AN23" s="142"/>
      <c r="AO23" s="142"/>
      <c r="AP23" s="142"/>
      <c r="AQ23" s="142"/>
      <c r="AR23" s="142"/>
      <c r="AS23" s="142"/>
      <c r="AT23" s="142"/>
      <c r="AU23" s="142"/>
      <c r="AV23" s="142"/>
      <c r="AW23" s="142"/>
      <c r="AX23" s="142"/>
      <c r="AY23" s="142"/>
    </row>
    <row r="24" spans="1:51">
      <c r="A24" s="153">
        <v>3</v>
      </c>
      <c r="C24" s="108" t="s">
        <v>268</v>
      </c>
      <c r="D24" s="108"/>
      <c r="E24" s="868" t="s">
        <v>805</v>
      </c>
      <c r="F24" s="154"/>
      <c r="G24" s="155">
        <f>DEO!J148</f>
        <v>23983847</v>
      </c>
      <c r="K24" s="142"/>
      <c r="L24" s="142"/>
      <c r="M24" s="142"/>
      <c r="N24" s="142"/>
      <c r="O24" s="142"/>
      <c r="P24" s="142"/>
      <c r="Q24" s="142"/>
      <c r="R24" s="142"/>
      <c r="S24" s="142"/>
      <c r="T24" s="142"/>
      <c r="U24" s="142"/>
      <c r="V24" s="142"/>
      <c r="W24" s="142"/>
      <c r="X24" s="142"/>
      <c r="Y24" s="142"/>
      <c r="Z24" s="142"/>
      <c r="AA24" s="142"/>
      <c r="AB24" s="142"/>
      <c r="AC24" s="142"/>
      <c r="AD24" s="142"/>
      <c r="AE24" s="142"/>
      <c r="AF24" s="142"/>
      <c r="AG24" s="142"/>
      <c r="AH24" s="142"/>
      <c r="AI24" s="142"/>
      <c r="AJ24" s="142"/>
      <c r="AK24" s="142"/>
      <c r="AL24" s="142"/>
      <c r="AM24" s="142"/>
      <c r="AN24" s="142"/>
      <c r="AO24" s="142"/>
      <c r="AP24" s="142"/>
      <c r="AQ24" s="142"/>
      <c r="AR24" s="142"/>
      <c r="AS24" s="142"/>
      <c r="AT24" s="142"/>
      <c r="AU24" s="142"/>
      <c r="AV24" s="142"/>
      <c r="AW24" s="142"/>
      <c r="AX24" s="142"/>
      <c r="AY24" s="142"/>
    </row>
    <row r="25" spans="1:51">
      <c r="A25" s="153">
        <v>4</v>
      </c>
      <c r="C25" s="108" t="s">
        <v>269</v>
      </c>
      <c r="D25" s="108"/>
      <c r="E25" s="868" t="s">
        <v>700</v>
      </c>
      <c r="F25" s="154"/>
      <c r="G25" s="156">
        <f>IF(G24=0,0,G24/G20)</f>
        <v>3.3214224643032954E-2</v>
      </c>
      <c r="I25" s="157">
        <f>G25</f>
        <v>3.3214224643032954E-2</v>
      </c>
      <c r="K25" s="142"/>
      <c r="L25" s="142"/>
      <c r="M25" s="142"/>
      <c r="N25" s="142"/>
      <c r="O25" s="142"/>
      <c r="P25" s="142"/>
      <c r="Q25" s="142"/>
      <c r="R25" s="142"/>
      <c r="S25" s="142"/>
      <c r="T25" s="142"/>
      <c r="U25" s="142"/>
      <c r="V25" s="142"/>
      <c r="W25" s="142"/>
      <c r="X25" s="142"/>
      <c r="Y25" s="142"/>
      <c r="Z25" s="142"/>
      <c r="AA25" s="142"/>
      <c r="AB25" s="142"/>
      <c r="AC25" s="142"/>
      <c r="AD25" s="142"/>
      <c r="AE25" s="142"/>
      <c r="AF25" s="142"/>
      <c r="AG25" s="142"/>
      <c r="AH25" s="142"/>
      <c r="AI25" s="142"/>
      <c r="AJ25" s="142"/>
      <c r="AK25" s="142"/>
      <c r="AL25" s="142"/>
      <c r="AM25" s="142"/>
      <c r="AN25" s="142"/>
      <c r="AO25" s="142"/>
      <c r="AP25" s="142"/>
      <c r="AQ25" s="142"/>
      <c r="AR25" s="142"/>
      <c r="AS25" s="142"/>
      <c r="AT25" s="142"/>
      <c r="AU25" s="142"/>
      <c r="AV25" s="142"/>
      <c r="AW25" s="142"/>
      <c r="AX25" s="142"/>
      <c r="AY25" s="142"/>
    </row>
    <row r="26" spans="1:51">
      <c r="A26" s="153"/>
      <c r="E26" s="868"/>
      <c r="F26" s="154"/>
      <c r="K26" s="142"/>
      <c r="L26" s="142"/>
      <c r="M26" s="142"/>
      <c r="N26" s="142"/>
      <c r="O26" s="142"/>
      <c r="P26" s="142"/>
      <c r="Q26" s="142"/>
      <c r="R26" s="142"/>
      <c r="S26" s="142"/>
      <c r="T26" s="142"/>
      <c r="U26" s="142"/>
      <c r="V26" s="142"/>
      <c r="W26" s="142"/>
      <c r="X26" s="142"/>
      <c r="Y26" s="142"/>
      <c r="Z26" s="142"/>
      <c r="AA26" s="142"/>
      <c r="AB26" s="142"/>
      <c r="AC26" s="142"/>
      <c r="AD26" s="142"/>
      <c r="AE26" s="142"/>
      <c r="AF26" s="142"/>
      <c r="AG26" s="142"/>
      <c r="AH26" s="142"/>
      <c r="AI26" s="142"/>
      <c r="AJ26" s="142"/>
      <c r="AK26" s="142"/>
      <c r="AL26" s="142"/>
      <c r="AM26" s="142"/>
      <c r="AN26" s="142"/>
      <c r="AO26" s="142"/>
      <c r="AP26" s="142"/>
      <c r="AQ26" s="142"/>
      <c r="AR26" s="142"/>
      <c r="AS26" s="142"/>
      <c r="AT26" s="142"/>
      <c r="AU26" s="142"/>
      <c r="AV26" s="142"/>
      <c r="AW26" s="142"/>
      <c r="AX26" s="142"/>
      <c r="AY26" s="142"/>
    </row>
    <row r="27" spans="1:51">
      <c r="A27" s="166"/>
      <c r="C27" s="108" t="s">
        <v>320</v>
      </c>
      <c r="D27" s="108"/>
      <c r="E27" s="866"/>
      <c r="F27" s="154"/>
      <c r="K27" s="142"/>
      <c r="L27" s="142"/>
      <c r="M27" s="142"/>
      <c r="N27" s="142"/>
      <c r="O27" s="142"/>
      <c r="P27" s="142"/>
      <c r="Q27" s="142"/>
      <c r="R27" s="142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  <c r="AF27" s="142"/>
      <c r="AG27" s="142"/>
      <c r="AH27" s="142"/>
      <c r="AI27" s="142"/>
      <c r="AJ27" s="142"/>
      <c r="AK27" s="142"/>
      <c r="AL27" s="142"/>
      <c r="AM27" s="142"/>
      <c r="AN27" s="142"/>
      <c r="AO27" s="142"/>
      <c r="AP27" s="142"/>
      <c r="AQ27" s="142"/>
      <c r="AR27" s="142"/>
      <c r="AS27" s="142"/>
      <c r="AT27" s="142"/>
      <c r="AU27" s="142"/>
      <c r="AV27" s="142"/>
      <c r="AW27" s="142"/>
      <c r="AX27" s="142"/>
      <c r="AY27" s="142"/>
    </row>
    <row r="28" spans="1:51">
      <c r="A28" s="166" t="s">
        <v>270</v>
      </c>
      <c r="C28" s="108" t="s">
        <v>321</v>
      </c>
      <c r="D28" s="108"/>
      <c r="E28" s="868" t="s">
        <v>806</v>
      </c>
      <c r="F28" s="154"/>
      <c r="G28" s="155">
        <f>DEO!J152+DEO!J153</f>
        <v>2785383</v>
      </c>
      <c r="K28" s="142"/>
      <c r="L28" s="142"/>
      <c r="M28" s="142"/>
      <c r="N28" s="142"/>
      <c r="O28" s="142"/>
      <c r="P28" s="142"/>
      <c r="Q28" s="142"/>
      <c r="R28" s="142"/>
      <c r="S28" s="142"/>
      <c r="T28" s="142"/>
      <c r="U28" s="142"/>
      <c r="V28" s="142"/>
      <c r="W28" s="142"/>
      <c r="X28" s="142"/>
      <c r="Y28" s="142"/>
      <c r="Z28" s="142"/>
      <c r="AA28" s="142"/>
      <c r="AB28" s="142"/>
      <c r="AC28" s="142"/>
      <c r="AD28" s="142"/>
      <c r="AE28" s="142"/>
      <c r="AF28" s="142"/>
      <c r="AG28" s="142"/>
      <c r="AH28" s="142"/>
      <c r="AI28" s="142"/>
      <c r="AJ28" s="142"/>
      <c r="AK28" s="142"/>
      <c r="AL28" s="142"/>
      <c r="AM28" s="142"/>
      <c r="AN28" s="142"/>
      <c r="AO28" s="142"/>
      <c r="AP28" s="142"/>
      <c r="AQ28" s="142"/>
      <c r="AR28" s="142"/>
      <c r="AS28" s="142"/>
      <c r="AT28" s="142"/>
      <c r="AU28" s="142"/>
      <c r="AV28" s="142"/>
      <c r="AW28" s="142"/>
      <c r="AX28" s="142"/>
      <c r="AY28" s="142"/>
    </row>
    <row r="29" spans="1:51">
      <c r="A29" s="166" t="s">
        <v>271</v>
      </c>
      <c r="C29" s="108" t="s">
        <v>322</v>
      </c>
      <c r="D29" s="108"/>
      <c r="E29" s="868" t="s">
        <v>701</v>
      </c>
      <c r="F29" s="154"/>
      <c r="G29" s="156">
        <f>IF(G28=0,0,G28/G20)</f>
        <v>3.8573601924197171E-3</v>
      </c>
      <c r="I29" s="157">
        <f>G29</f>
        <v>3.8573601924197171E-3</v>
      </c>
      <c r="K29" s="142"/>
      <c r="L29" s="142"/>
      <c r="M29" s="142"/>
      <c r="N29" s="142"/>
      <c r="O29" s="142"/>
      <c r="P29" s="142"/>
      <c r="Q29" s="142"/>
      <c r="R29" s="142"/>
      <c r="S29" s="142"/>
      <c r="T29" s="142"/>
      <c r="U29" s="142"/>
      <c r="V29" s="142"/>
      <c r="W29" s="142"/>
      <c r="X29" s="142"/>
      <c r="Y29" s="142"/>
      <c r="Z29" s="142"/>
      <c r="AA29" s="142"/>
      <c r="AB29" s="142"/>
      <c r="AC29" s="142"/>
      <c r="AD29" s="142"/>
      <c r="AE29" s="142"/>
      <c r="AF29" s="142"/>
      <c r="AG29" s="142"/>
      <c r="AH29" s="142"/>
      <c r="AI29" s="142"/>
      <c r="AJ29" s="142"/>
      <c r="AK29" s="142"/>
      <c r="AL29" s="142"/>
      <c r="AM29" s="142"/>
      <c r="AN29" s="142"/>
      <c r="AO29" s="142"/>
      <c r="AP29" s="142"/>
      <c r="AQ29" s="142"/>
      <c r="AR29" s="142"/>
      <c r="AS29" s="142"/>
      <c r="AT29" s="142"/>
      <c r="AU29" s="142"/>
      <c r="AV29" s="142"/>
      <c r="AW29" s="142"/>
      <c r="AX29" s="142"/>
      <c r="AY29" s="142"/>
    </row>
    <row r="30" spans="1:51">
      <c r="A30" s="153"/>
      <c r="E30" s="868"/>
      <c r="F30" s="154"/>
      <c r="K30" s="142"/>
      <c r="L30" s="142"/>
      <c r="M30" s="142"/>
      <c r="N30" s="142"/>
      <c r="O30" s="142"/>
      <c r="P30" s="142"/>
      <c r="Q30" s="142"/>
      <c r="R30" s="142"/>
      <c r="S30" s="142"/>
      <c r="T30" s="142"/>
      <c r="U30" s="142"/>
      <c r="V30" s="142"/>
      <c r="W30" s="142"/>
      <c r="X30" s="142"/>
      <c r="Y30" s="142"/>
      <c r="Z30" s="142"/>
      <c r="AA30" s="142"/>
      <c r="AB30" s="142"/>
      <c r="AC30" s="142"/>
      <c r="AD30" s="142"/>
      <c r="AE30" s="142"/>
      <c r="AF30" s="142"/>
      <c r="AG30" s="142"/>
      <c r="AH30" s="142"/>
      <c r="AI30" s="142"/>
      <c r="AJ30" s="142"/>
      <c r="AK30" s="142"/>
      <c r="AL30" s="142"/>
      <c r="AM30" s="142"/>
      <c r="AN30" s="142"/>
      <c r="AO30" s="142"/>
      <c r="AP30" s="142"/>
      <c r="AQ30" s="142"/>
      <c r="AR30" s="142"/>
      <c r="AS30" s="142"/>
      <c r="AT30" s="142"/>
      <c r="AU30" s="142"/>
      <c r="AV30" s="142"/>
      <c r="AW30" s="142"/>
      <c r="AX30" s="142"/>
      <c r="AY30" s="142"/>
    </row>
    <row r="31" spans="1:51">
      <c r="A31" s="160"/>
      <c r="C31" s="108" t="s">
        <v>235</v>
      </c>
      <c r="D31" s="108"/>
      <c r="E31" s="866"/>
      <c r="F31" s="114"/>
      <c r="G31" s="112"/>
      <c r="K31" s="142"/>
      <c r="L31" s="142"/>
      <c r="M31" s="142"/>
      <c r="N31" s="142"/>
      <c r="O31" s="142"/>
      <c r="P31" s="142"/>
      <c r="Q31" s="142"/>
      <c r="R31" s="142"/>
      <c r="S31" s="142"/>
      <c r="T31" s="142"/>
      <c r="U31" s="142"/>
      <c r="V31" s="142"/>
      <c r="W31" s="142"/>
      <c r="X31" s="142"/>
      <c r="Y31" s="142"/>
      <c r="Z31" s="142"/>
      <c r="AA31" s="142"/>
      <c r="AB31" s="142"/>
      <c r="AC31" s="142"/>
      <c r="AD31" s="142"/>
      <c r="AE31" s="142"/>
      <c r="AF31" s="142"/>
      <c r="AG31" s="142"/>
      <c r="AH31" s="142"/>
      <c r="AI31" s="142"/>
      <c r="AJ31" s="142"/>
      <c r="AK31" s="142"/>
      <c r="AL31" s="142"/>
      <c r="AM31" s="142"/>
      <c r="AN31" s="142"/>
      <c r="AO31" s="142"/>
      <c r="AP31" s="142"/>
      <c r="AQ31" s="142"/>
      <c r="AR31" s="142"/>
      <c r="AS31" s="142"/>
      <c r="AT31" s="142"/>
      <c r="AU31" s="142"/>
      <c r="AV31" s="142"/>
      <c r="AW31" s="142"/>
      <c r="AX31" s="142"/>
      <c r="AY31" s="142"/>
    </row>
    <row r="32" spans="1:51">
      <c r="A32" s="160" t="s">
        <v>273</v>
      </c>
      <c r="C32" s="108" t="s">
        <v>237</v>
      </c>
      <c r="D32" s="108"/>
      <c r="E32" s="868" t="s">
        <v>807</v>
      </c>
      <c r="F32" s="154"/>
      <c r="G32" s="155">
        <f>DEO!J165</f>
        <v>23906449</v>
      </c>
      <c r="K32" s="142"/>
      <c r="L32" s="142"/>
      <c r="M32" s="142"/>
      <c r="N32" s="142"/>
      <c r="O32" s="142"/>
      <c r="P32" s="142"/>
      <c r="Q32" s="142"/>
      <c r="R32" s="142"/>
      <c r="S32" s="142"/>
      <c r="T32" s="142"/>
      <c r="U32" s="142"/>
      <c r="V32" s="142"/>
      <c r="W32" s="142"/>
      <c r="X32" s="142"/>
      <c r="Y32" s="142"/>
      <c r="Z32" s="142"/>
      <c r="AA32" s="142"/>
      <c r="AB32" s="142"/>
      <c r="AC32" s="142"/>
      <c r="AD32" s="142"/>
      <c r="AE32" s="142"/>
      <c r="AF32" s="142"/>
      <c r="AG32" s="142"/>
      <c r="AH32" s="142"/>
      <c r="AI32" s="142"/>
      <c r="AJ32" s="142"/>
      <c r="AK32" s="142"/>
      <c r="AL32" s="142"/>
      <c r="AM32" s="142"/>
      <c r="AN32" s="142"/>
      <c r="AO32" s="142"/>
      <c r="AP32" s="142"/>
      <c r="AQ32" s="142"/>
      <c r="AR32" s="142"/>
      <c r="AS32" s="142"/>
      <c r="AT32" s="142"/>
      <c r="AU32" s="142"/>
      <c r="AV32" s="142"/>
      <c r="AW32" s="142"/>
      <c r="AX32" s="142"/>
      <c r="AY32" s="142"/>
    </row>
    <row r="33" spans="1:51">
      <c r="A33" s="160" t="s">
        <v>275</v>
      </c>
      <c r="C33" s="108" t="s">
        <v>272</v>
      </c>
      <c r="D33" s="108"/>
      <c r="E33" s="868" t="s">
        <v>798</v>
      </c>
      <c r="F33" s="154"/>
      <c r="G33" s="156">
        <f>IF(G32=0,0,G32/G20)</f>
        <v>3.3107039396274109E-2</v>
      </c>
      <c r="I33" s="157">
        <f>G33</f>
        <v>3.3107039396274109E-2</v>
      </c>
      <c r="K33" s="142"/>
      <c r="L33" s="142"/>
      <c r="M33" s="142"/>
      <c r="N33" s="142"/>
      <c r="O33" s="142"/>
      <c r="P33" s="142"/>
      <c r="Q33" s="142"/>
      <c r="R33" s="142"/>
      <c r="S33" s="142"/>
      <c r="T33" s="142"/>
      <c r="U33" s="142"/>
      <c r="V33" s="142"/>
      <c r="W33" s="142"/>
      <c r="X33" s="142"/>
      <c r="Y33" s="142"/>
      <c r="Z33" s="142"/>
      <c r="AA33" s="142"/>
      <c r="AB33" s="142"/>
      <c r="AC33" s="142"/>
      <c r="AD33" s="142"/>
      <c r="AE33" s="142"/>
      <c r="AF33" s="142"/>
      <c r="AG33" s="142"/>
      <c r="AH33" s="142"/>
      <c r="AI33" s="142"/>
      <c r="AJ33" s="142"/>
      <c r="AK33" s="142"/>
      <c r="AL33" s="142"/>
      <c r="AM33" s="142"/>
      <c r="AN33" s="142"/>
      <c r="AO33" s="142"/>
      <c r="AP33" s="142"/>
      <c r="AQ33" s="142"/>
      <c r="AR33" s="142"/>
      <c r="AS33" s="142"/>
      <c r="AT33" s="142"/>
      <c r="AU33" s="142"/>
      <c r="AV33" s="142"/>
      <c r="AW33" s="142"/>
      <c r="AX33" s="142"/>
      <c r="AY33" s="142"/>
    </row>
    <row r="34" spans="1:51">
      <c r="A34" s="160"/>
      <c r="C34" s="108"/>
      <c r="D34" s="108"/>
      <c r="E34" s="868"/>
      <c r="F34" s="154"/>
      <c r="G34" s="112"/>
      <c r="I34" s="112"/>
      <c r="K34" s="142"/>
      <c r="L34" s="142"/>
      <c r="M34" s="142"/>
      <c r="N34" s="142"/>
      <c r="O34" s="142"/>
      <c r="P34" s="142"/>
      <c r="Q34" s="142"/>
      <c r="R34" s="142"/>
      <c r="S34" s="142"/>
      <c r="T34" s="142"/>
      <c r="U34" s="142"/>
      <c r="V34" s="142"/>
      <c r="W34" s="142"/>
      <c r="X34" s="142"/>
      <c r="Y34" s="142"/>
      <c r="Z34" s="142"/>
      <c r="AA34" s="142"/>
      <c r="AB34" s="142"/>
      <c r="AC34" s="142"/>
      <c r="AD34" s="142"/>
      <c r="AE34" s="142"/>
      <c r="AF34" s="142"/>
      <c r="AG34" s="142"/>
      <c r="AH34" s="142"/>
      <c r="AI34" s="142"/>
      <c r="AJ34" s="142"/>
      <c r="AK34" s="142"/>
      <c r="AL34" s="142"/>
      <c r="AM34" s="142"/>
      <c r="AN34" s="142"/>
      <c r="AO34" s="142"/>
      <c r="AP34" s="142"/>
      <c r="AQ34" s="142"/>
      <c r="AR34" s="142"/>
      <c r="AS34" s="142"/>
      <c r="AT34" s="142"/>
      <c r="AU34" s="142"/>
      <c r="AV34" s="142"/>
      <c r="AW34" s="142"/>
      <c r="AX34" s="142"/>
      <c r="AY34" s="142"/>
    </row>
    <row r="35" spans="1:51" ht="15.75">
      <c r="A35" s="162" t="s">
        <v>233</v>
      </c>
      <c r="B35" s="163"/>
      <c r="C35" s="151" t="s">
        <v>274</v>
      </c>
      <c r="D35" s="151"/>
      <c r="E35" s="867" t="s">
        <v>568</v>
      </c>
      <c r="F35" s="148"/>
      <c r="G35" s="164"/>
      <c r="I35" s="165">
        <f>I25+I29+I33</f>
        <v>7.0178624231726772E-2</v>
      </c>
      <c r="K35" s="142"/>
      <c r="L35" s="142"/>
      <c r="M35" s="142"/>
      <c r="N35" s="142"/>
      <c r="O35" s="142"/>
      <c r="P35" s="142"/>
      <c r="Q35" s="142"/>
      <c r="R35" s="142"/>
      <c r="S35" s="142"/>
      <c r="T35" s="142"/>
      <c r="U35" s="142"/>
      <c r="V35" s="142"/>
      <c r="W35" s="142"/>
      <c r="X35" s="142"/>
      <c r="Y35" s="142"/>
      <c r="Z35" s="142"/>
      <c r="AA35" s="142"/>
      <c r="AB35" s="142"/>
      <c r="AC35" s="142"/>
      <c r="AD35" s="142"/>
      <c r="AE35" s="142"/>
      <c r="AF35" s="142"/>
      <c r="AG35" s="142"/>
      <c r="AH35" s="142"/>
      <c r="AI35" s="142"/>
      <c r="AJ35" s="142"/>
      <c r="AK35" s="142"/>
      <c r="AL35" s="142"/>
      <c r="AM35" s="142"/>
      <c r="AN35" s="142"/>
      <c r="AO35" s="142"/>
      <c r="AP35" s="142"/>
      <c r="AQ35" s="142"/>
      <c r="AR35" s="142"/>
      <c r="AS35" s="142"/>
      <c r="AT35" s="142"/>
      <c r="AU35" s="142"/>
      <c r="AV35" s="142"/>
      <c r="AW35" s="142"/>
      <c r="AX35" s="142"/>
      <c r="AY35" s="142"/>
    </row>
    <row r="36" spans="1:51">
      <c r="A36" s="371"/>
      <c r="C36" s="108"/>
      <c r="D36" s="108"/>
      <c r="E36" s="868"/>
      <c r="F36" s="154"/>
      <c r="G36" s="112"/>
      <c r="I36" s="112"/>
      <c r="K36" s="142"/>
      <c r="L36" s="142"/>
      <c r="M36" s="142"/>
      <c r="N36" s="142"/>
      <c r="O36" s="142"/>
      <c r="P36" s="142"/>
      <c r="Q36" s="142"/>
      <c r="R36" s="142"/>
      <c r="S36" s="142"/>
      <c r="T36" s="142"/>
      <c r="U36" s="142"/>
      <c r="V36" s="142"/>
      <c r="W36" s="142"/>
      <c r="X36" s="142"/>
      <c r="Y36" s="142"/>
      <c r="Z36" s="142"/>
      <c r="AA36" s="142"/>
      <c r="AB36" s="142"/>
      <c r="AC36" s="142"/>
      <c r="AD36" s="142"/>
      <c r="AE36" s="142"/>
      <c r="AF36" s="142"/>
      <c r="AG36" s="142"/>
      <c r="AH36" s="142"/>
      <c r="AI36" s="142"/>
      <c r="AJ36" s="142"/>
      <c r="AK36" s="142"/>
      <c r="AL36" s="142"/>
      <c r="AM36" s="142"/>
      <c r="AN36" s="142"/>
      <c r="AO36" s="142"/>
      <c r="AP36" s="142"/>
      <c r="AQ36" s="142"/>
      <c r="AR36" s="142"/>
      <c r="AS36" s="142"/>
      <c r="AT36" s="142"/>
      <c r="AU36" s="142"/>
      <c r="AV36" s="142"/>
      <c r="AW36" s="142"/>
      <c r="AX36" s="142"/>
      <c r="AY36" s="142"/>
    </row>
    <row r="37" spans="1:51">
      <c r="A37" s="166"/>
      <c r="B37" s="167"/>
      <c r="C37" s="112" t="s">
        <v>239</v>
      </c>
      <c r="D37" s="112"/>
      <c r="E37" s="868"/>
      <c r="F37" s="154"/>
      <c r="G37" s="112"/>
      <c r="K37" s="142"/>
      <c r="L37" s="142"/>
      <c r="M37" s="142"/>
      <c r="N37" s="142"/>
      <c r="O37" s="142"/>
      <c r="P37" s="142"/>
      <c r="Q37" s="142"/>
      <c r="R37" s="142"/>
      <c r="S37" s="142"/>
      <c r="T37" s="142"/>
      <c r="U37" s="142"/>
      <c r="V37" s="142"/>
      <c r="W37" s="142"/>
      <c r="X37" s="142"/>
      <c r="Y37" s="142"/>
      <c r="Z37" s="142"/>
      <c r="AA37" s="142"/>
      <c r="AB37" s="142"/>
      <c r="AC37" s="142"/>
      <c r="AD37" s="142"/>
      <c r="AE37" s="142"/>
      <c r="AF37" s="142"/>
      <c r="AG37" s="142"/>
      <c r="AH37" s="142"/>
      <c r="AI37" s="142"/>
      <c r="AJ37" s="142"/>
      <c r="AK37" s="142"/>
      <c r="AL37" s="142"/>
      <c r="AM37" s="142"/>
      <c r="AN37" s="142"/>
      <c r="AO37" s="142"/>
      <c r="AP37" s="142"/>
      <c r="AQ37" s="142"/>
      <c r="AR37" s="142"/>
      <c r="AS37" s="142"/>
      <c r="AT37" s="142"/>
      <c r="AU37" s="142"/>
      <c r="AV37" s="142"/>
      <c r="AW37" s="142"/>
      <c r="AX37" s="142"/>
      <c r="AY37" s="142"/>
    </row>
    <row r="38" spans="1:51">
      <c r="A38" s="160" t="s">
        <v>234</v>
      </c>
      <c r="B38" s="167"/>
      <c r="C38" s="112" t="s">
        <v>150</v>
      </c>
      <c r="D38" s="112"/>
      <c r="E38" s="868" t="s">
        <v>808</v>
      </c>
      <c r="F38" s="154"/>
      <c r="G38" s="155">
        <f>DEO!J178</f>
        <v>11114651.809408782</v>
      </c>
      <c r="I38" s="112"/>
      <c r="K38" s="142"/>
      <c r="L38" s="142"/>
      <c r="M38" s="142"/>
      <c r="N38" s="142"/>
      <c r="O38" s="142"/>
      <c r="P38" s="142"/>
      <c r="Q38" s="142"/>
      <c r="R38" s="142"/>
      <c r="S38" s="142"/>
      <c r="T38" s="142"/>
      <c r="U38" s="142"/>
      <c r="V38" s="142"/>
      <c r="W38" s="142"/>
      <c r="X38" s="142"/>
      <c r="Y38" s="142"/>
      <c r="Z38" s="142"/>
      <c r="AA38" s="142"/>
      <c r="AB38" s="142"/>
      <c r="AC38" s="142"/>
      <c r="AD38" s="142"/>
      <c r="AE38" s="142"/>
      <c r="AF38" s="142"/>
      <c r="AG38" s="142"/>
      <c r="AH38" s="142"/>
      <c r="AI38" s="142"/>
      <c r="AJ38" s="142"/>
      <c r="AK38" s="142"/>
      <c r="AL38" s="142"/>
      <c r="AM38" s="142"/>
      <c r="AN38" s="142"/>
      <c r="AO38" s="142"/>
      <c r="AP38" s="142"/>
      <c r="AQ38" s="142"/>
      <c r="AR38" s="142"/>
      <c r="AS38" s="142"/>
      <c r="AT38" s="142"/>
      <c r="AU38" s="142"/>
      <c r="AV38" s="142"/>
      <c r="AW38" s="142"/>
      <c r="AX38" s="142"/>
      <c r="AY38" s="142"/>
    </row>
    <row r="39" spans="1:51">
      <c r="A39" s="160" t="s">
        <v>236</v>
      </c>
      <c r="B39" s="167"/>
      <c r="C39" s="112" t="s">
        <v>276</v>
      </c>
      <c r="D39" s="112"/>
      <c r="E39" s="868" t="s">
        <v>702</v>
      </c>
      <c r="F39" s="154"/>
      <c r="G39" s="156">
        <f>IF(G38=0,0,G38/G21)</f>
        <v>2.3098076798677054E-2</v>
      </c>
      <c r="I39" s="157">
        <f>G39</f>
        <v>2.3098076798677054E-2</v>
      </c>
      <c r="K39" s="142"/>
      <c r="L39" s="142"/>
      <c r="M39" s="142"/>
      <c r="N39" s="142"/>
      <c r="O39" s="142"/>
      <c r="P39" s="142"/>
      <c r="Q39" s="142"/>
      <c r="R39" s="142"/>
      <c r="S39" s="142"/>
      <c r="T39" s="142"/>
      <c r="U39" s="142"/>
      <c r="V39" s="142"/>
      <c r="W39" s="142"/>
      <c r="X39" s="142"/>
      <c r="Y39" s="142"/>
      <c r="Z39" s="142"/>
      <c r="AA39" s="142"/>
      <c r="AB39" s="142"/>
      <c r="AC39" s="142"/>
      <c r="AD39" s="142"/>
      <c r="AE39" s="142"/>
      <c r="AF39" s="142"/>
      <c r="AG39" s="142"/>
      <c r="AH39" s="142"/>
      <c r="AI39" s="142"/>
      <c r="AJ39" s="142"/>
      <c r="AK39" s="142"/>
      <c r="AL39" s="142"/>
      <c r="AM39" s="142"/>
      <c r="AN39" s="142"/>
      <c r="AO39" s="142"/>
      <c r="AP39" s="142"/>
      <c r="AQ39" s="142"/>
      <c r="AR39" s="142"/>
      <c r="AS39" s="142"/>
      <c r="AT39" s="142"/>
      <c r="AU39" s="142"/>
      <c r="AV39" s="142"/>
      <c r="AW39" s="142"/>
      <c r="AX39" s="142"/>
      <c r="AY39" s="142"/>
    </row>
    <row r="40" spans="1:51">
      <c r="A40" s="160"/>
      <c r="C40" s="112"/>
      <c r="D40" s="112"/>
      <c r="E40" s="868"/>
      <c r="F40" s="154"/>
      <c r="G40" s="112"/>
      <c r="I40" s="112"/>
      <c r="K40" s="142"/>
      <c r="L40" s="142"/>
      <c r="M40" s="142"/>
      <c r="N40" s="142"/>
      <c r="O40" s="142"/>
      <c r="P40" s="142"/>
      <c r="Q40" s="142"/>
      <c r="R40" s="142"/>
      <c r="S40" s="142"/>
      <c r="T40" s="142"/>
      <c r="U40" s="142"/>
      <c r="V40" s="142"/>
      <c r="W40" s="142"/>
      <c r="X40" s="142"/>
      <c r="Y40" s="142"/>
      <c r="Z40" s="142"/>
      <c r="AA40" s="142"/>
      <c r="AB40" s="142"/>
      <c r="AC40" s="142"/>
      <c r="AD40" s="142"/>
      <c r="AE40" s="142"/>
      <c r="AF40" s="142"/>
      <c r="AG40" s="142"/>
      <c r="AH40" s="142"/>
      <c r="AI40" s="142"/>
      <c r="AJ40" s="142"/>
      <c r="AK40" s="142"/>
      <c r="AL40" s="142"/>
      <c r="AM40" s="142"/>
      <c r="AN40" s="142"/>
      <c r="AO40" s="142"/>
      <c r="AP40" s="142"/>
      <c r="AQ40" s="142"/>
      <c r="AR40" s="142"/>
      <c r="AS40" s="142"/>
      <c r="AT40" s="142"/>
      <c r="AU40" s="142"/>
      <c r="AV40" s="142"/>
      <c r="AW40" s="142"/>
      <c r="AX40" s="142"/>
      <c r="AY40" s="142"/>
    </row>
    <row r="41" spans="1:51">
      <c r="A41" s="160"/>
      <c r="C41" s="108" t="s">
        <v>73</v>
      </c>
      <c r="D41" s="108"/>
      <c r="E41" s="869"/>
      <c r="F41" s="168"/>
      <c r="K41" s="142"/>
      <c r="L41" s="142"/>
      <c r="M41" s="142"/>
      <c r="N41" s="142"/>
      <c r="O41" s="142"/>
      <c r="P41" s="142"/>
      <c r="Q41" s="142"/>
      <c r="R41" s="142"/>
      <c r="S41" s="142"/>
      <c r="T41" s="142"/>
      <c r="U41" s="142"/>
      <c r="V41" s="142"/>
      <c r="W41" s="142"/>
      <c r="X41" s="142"/>
      <c r="Y41" s="142"/>
      <c r="Z41" s="142"/>
      <c r="AA41" s="142"/>
      <c r="AB41" s="142"/>
      <c r="AC41" s="142"/>
      <c r="AD41" s="142"/>
      <c r="AE41" s="142"/>
      <c r="AF41" s="142"/>
      <c r="AG41" s="142"/>
      <c r="AH41" s="142"/>
      <c r="AI41" s="142"/>
      <c r="AJ41" s="142"/>
      <c r="AK41" s="142"/>
      <c r="AL41" s="142"/>
      <c r="AM41" s="142"/>
      <c r="AN41" s="142"/>
      <c r="AO41" s="142"/>
      <c r="AP41" s="142"/>
      <c r="AQ41" s="142"/>
      <c r="AR41" s="142"/>
      <c r="AS41" s="142"/>
      <c r="AT41" s="142"/>
      <c r="AU41" s="142"/>
      <c r="AV41" s="142"/>
      <c r="AW41" s="142"/>
      <c r="AX41" s="142"/>
      <c r="AY41" s="142"/>
    </row>
    <row r="42" spans="1:51">
      <c r="A42" s="160" t="s">
        <v>238</v>
      </c>
      <c r="C42" s="108" t="s">
        <v>240</v>
      </c>
      <c r="D42" s="108"/>
      <c r="E42" s="868" t="s">
        <v>809</v>
      </c>
      <c r="F42" s="154"/>
      <c r="G42" s="155">
        <f>DEO!J180</f>
        <v>32147266</v>
      </c>
      <c r="K42" s="142"/>
      <c r="L42" s="142"/>
      <c r="M42" s="142"/>
      <c r="N42" s="142"/>
      <c r="O42" s="142"/>
      <c r="P42" s="142"/>
      <c r="Q42" s="142"/>
      <c r="R42" s="142"/>
      <c r="S42" s="142"/>
      <c r="T42" s="142"/>
      <c r="U42" s="142"/>
      <c r="V42" s="142"/>
      <c r="W42" s="142"/>
      <c r="X42" s="142"/>
      <c r="Y42" s="142"/>
      <c r="Z42" s="142"/>
      <c r="AA42" s="142"/>
      <c r="AB42" s="142"/>
      <c r="AC42" s="142"/>
      <c r="AD42" s="142"/>
      <c r="AE42" s="142"/>
      <c r="AF42" s="142"/>
      <c r="AG42" s="142"/>
      <c r="AH42" s="142"/>
      <c r="AI42" s="142"/>
      <c r="AJ42" s="142"/>
      <c r="AK42" s="142"/>
      <c r="AL42" s="142"/>
      <c r="AM42" s="142"/>
      <c r="AN42" s="142"/>
      <c r="AO42" s="142"/>
      <c r="AP42" s="142"/>
      <c r="AQ42" s="142"/>
      <c r="AR42" s="142"/>
      <c r="AS42" s="142"/>
      <c r="AT42" s="142"/>
      <c r="AU42" s="142"/>
      <c r="AV42" s="142"/>
      <c r="AW42" s="142"/>
      <c r="AX42" s="142"/>
      <c r="AY42" s="142"/>
    </row>
    <row r="43" spans="1:51">
      <c r="A43" s="160" t="s">
        <v>323</v>
      </c>
      <c r="B43" s="167"/>
      <c r="C43" s="112" t="s">
        <v>277</v>
      </c>
      <c r="D43" s="112"/>
      <c r="E43" s="868" t="s">
        <v>799</v>
      </c>
      <c r="F43" s="154"/>
      <c r="G43" s="169">
        <f>IF(G42=0,0,G42/G21)</f>
        <v>6.6807312695744928E-2</v>
      </c>
      <c r="I43" s="157">
        <f>G43</f>
        <v>6.6807312695744928E-2</v>
      </c>
      <c r="K43" s="142"/>
      <c r="L43" s="142"/>
      <c r="M43" s="142"/>
      <c r="N43" s="142"/>
      <c r="O43" s="142"/>
      <c r="P43" s="142"/>
      <c r="Q43" s="142"/>
      <c r="R43" s="142"/>
      <c r="S43" s="142"/>
      <c r="T43" s="142"/>
      <c r="U43" s="142"/>
      <c r="V43" s="142"/>
      <c r="W43" s="142"/>
      <c r="X43" s="142"/>
      <c r="Y43" s="142"/>
      <c r="Z43" s="142"/>
      <c r="AA43" s="142"/>
      <c r="AB43" s="142"/>
      <c r="AC43" s="142"/>
      <c r="AD43" s="142"/>
      <c r="AE43" s="142"/>
      <c r="AF43" s="142"/>
      <c r="AG43" s="142"/>
      <c r="AH43" s="142"/>
      <c r="AI43" s="142"/>
      <c r="AJ43" s="142"/>
      <c r="AK43" s="142"/>
      <c r="AL43" s="142"/>
      <c r="AM43" s="142"/>
      <c r="AN43" s="142"/>
      <c r="AO43" s="142"/>
      <c r="AP43" s="142"/>
      <c r="AQ43" s="142"/>
      <c r="AR43" s="142"/>
      <c r="AS43" s="142"/>
      <c r="AT43" s="142"/>
      <c r="AU43" s="142"/>
      <c r="AV43" s="142"/>
      <c r="AW43" s="142"/>
      <c r="AX43" s="142"/>
      <c r="AY43" s="142"/>
    </row>
    <row r="44" spans="1:51">
      <c r="A44" s="160"/>
      <c r="C44" s="108"/>
      <c r="D44" s="108"/>
      <c r="E44" s="868"/>
      <c r="F44" s="154"/>
      <c r="G44" s="112"/>
      <c r="I44" s="112"/>
      <c r="K44" s="142"/>
      <c r="L44" s="142"/>
      <c r="M44" s="142"/>
      <c r="N44" s="142"/>
      <c r="O44" s="142"/>
      <c r="P44" s="142"/>
      <c r="Q44" s="142"/>
      <c r="R44" s="142"/>
      <c r="S44" s="142"/>
      <c r="T44" s="142"/>
      <c r="U44" s="142"/>
      <c r="V44" s="142"/>
      <c r="W44" s="142"/>
      <c r="X44" s="142"/>
      <c r="Y44" s="142"/>
      <c r="Z44" s="142"/>
      <c r="AA44" s="142"/>
      <c r="AB44" s="142"/>
      <c r="AC44" s="142"/>
      <c r="AD44" s="142"/>
      <c r="AE44" s="142"/>
      <c r="AF44" s="142"/>
      <c r="AG44" s="142"/>
      <c r="AH44" s="142"/>
      <c r="AI44" s="142"/>
      <c r="AJ44" s="142"/>
      <c r="AK44" s="142"/>
      <c r="AL44" s="142"/>
      <c r="AM44" s="142"/>
      <c r="AN44" s="142"/>
      <c r="AO44" s="142"/>
      <c r="AP44" s="142"/>
      <c r="AQ44" s="142"/>
      <c r="AR44" s="142"/>
      <c r="AS44" s="142"/>
      <c r="AT44" s="142"/>
      <c r="AU44" s="142"/>
      <c r="AV44" s="142"/>
      <c r="AW44" s="142"/>
      <c r="AX44" s="142"/>
      <c r="AY44" s="142"/>
    </row>
    <row r="45" spans="1:51" ht="15.75">
      <c r="A45" s="162" t="s">
        <v>324</v>
      </c>
      <c r="B45" s="163"/>
      <c r="C45" s="151" t="s">
        <v>278</v>
      </c>
      <c r="D45" s="151"/>
      <c r="E45" s="867" t="s">
        <v>419</v>
      </c>
      <c r="F45" s="148"/>
      <c r="G45" s="164"/>
      <c r="I45" s="165">
        <f>I39+I43</f>
        <v>8.9905389494421978E-2</v>
      </c>
      <c r="K45" s="142"/>
      <c r="L45" s="142"/>
      <c r="M45" s="142"/>
      <c r="N45" s="142"/>
      <c r="O45" s="142"/>
      <c r="P45" s="142"/>
      <c r="Q45" s="142"/>
      <c r="R45" s="142"/>
      <c r="S45" s="142"/>
      <c r="T45" s="142"/>
      <c r="U45" s="142"/>
      <c r="V45" s="142"/>
      <c r="W45" s="142"/>
      <c r="X45" s="142"/>
      <c r="Y45" s="142"/>
      <c r="Z45" s="142"/>
      <c r="AA45" s="142"/>
      <c r="AB45" s="142"/>
      <c r="AC45" s="142"/>
      <c r="AD45" s="142"/>
      <c r="AE45" s="142"/>
      <c r="AF45" s="142"/>
      <c r="AG45" s="142"/>
      <c r="AH45" s="142"/>
      <c r="AI45" s="142"/>
      <c r="AJ45" s="142"/>
      <c r="AK45" s="142"/>
      <c r="AL45" s="142"/>
      <c r="AM45" s="142"/>
      <c r="AN45" s="142"/>
      <c r="AO45" s="142"/>
      <c r="AP45" s="142"/>
      <c r="AQ45" s="142"/>
      <c r="AR45" s="142"/>
      <c r="AS45" s="142"/>
      <c r="AT45" s="142"/>
      <c r="AU45" s="142"/>
      <c r="AV45" s="142"/>
      <c r="AW45" s="142"/>
      <c r="AX45" s="142"/>
      <c r="AY45" s="142"/>
    </row>
    <row r="46" spans="1:51">
      <c r="K46" s="142"/>
      <c r="L46" s="142"/>
      <c r="M46" s="142"/>
      <c r="N46" s="142"/>
      <c r="O46" s="142"/>
      <c r="P46" s="142"/>
      <c r="Q46" s="142"/>
      <c r="R46" s="142"/>
      <c r="S46" s="142"/>
      <c r="T46" s="142"/>
      <c r="U46" s="142"/>
      <c r="V46" s="142"/>
      <c r="W46" s="142"/>
      <c r="X46" s="142"/>
      <c r="Y46" s="142"/>
      <c r="Z46" s="142"/>
      <c r="AA46" s="142"/>
      <c r="AB46" s="142"/>
      <c r="AC46" s="142"/>
      <c r="AD46" s="142"/>
      <c r="AE46" s="142"/>
      <c r="AF46" s="142"/>
      <c r="AG46" s="142"/>
      <c r="AH46" s="142"/>
      <c r="AI46" s="142"/>
      <c r="AJ46" s="142"/>
      <c r="AK46" s="142"/>
      <c r="AL46" s="142"/>
      <c r="AM46" s="142"/>
      <c r="AN46" s="142"/>
      <c r="AO46" s="142"/>
      <c r="AP46" s="142"/>
      <c r="AQ46" s="142"/>
      <c r="AR46" s="142"/>
      <c r="AS46" s="142"/>
      <c r="AT46" s="142"/>
      <c r="AU46" s="142"/>
      <c r="AV46" s="142"/>
      <c r="AW46" s="142"/>
      <c r="AX46" s="142"/>
      <c r="AY46" s="142"/>
    </row>
    <row r="47" spans="1:51">
      <c r="A47" s="172"/>
      <c r="B47" s="142"/>
      <c r="C47" s="166"/>
      <c r="D47" s="166"/>
      <c r="E47" s="114"/>
      <c r="F47" s="114"/>
      <c r="G47" s="112"/>
      <c r="H47" s="107"/>
      <c r="I47" s="107"/>
      <c r="J47" s="156"/>
      <c r="K47" s="142"/>
      <c r="L47" s="142"/>
      <c r="M47" s="142"/>
      <c r="N47" s="142"/>
      <c r="O47" s="142"/>
      <c r="P47" s="142"/>
      <c r="Q47" s="142"/>
      <c r="R47" s="142"/>
      <c r="S47" s="142"/>
      <c r="T47" s="142"/>
      <c r="U47" s="142"/>
      <c r="V47" s="142"/>
      <c r="W47" s="142"/>
      <c r="X47" s="142"/>
      <c r="Y47" s="142"/>
      <c r="Z47" s="142"/>
      <c r="AA47" s="142"/>
      <c r="AB47" s="142"/>
      <c r="AC47" s="142"/>
      <c r="AD47" s="142"/>
      <c r="AE47" s="142"/>
      <c r="AF47" s="142"/>
      <c r="AG47" s="142"/>
      <c r="AH47" s="142"/>
      <c r="AI47" s="142"/>
      <c r="AJ47" s="142"/>
      <c r="AK47" s="142"/>
      <c r="AL47" s="142"/>
      <c r="AM47" s="142"/>
      <c r="AN47" s="142"/>
      <c r="AO47" s="142"/>
      <c r="AP47" s="142"/>
      <c r="AQ47" s="142"/>
      <c r="AR47" s="142"/>
      <c r="AS47" s="142"/>
      <c r="AT47" s="142"/>
      <c r="AU47" s="142"/>
      <c r="AV47" s="142"/>
      <c r="AW47" s="142"/>
      <c r="AX47" s="142"/>
      <c r="AY47" s="142"/>
    </row>
    <row r="48" spans="1:51">
      <c r="A48" s="143"/>
      <c r="C48" s="107"/>
      <c r="D48" s="107"/>
      <c r="E48" s="107"/>
      <c r="F48" s="107"/>
      <c r="G48" s="112"/>
      <c r="H48" s="107"/>
      <c r="I48" s="107"/>
      <c r="J48" s="107"/>
      <c r="K48" s="142"/>
      <c r="L48" s="142"/>
      <c r="M48" s="142"/>
      <c r="N48" s="142"/>
      <c r="O48" s="142"/>
      <c r="P48" s="142"/>
      <c r="Q48" s="142"/>
      <c r="R48" s="142"/>
      <c r="S48" s="142"/>
      <c r="T48" s="142"/>
      <c r="U48" s="142"/>
      <c r="V48" s="142"/>
      <c r="W48" s="142"/>
      <c r="X48" s="142"/>
      <c r="Y48" s="142"/>
      <c r="Z48" s="142"/>
      <c r="AA48" s="142"/>
      <c r="AB48" s="142"/>
      <c r="AC48" s="142"/>
      <c r="AD48" s="142"/>
      <c r="AE48" s="142"/>
      <c r="AF48" s="142"/>
      <c r="AG48" s="142"/>
      <c r="AH48" s="142"/>
      <c r="AI48" s="142"/>
      <c r="AJ48" s="142"/>
      <c r="AK48" s="142"/>
      <c r="AL48" s="142"/>
      <c r="AM48" s="142"/>
      <c r="AN48" s="142"/>
      <c r="AO48" s="142"/>
      <c r="AP48" s="142"/>
      <c r="AQ48" s="142"/>
      <c r="AR48" s="142"/>
      <c r="AS48" s="142"/>
      <c r="AT48" s="142"/>
      <c r="AU48" s="142"/>
      <c r="AV48" s="142"/>
      <c r="AW48" s="142"/>
      <c r="AX48" s="142"/>
      <c r="AY48" s="142"/>
    </row>
    <row r="49" spans="11:51">
      <c r="X49" s="77" t="s">
        <v>369</v>
      </c>
    </row>
    <row r="50" spans="11:51">
      <c r="X50" s="77" t="s">
        <v>421</v>
      </c>
    </row>
    <row r="51" spans="11:51">
      <c r="X51" s="173" t="s">
        <v>241</v>
      </c>
    </row>
    <row r="52" spans="11:51">
      <c r="K52" s="143"/>
      <c r="M52" s="107"/>
      <c r="N52" s="107"/>
      <c r="O52" s="107"/>
      <c r="P52" s="107"/>
      <c r="Q52" s="112"/>
      <c r="R52" s="107"/>
      <c r="S52" s="107"/>
      <c r="T52" s="107"/>
      <c r="U52" s="107"/>
      <c r="W52" s="112"/>
      <c r="X52" s="173" t="str">
        <f>I4</f>
        <v>For the 12 months ended: 12/31/2015</v>
      </c>
      <c r="Y52" s="146"/>
      <c r="Z52" s="140"/>
      <c r="AA52" s="146"/>
      <c r="AB52" s="147"/>
      <c r="AC52" s="142"/>
      <c r="AD52" s="142"/>
      <c r="AE52" s="142"/>
      <c r="AF52" s="142"/>
      <c r="AG52" s="142"/>
      <c r="AH52" s="142"/>
      <c r="AI52" s="142"/>
      <c r="AJ52" s="142"/>
      <c r="AK52" s="142"/>
      <c r="AL52" s="142"/>
      <c r="AM52" s="142"/>
      <c r="AN52" s="142"/>
      <c r="AO52" s="142"/>
      <c r="AP52" s="142"/>
      <c r="AQ52" s="142"/>
      <c r="AR52" s="142"/>
      <c r="AS52" s="142"/>
      <c r="AT52" s="142"/>
      <c r="AU52" s="142"/>
      <c r="AV52" s="142"/>
      <c r="AW52" s="142"/>
      <c r="AX52" s="142"/>
      <c r="AY52" s="142"/>
    </row>
    <row r="53" spans="11:51">
      <c r="K53" s="143"/>
      <c r="M53" s="108"/>
      <c r="N53" s="107"/>
      <c r="O53" s="107"/>
      <c r="P53" s="107"/>
      <c r="Q53" s="112"/>
      <c r="R53" s="107"/>
      <c r="S53" s="107"/>
      <c r="T53" s="107"/>
      <c r="U53" s="107"/>
      <c r="W53" s="112"/>
      <c r="Y53" s="146"/>
      <c r="Z53" s="140"/>
      <c r="AA53" s="146"/>
      <c r="AB53" s="147"/>
      <c r="AC53" s="142"/>
      <c r="AD53" s="142"/>
      <c r="AE53" s="142"/>
      <c r="AF53" s="142"/>
      <c r="AG53" s="142"/>
      <c r="AH53" s="142"/>
      <c r="AI53" s="142"/>
      <c r="AJ53" s="142"/>
      <c r="AK53" s="142"/>
      <c r="AL53" s="142"/>
      <c r="AM53" s="142"/>
      <c r="AN53" s="142"/>
      <c r="AO53" s="142"/>
      <c r="AP53" s="142"/>
      <c r="AQ53" s="142"/>
      <c r="AR53" s="142"/>
      <c r="AS53" s="142"/>
      <c r="AT53" s="142"/>
      <c r="AU53" s="142"/>
      <c r="AV53" s="142"/>
      <c r="AW53" s="142"/>
      <c r="AX53" s="142"/>
      <c r="AY53" s="142"/>
    </row>
    <row r="54" spans="11:51">
      <c r="K54" s="224" t="str">
        <f>A6</f>
        <v>Rate Formula Template</v>
      </c>
      <c r="L54" s="283"/>
      <c r="M54" s="283"/>
      <c r="N54" s="223"/>
      <c r="O54" s="224"/>
      <c r="P54" s="224"/>
      <c r="Q54" s="283"/>
      <c r="R54" s="224"/>
      <c r="S54" s="224"/>
      <c r="T54" s="224"/>
      <c r="U54" s="224"/>
      <c r="V54" s="283"/>
      <c r="W54" s="222"/>
      <c r="X54" s="283"/>
      <c r="Y54" s="146"/>
      <c r="Z54" s="140"/>
      <c r="AA54" s="146"/>
      <c r="AB54" s="147"/>
      <c r="AC54" s="142"/>
      <c r="AD54" s="142"/>
      <c r="AE54" s="142"/>
      <c r="AF54" s="142"/>
      <c r="AG54" s="142"/>
      <c r="AH54" s="142"/>
      <c r="AI54" s="142"/>
      <c r="AJ54" s="142"/>
      <c r="AK54" s="142"/>
      <c r="AL54" s="142"/>
      <c r="AM54" s="142"/>
      <c r="AN54" s="142"/>
      <c r="AO54" s="142"/>
      <c r="AP54" s="142"/>
      <c r="AQ54" s="142"/>
      <c r="AR54" s="142"/>
      <c r="AS54" s="142"/>
      <c r="AT54" s="142"/>
      <c r="AU54" s="142"/>
      <c r="AV54" s="142"/>
      <c r="AW54" s="142"/>
      <c r="AX54" s="142"/>
      <c r="AY54" s="142"/>
    </row>
    <row r="55" spans="11:51">
      <c r="K55" s="224" t="str">
        <f>A7</f>
        <v>Utilizing Attachment H-22A Data</v>
      </c>
      <c r="L55" s="283"/>
      <c r="M55" s="223"/>
      <c r="N55" s="223"/>
      <c r="O55" s="224"/>
      <c r="P55" s="224"/>
      <c r="Q55" s="283"/>
      <c r="R55" s="224"/>
      <c r="S55" s="224"/>
      <c r="T55" s="224"/>
      <c r="U55" s="224"/>
      <c r="V55" s="222"/>
      <c r="W55" s="222"/>
      <c r="X55" s="283"/>
      <c r="Y55" s="146"/>
      <c r="Z55" s="140"/>
      <c r="AA55" s="146"/>
      <c r="AB55" s="147"/>
      <c r="AC55" s="142"/>
      <c r="AD55" s="142"/>
      <c r="AE55" s="142"/>
      <c r="AF55" s="142"/>
      <c r="AG55" s="142"/>
      <c r="AH55" s="142"/>
      <c r="AI55" s="142"/>
      <c r="AJ55" s="142"/>
      <c r="AK55" s="142"/>
      <c r="AL55" s="142"/>
      <c r="AM55" s="142"/>
      <c r="AN55" s="142"/>
      <c r="AO55" s="142"/>
      <c r="AP55" s="142"/>
      <c r="AQ55" s="142"/>
      <c r="AR55" s="142"/>
      <c r="AS55" s="142"/>
      <c r="AT55" s="142"/>
      <c r="AU55" s="142"/>
      <c r="AV55" s="142"/>
      <c r="AW55" s="142"/>
      <c r="AX55" s="142"/>
      <c r="AY55" s="142"/>
    </row>
    <row r="56" spans="11:51" ht="14.25" customHeight="1">
      <c r="K56" s="282"/>
      <c r="M56" s="107"/>
      <c r="N56" s="107"/>
      <c r="O56" s="107"/>
      <c r="P56" s="107"/>
      <c r="R56" s="224"/>
      <c r="S56" s="107"/>
      <c r="T56" s="107"/>
      <c r="U56" s="107"/>
      <c r="W56" s="112"/>
      <c r="X56" s="107"/>
      <c r="Y56" s="146"/>
      <c r="Z56" s="140"/>
      <c r="AA56" s="146"/>
      <c r="AB56" s="147"/>
      <c r="AC56" s="142"/>
      <c r="AD56" s="142"/>
      <c r="AE56" s="142"/>
      <c r="AF56" s="142"/>
      <c r="AG56" s="142"/>
      <c r="AH56" s="142"/>
      <c r="AI56" s="142"/>
      <c r="AJ56" s="142"/>
      <c r="AK56" s="142"/>
      <c r="AL56" s="142"/>
      <c r="AM56" s="142"/>
      <c r="AN56" s="142"/>
      <c r="AO56" s="142"/>
      <c r="AP56" s="142"/>
      <c r="AQ56" s="142"/>
      <c r="AR56" s="142"/>
      <c r="AS56" s="142"/>
      <c r="AT56" s="142"/>
      <c r="AU56" s="142"/>
      <c r="AV56" s="142"/>
      <c r="AW56" s="142"/>
      <c r="AX56" s="142"/>
      <c r="AY56" s="142"/>
    </row>
    <row r="57" spans="11:51">
      <c r="K57" s="224" t="str">
        <f>A9</f>
        <v>Duke Energy Ohio</v>
      </c>
      <c r="L57" s="283"/>
      <c r="M57" s="283"/>
      <c r="N57" s="283"/>
      <c r="O57" s="224"/>
      <c r="P57" s="224"/>
      <c r="Q57" s="283"/>
      <c r="R57" s="224"/>
      <c r="S57" s="224"/>
      <c r="T57" s="224"/>
      <c r="U57" s="224"/>
      <c r="V57" s="224"/>
      <c r="W57" s="222"/>
      <c r="X57" s="222"/>
      <c r="Y57" s="146"/>
      <c r="Z57" s="140"/>
      <c r="AA57" s="146"/>
      <c r="AB57" s="147"/>
      <c r="AC57" s="142"/>
      <c r="AD57" s="142"/>
      <c r="AE57" s="142"/>
      <c r="AF57" s="142"/>
      <c r="AG57" s="142"/>
      <c r="AH57" s="142"/>
      <c r="AI57" s="142"/>
      <c r="AJ57" s="142"/>
      <c r="AK57" s="142"/>
      <c r="AL57" s="142"/>
      <c r="AM57" s="142"/>
      <c r="AN57" s="142"/>
      <c r="AO57" s="142"/>
      <c r="AP57" s="142"/>
      <c r="AQ57" s="142"/>
      <c r="AR57" s="142"/>
      <c r="AS57" s="142"/>
      <c r="AT57" s="142"/>
      <c r="AU57" s="142"/>
      <c r="AV57" s="142"/>
      <c r="AW57" s="142"/>
      <c r="AX57" s="142"/>
      <c r="AY57" s="142"/>
    </row>
    <row r="58" spans="11:51">
      <c r="K58" s="224" t="str">
        <f>A10</f>
        <v>RTEP - Transmission Enhancement Charges</v>
      </c>
      <c r="L58" s="283"/>
      <c r="M58" s="283"/>
      <c r="N58" s="283"/>
      <c r="O58" s="224"/>
      <c r="P58" s="224"/>
      <c r="Q58" s="283"/>
      <c r="R58" s="224"/>
      <c r="S58" s="224"/>
      <c r="T58" s="224"/>
      <c r="U58" s="224"/>
      <c r="V58" s="224"/>
      <c r="W58" s="222"/>
      <c r="X58" s="222"/>
      <c r="Y58" s="146"/>
      <c r="Z58" s="140"/>
      <c r="AA58" s="146"/>
      <c r="AB58" s="147"/>
      <c r="AC58" s="142"/>
      <c r="AD58" s="142"/>
      <c r="AE58" s="142"/>
      <c r="AF58" s="142"/>
      <c r="AG58" s="142"/>
      <c r="AH58" s="142"/>
      <c r="AI58" s="142"/>
      <c r="AJ58" s="142"/>
      <c r="AK58" s="142"/>
      <c r="AL58" s="142"/>
      <c r="AM58" s="142"/>
      <c r="AN58" s="142"/>
      <c r="AO58" s="142"/>
      <c r="AP58" s="142"/>
      <c r="AQ58" s="142"/>
      <c r="AR58" s="142"/>
      <c r="AS58" s="142"/>
      <c r="AT58" s="142"/>
      <c r="AU58" s="142"/>
      <c r="AV58" s="142"/>
      <c r="AW58" s="142"/>
      <c r="AX58" s="142"/>
      <c r="AY58" s="142"/>
    </row>
    <row r="59" spans="11:51">
      <c r="K59" s="143"/>
      <c r="O59" s="108"/>
      <c r="P59" s="108"/>
      <c r="Q59" s="108"/>
      <c r="R59" s="108"/>
      <c r="S59" s="108"/>
      <c r="T59" s="108"/>
      <c r="U59" s="108"/>
      <c r="V59" s="108"/>
      <c r="W59" s="108"/>
      <c r="X59" s="108"/>
      <c r="Y59" s="146"/>
      <c r="Z59" s="140"/>
      <c r="AA59" s="146"/>
      <c r="AB59" s="147"/>
      <c r="AC59" s="142"/>
      <c r="AD59" s="142"/>
      <c r="AE59" s="142"/>
      <c r="AF59" s="142"/>
      <c r="AG59" s="142"/>
      <c r="AH59" s="142"/>
      <c r="AI59" s="142"/>
      <c r="AJ59" s="142"/>
      <c r="AK59" s="142"/>
      <c r="AL59" s="142"/>
      <c r="AM59" s="142"/>
      <c r="AN59" s="142"/>
      <c r="AO59" s="142"/>
      <c r="AP59" s="142"/>
      <c r="AQ59" s="142"/>
      <c r="AR59" s="142"/>
      <c r="AS59" s="142"/>
      <c r="AT59" s="142"/>
      <c r="AU59" s="142"/>
      <c r="AV59" s="142"/>
      <c r="AW59" s="142"/>
      <c r="AX59" s="142"/>
      <c r="AY59" s="142"/>
    </row>
    <row r="60" spans="11:51" ht="15.75">
      <c r="K60" s="284" t="s">
        <v>333</v>
      </c>
      <c r="L60" s="283"/>
      <c r="M60" s="224"/>
      <c r="N60" s="224"/>
      <c r="O60" s="283"/>
      <c r="P60" s="284"/>
      <c r="Q60" s="283"/>
      <c r="R60" s="223"/>
      <c r="S60" s="223"/>
      <c r="T60" s="223"/>
      <c r="U60" s="223"/>
      <c r="V60" s="223"/>
      <c r="W60" s="222"/>
      <c r="X60" s="222"/>
      <c r="Y60" s="146"/>
      <c r="Z60" s="140"/>
      <c r="AA60" s="146"/>
      <c r="AB60" s="147"/>
      <c r="AC60" s="142"/>
      <c r="AD60" s="142"/>
      <c r="AE60" s="142"/>
      <c r="AF60" s="142"/>
      <c r="AG60" s="142"/>
      <c r="AH60" s="142"/>
      <c r="AI60" s="142"/>
      <c r="AJ60" s="142"/>
      <c r="AK60" s="142"/>
      <c r="AL60" s="142"/>
      <c r="AM60" s="142"/>
      <c r="AN60" s="142"/>
      <c r="AO60" s="142"/>
      <c r="AP60" s="142"/>
      <c r="AQ60" s="142"/>
      <c r="AR60" s="142"/>
      <c r="AS60" s="142"/>
      <c r="AT60" s="142"/>
      <c r="AU60" s="142"/>
      <c r="AV60" s="142"/>
      <c r="AW60" s="142"/>
      <c r="AX60" s="142"/>
      <c r="AY60" s="142"/>
    </row>
    <row r="61" spans="11:51" ht="15.75">
      <c r="K61" s="143"/>
      <c r="M61" s="107"/>
      <c r="N61" s="107"/>
      <c r="O61" s="151"/>
      <c r="P61" s="151"/>
      <c r="R61" s="111"/>
      <c r="S61" s="111"/>
      <c r="T61" s="111"/>
      <c r="U61" s="111"/>
      <c r="V61" s="111"/>
      <c r="W61" s="112"/>
      <c r="X61" s="112"/>
      <c r="Y61" s="146"/>
      <c r="Z61" s="140"/>
      <c r="AA61" s="146"/>
      <c r="AB61" s="147"/>
      <c r="AC61" s="142"/>
      <c r="AD61" s="142"/>
      <c r="AE61" s="142"/>
      <c r="AF61" s="142"/>
      <c r="AG61" s="142"/>
      <c r="AH61" s="142"/>
      <c r="AI61" s="142"/>
      <c r="AJ61" s="142"/>
      <c r="AK61" s="142"/>
      <c r="AL61" s="142"/>
      <c r="AM61" s="142"/>
      <c r="AN61" s="142"/>
      <c r="AO61" s="142"/>
      <c r="AP61" s="142"/>
      <c r="AQ61" s="142"/>
      <c r="AR61" s="142"/>
      <c r="AS61" s="142"/>
      <c r="AT61" s="142"/>
      <c r="AU61" s="142"/>
      <c r="AV61" s="142"/>
      <c r="AW61" s="142"/>
      <c r="AX61" s="142"/>
      <c r="AY61" s="142"/>
    </row>
    <row r="62" spans="11:51" ht="15.75">
      <c r="K62" s="143"/>
      <c r="M62" s="174">
        <v>-1</v>
      </c>
      <c r="N62" s="174">
        <v>-2</v>
      </c>
      <c r="O62" s="174">
        <v>-3</v>
      </c>
      <c r="P62" s="174">
        <v>-4</v>
      </c>
      <c r="Q62" s="174">
        <v>-5</v>
      </c>
      <c r="R62" s="174">
        <v>-6</v>
      </c>
      <c r="S62" s="174">
        <v>-7</v>
      </c>
      <c r="T62" s="174">
        <v>-8</v>
      </c>
      <c r="U62" s="174">
        <v>-9</v>
      </c>
      <c r="V62" s="174">
        <v>-10</v>
      </c>
      <c r="W62" s="174">
        <v>-11</v>
      </c>
      <c r="X62" s="174">
        <v>-12</v>
      </c>
      <c r="Y62" s="146"/>
      <c r="Z62" s="140"/>
      <c r="AA62" s="146"/>
      <c r="AB62" s="147"/>
      <c r="AC62" s="142"/>
      <c r="AD62" s="142"/>
      <c r="AE62" s="142"/>
      <c r="AF62" s="142"/>
      <c r="AG62" s="142"/>
      <c r="AH62" s="142"/>
      <c r="AI62" s="142"/>
      <c r="AJ62" s="142"/>
      <c r="AK62" s="142"/>
      <c r="AL62" s="142"/>
      <c r="AM62" s="142"/>
      <c r="AN62" s="142"/>
      <c r="AO62" s="142"/>
      <c r="AP62" s="142"/>
      <c r="AQ62" s="142"/>
      <c r="AR62" s="142"/>
      <c r="AS62" s="142"/>
      <c r="AT62" s="142"/>
      <c r="AU62" s="142"/>
      <c r="AV62" s="142"/>
      <c r="AW62" s="142"/>
      <c r="AX62" s="142"/>
      <c r="AY62" s="142"/>
    </row>
    <row r="63" spans="11:51" ht="63">
      <c r="K63" s="175" t="s">
        <v>279</v>
      </c>
      <c r="L63" s="176"/>
      <c r="M63" s="176" t="s">
        <v>249</v>
      </c>
      <c r="N63" s="177" t="s">
        <v>418</v>
      </c>
      <c r="O63" s="178" t="s">
        <v>281</v>
      </c>
      <c r="P63" s="178" t="s">
        <v>274</v>
      </c>
      <c r="Q63" s="179" t="s">
        <v>282</v>
      </c>
      <c r="R63" s="178" t="s">
        <v>283</v>
      </c>
      <c r="S63" s="178" t="s">
        <v>278</v>
      </c>
      <c r="T63" s="179" t="s">
        <v>284</v>
      </c>
      <c r="U63" s="178" t="s">
        <v>285</v>
      </c>
      <c r="V63" s="180" t="s">
        <v>286</v>
      </c>
      <c r="W63" s="181" t="s">
        <v>287</v>
      </c>
      <c r="X63" s="180" t="s">
        <v>288</v>
      </c>
      <c r="Y63" s="159"/>
      <c r="Z63" s="140"/>
      <c r="AA63" s="146"/>
      <c r="AB63" s="147"/>
      <c r="AC63" s="142"/>
      <c r="AD63" s="142"/>
      <c r="AE63" s="142"/>
      <c r="AF63" s="142"/>
      <c r="AG63" s="142"/>
      <c r="AH63" s="142"/>
      <c r="AI63" s="142"/>
      <c r="AJ63" s="142"/>
      <c r="AK63" s="142"/>
      <c r="AL63" s="142"/>
      <c r="AM63" s="142"/>
      <c r="AN63" s="142"/>
      <c r="AO63" s="142"/>
      <c r="AP63" s="142"/>
      <c r="AQ63" s="142"/>
      <c r="AR63" s="142"/>
      <c r="AS63" s="142"/>
      <c r="AT63" s="142"/>
      <c r="AU63" s="142"/>
      <c r="AV63" s="142"/>
      <c r="AW63" s="142"/>
      <c r="AX63" s="142"/>
      <c r="AY63" s="142"/>
    </row>
    <row r="64" spans="11:51" ht="46.5" customHeight="1">
      <c r="K64" s="182"/>
      <c r="L64" s="183"/>
      <c r="M64" s="183"/>
      <c r="N64" s="183"/>
      <c r="O64" s="184" t="s">
        <v>22</v>
      </c>
      <c r="P64" s="870" t="s">
        <v>794</v>
      </c>
      <c r="Q64" s="185" t="s">
        <v>289</v>
      </c>
      <c r="R64" s="870" t="s">
        <v>23</v>
      </c>
      <c r="S64" s="870" t="s">
        <v>795</v>
      </c>
      <c r="T64" s="185" t="s">
        <v>290</v>
      </c>
      <c r="U64" s="870" t="s">
        <v>291</v>
      </c>
      <c r="V64" s="185" t="s">
        <v>292</v>
      </c>
      <c r="W64" s="186" t="s">
        <v>242</v>
      </c>
      <c r="X64" s="187" t="s">
        <v>293</v>
      </c>
      <c r="Y64" s="146"/>
      <c r="Z64" s="140"/>
      <c r="AA64" s="146"/>
      <c r="AB64" s="147"/>
      <c r="AC64" s="142"/>
      <c r="AD64" s="142"/>
      <c r="AE64" s="142"/>
      <c r="AF64" s="142"/>
      <c r="AG64" s="142"/>
      <c r="AH64" s="142"/>
      <c r="AI64" s="142"/>
      <c r="AJ64" s="142"/>
      <c r="AK64" s="142"/>
      <c r="AL64" s="142"/>
      <c r="AM64" s="142"/>
      <c r="AN64" s="142"/>
      <c r="AO64" s="142"/>
      <c r="AP64" s="142"/>
      <c r="AQ64" s="142"/>
      <c r="AR64" s="142"/>
      <c r="AS64" s="142"/>
      <c r="AT64" s="142"/>
      <c r="AU64" s="142"/>
      <c r="AV64" s="142"/>
      <c r="AW64" s="142"/>
      <c r="AX64" s="142"/>
      <c r="AY64" s="142"/>
    </row>
    <row r="65" spans="11:51">
      <c r="K65" s="188"/>
      <c r="L65" s="111"/>
      <c r="M65" s="111"/>
      <c r="N65" s="111"/>
      <c r="O65" s="111"/>
      <c r="P65" s="111"/>
      <c r="Q65" s="189"/>
      <c r="R65" s="111"/>
      <c r="S65" s="111"/>
      <c r="T65" s="189"/>
      <c r="U65" s="111"/>
      <c r="V65" s="189"/>
      <c r="W65" s="112"/>
      <c r="X65" s="190"/>
      <c r="Y65" s="146"/>
      <c r="Z65" s="140"/>
      <c r="AA65" s="146"/>
      <c r="AB65" s="147"/>
      <c r="AC65" s="142"/>
      <c r="AD65" s="142"/>
      <c r="AE65" s="142"/>
      <c r="AF65" s="142"/>
      <c r="AG65" s="142"/>
      <c r="AH65" s="142"/>
      <c r="AI65" s="142"/>
      <c r="AJ65" s="142"/>
      <c r="AK65" s="142"/>
      <c r="AL65" s="142"/>
      <c r="AM65" s="142"/>
      <c r="AN65" s="142"/>
      <c r="AO65" s="142"/>
      <c r="AP65" s="142"/>
      <c r="AQ65" s="142"/>
      <c r="AR65" s="142"/>
      <c r="AS65" s="142"/>
      <c r="AT65" s="142"/>
      <c r="AU65" s="142"/>
      <c r="AV65" s="142"/>
      <c r="AW65" s="142"/>
      <c r="AX65" s="142"/>
      <c r="AY65" s="142"/>
    </row>
    <row r="66" spans="11:51">
      <c r="K66" s="907" t="s">
        <v>3</v>
      </c>
      <c r="L66" s="908"/>
      <c r="M66" s="909"/>
      <c r="N66" s="910"/>
      <c r="O66" s="911">
        <v>0</v>
      </c>
      <c r="P66" s="912">
        <f>$I$35</f>
        <v>7.0178624231726772E-2</v>
      </c>
      <c r="Q66" s="913">
        <f>O66*P66</f>
        <v>0</v>
      </c>
      <c r="R66" s="911">
        <v>0</v>
      </c>
      <c r="S66" s="912">
        <f>$I$45</f>
        <v>8.9905389494421978E-2</v>
      </c>
      <c r="T66" s="913">
        <f>R66*S66</f>
        <v>0</v>
      </c>
      <c r="U66" s="914">
        <v>0</v>
      </c>
      <c r="V66" s="913">
        <f>Q66+T66+U66</f>
        <v>0</v>
      </c>
      <c r="W66" s="915">
        <v>0</v>
      </c>
      <c r="X66" s="913">
        <f>V66+W66</f>
        <v>0</v>
      </c>
      <c r="Y66" s="196"/>
      <c r="Z66" s="196"/>
      <c r="AA66" s="196"/>
      <c r="AB66" s="196"/>
      <c r="AC66" s="196"/>
      <c r="AD66" s="196"/>
      <c r="AE66" s="196"/>
    </row>
    <row r="67" spans="11:51">
      <c r="K67" s="907" t="s">
        <v>296</v>
      </c>
      <c r="L67" s="908"/>
      <c r="M67" s="908"/>
      <c r="N67" s="908"/>
      <c r="O67" s="911">
        <v>0</v>
      </c>
      <c r="P67" s="912">
        <f>$I$35</f>
        <v>7.0178624231726772E-2</v>
      </c>
      <c r="Q67" s="913">
        <f>O67*P67</f>
        <v>0</v>
      </c>
      <c r="R67" s="919">
        <v>0</v>
      </c>
      <c r="S67" s="912">
        <f>$I$45</f>
        <v>8.9905389494421978E-2</v>
      </c>
      <c r="T67" s="913">
        <f>R67*S67</f>
        <v>0</v>
      </c>
      <c r="U67" s="920">
        <v>0</v>
      </c>
      <c r="V67" s="913">
        <f>Q67+T67+U67</f>
        <v>0</v>
      </c>
      <c r="W67" s="915">
        <v>0</v>
      </c>
      <c r="X67" s="913">
        <f>V67+W67</f>
        <v>0</v>
      </c>
      <c r="Y67" s="196"/>
      <c r="Z67" s="196"/>
      <c r="AA67" s="196"/>
      <c r="AB67" s="196"/>
      <c r="AC67" s="196"/>
      <c r="AD67" s="196"/>
      <c r="AE67" s="196"/>
    </row>
    <row r="68" spans="11:51">
      <c r="K68" s="907" t="s">
        <v>299</v>
      </c>
      <c r="L68" s="908"/>
      <c r="M68" s="908"/>
      <c r="N68" s="908"/>
      <c r="O68" s="911">
        <v>0</v>
      </c>
      <c r="P68" s="912">
        <f>$I$35</f>
        <v>7.0178624231726772E-2</v>
      </c>
      <c r="Q68" s="913">
        <f>O68*P68</f>
        <v>0</v>
      </c>
      <c r="R68" s="919">
        <v>0</v>
      </c>
      <c r="S68" s="912">
        <f>$I$45</f>
        <v>8.9905389494421978E-2</v>
      </c>
      <c r="T68" s="913">
        <f>R68*S68</f>
        <v>0</v>
      </c>
      <c r="U68" s="920">
        <v>0</v>
      </c>
      <c r="V68" s="913">
        <f>Q68+T68+U68</f>
        <v>0</v>
      </c>
      <c r="W68" s="919">
        <v>0</v>
      </c>
      <c r="X68" s="913">
        <f>V68+W68</f>
        <v>0</v>
      </c>
      <c r="Y68" s="196"/>
      <c r="Z68" s="196"/>
      <c r="AA68" s="196"/>
      <c r="AB68" s="196"/>
      <c r="AC68" s="196"/>
      <c r="AD68" s="196"/>
      <c r="AE68" s="196"/>
    </row>
    <row r="69" spans="11:51">
      <c r="K69" s="191"/>
      <c r="Q69" s="193"/>
      <c r="T69" s="193"/>
      <c r="V69" s="193"/>
      <c r="X69" s="193"/>
      <c r="Y69" s="196"/>
      <c r="Z69" s="196"/>
      <c r="AA69" s="196"/>
      <c r="AB69" s="196"/>
      <c r="AC69" s="196"/>
      <c r="AD69" s="196"/>
      <c r="AE69" s="196"/>
    </row>
    <row r="70" spans="11:51">
      <c r="K70" s="191"/>
      <c r="Q70" s="193"/>
      <c r="T70" s="193"/>
      <c r="V70" s="193"/>
      <c r="X70" s="193"/>
      <c r="Y70" s="196"/>
      <c r="Z70" s="196"/>
      <c r="AA70" s="196"/>
      <c r="AB70" s="196"/>
      <c r="AC70" s="196"/>
      <c r="AD70" s="196"/>
      <c r="AE70" s="196"/>
    </row>
    <row r="71" spans="11:51">
      <c r="K71" s="191"/>
      <c r="Q71" s="193"/>
      <c r="T71" s="193"/>
      <c r="V71" s="193"/>
      <c r="X71" s="193"/>
      <c r="Y71" s="196"/>
      <c r="Z71" s="196"/>
      <c r="AA71" s="196"/>
      <c r="AB71" s="196"/>
      <c r="AC71" s="196"/>
      <c r="AD71" s="196"/>
      <c r="AE71" s="196"/>
    </row>
    <row r="72" spans="11:51">
      <c r="K72" s="191"/>
      <c r="Q72" s="193"/>
      <c r="T72" s="193"/>
      <c r="V72" s="193"/>
      <c r="X72" s="193"/>
      <c r="Y72" s="196"/>
      <c r="Z72" s="196"/>
      <c r="AA72" s="196"/>
      <c r="AB72" s="196"/>
      <c r="AC72" s="196"/>
      <c r="AD72" s="196"/>
      <c r="AE72" s="196"/>
    </row>
    <row r="73" spans="11:51">
      <c r="K73" s="191"/>
      <c r="Q73" s="193"/>
      <c r="T73" s="193"/>
      <c r="V73" s="193"/>
      <c r="X73" s="193"/>
      <c r="Y73" s="196"/>
      <c r="Z73" s="196"/>
      <c r="AA73" s="196"/>
      <c r="AB73" s="196"/>
      <c r="AC73" s="196"/>
      <c r="AD73" s="196"/>
      <c r="AE73" s="196"/>
    </row>
    <row r="74" spans="11:51">
      <c r="K74" s="191"/>
      <c r="M74" s="196"/>
      <c r="N74" s="196"/>
      <c r="O74" s="196"/>
      <c r="P74" s="196"/>
      <c r="Q74" s="197"/>
      <c r="R74" s="196"/>
      <c r="S74" s="196"/>
      <c r="T74" s="197"/>
      <c r="U74" s="196"/>
      <c r="V74" s="197"/>
      <c r="W74" s="196"/>
      <c r="X74" s="197"/>
      <c r="Y74" s="196"/>
      <c r="Z74" s="196"/>
      <c r="AA74" s="196"/>
      <c r="AB74" s="196"/>
      <c r="AC74" s="196"/>
      <c r="AD74" s="196"/>
      <c r="AE74" s="196"/>
    </row>
    <row r="75" spans="11:51">
      <c r="K75" s="191"/>
      <c r="M75" s="196"/>
      <c r="N75" s="196"/>
      <c r="O75" s="196"/>
      <c r="P75" s="196"/>
      <c r="Q75" s="197"/>
      <c r="R75" s="196"/>
      <c r="S75" s="196"/>
      <c r="T75" s="197"/>
      <c r="U75" s="196"/>
      <c r="V75" s="197"/>
      <c r="W75" s="196"/>
      <c r="X75" s="197"/>
      <c r="Y75" s="196"/>
      <c r="Z75" s="196"/>
      <c r="AA75" s="196"/>
      <c r="AB75" s="196"/>
      <c r="AC75" s="196"/>
      <c r="AD75" s="196"/>
      <c r="AE75" s="196"/>
    </row>
    <row r="76" spans="11:51">
      <c r="K76" s="191"/>
      <c r="M76" s="196"/>
      <c r="N76" s="196"/>
      <c r="O76" s="196"/>
      <c r="P76" s="196"/>
      <c r="Q76" s="197"/>
      <c r="R76" s="196"/>
      <c r="S76" s="196"/>
      <c r="T76" s="197"/>
      <c r="U76" s="196"/>
      <c r="V76" s="197"/>
      <c r="W76" s="196"/>
      <c r="X76" s="197"/>
      <c r="Y76" s="196"/>
      <c r="Z76" s="196"/>
      <c r="AA76" s="196"/>
      <c r="AB76" s="196"/>
      <c r="AC76" s="196"/>
      <c r="AD76" s="196"/>
      <c r="AE76" s="196"/>
    </row>
    <row r="77" spans="11:51">
      <c r="K77" s="191"/>
      <c r="M77" s="196"/>
      <c r="N77" s="196"/>
      <c r="O77" s="196"/>
      <c r="P77" s="196"/>
      <c r="Q77" s="197"/>
      <c r="R77" s="196"/>
      <c r="S77" s="196"/>
      <c r="T77" s="197"/>
      <c r="U77" s="196"/>
      <c r="V77" s="197"/>
      <c r="W77" s="196"/>
      <c r="X77" s="197"/>
      <c r="Y77" s="196"/>
      <c r="Z77" s="196"/>
      <c r="AA77" s="196"/>
      <c r="AB77" s="196"/>
      <c r="AC77" s="196"/>
      <c r="AD77" s="196"/>
      <c r="AE77" s="196"/>
    </row>
    <row r="78" spans="11:51">
      <c r="K78" s="191"/>
      <c r="M78" s="196"/>
      <c r="N78" s="196"/>
      <c r="O78" s="196"/>
      <c r="P78" s="196"/>
      <c r="Q78" s="197"/>
      <c r="R78" s="196"/>
      <c r="S78" s="196"/>
      <c r="T78" s="197"/>
      <c r="U78" s="196"/>
      <c r="V78" s="197"/>
      <c r="W78" s="196"/>
      <c r="X78" s="197"/>
      <c r="Y78" s="196"/>
      <c r="Z78" s="196"/>
      <c r="AA78" s="196"/>
      <c r="AB78" s="196"/>
      <c r="AC78" s="196"/>
      <c r="AD78" s="196"/>
      <c r="AE78" s="196"/>
    </row>
    <row r="79" spans="11:51">
      <c r="K79" s="191"/>
      <c r="M79" s="196"/>
      <c r="N79" s="196"/>
      <c r="O79" s="196"/>
      <c r="P79" s="196"/>
      <c r="Q79" s="197"/>
      <c r="R79" s="196"/>
      <c r="S79" s="196"/>
      <c r="T79" s="197"/>
      <c r="U79" s="196"/>
      <c r="V79" s="197"/>
      <c r="W79" s="196"/>
      <c r="X79" s="197"/>
      <c r="Y79" s="196"/>
      <c r="Z79" s="196"/>
      <c r="AA79" s="196"/>
      <c r="AB79" s="196"/>
      <c r="AC79" s="196"/>
      <c r="AD79" s="196"/>
      <c r="AE79" s="196"/>
    </row>
    <row r="80" spans="11:51">
      <c r="K80" s="191"/>
      <c r="M80" s="196"/>
      <c r="N80" s="196"/>
      <c r="O80" s="196"/>
      <c r="P80" s="196"/>
      <c r="Q80" s="197"/>
      <c r="R80" s="196"/>
      <c r="S80" s="196"/>
      <c r="T80" s="197"/>
      <c r="U80" s="196"/>
      <c r="V80" s="197"/>
      <c r="W80" s="196"/>
      <c r="X80" s="197"/>
      <c r="Y80" s="196"/>
      <c r="Z80" s="196"/>
      <c r="AA80" s="196"/>
      <c r="AB80" s="196"/>
      <c r="AC80" s="196"/>
      <c r="AD80" s="196"/>
      <c r="AE80" s="196"/>
    </row>
    <row r="81" spans="11:31">
      <c r="K81" s="191"/>
      <c r="M81" s="196"/>
      <c r="N81" s="196"/>
      <c r="O81" s="196"/>
      <c r="P81" s="196"/>
      <c r="Q81" s="197"/>
      <c r="R81" s="196"/>
      <c r="S81" s="196"/>
      <c r="T81" s="197"/>
      <c r="U81" s="196"/>
      <c r="V81" s="197"/>
      <c r="W81" s="196"/>
      <c r="X81" s="197"/>
      <c r="Y81" s="196"/>
      <c r="Z81" s="196"/>
      <c r="AA81" s="196"/>
      <c r="AB81" s="196"/>
      <c r="AC81" s="196"/>
      <c r="AD81" s="196"/>
      <c r="AE81" s="196"/>
    </row>
    <row r="82" spans="11:31">
      <c r="K82" s="191"/>
      <c r="M82" s="196"/>
      <c r="N82" s="196"/>
      <c r="O82" s="196"/>
      <c r="P82" s="196"/>
      <c r="Q82" s="197"/>
      <c r="R82" s="196"/>
      <c r="S82" s="196"/>
      <c r="T82" s="197"/>
      <c r="U82" s="196"/>
      <c r="V82" s="197"/>
      <c r="W82" s="196"/>
      <c r="X82" s="197"/>
      <c r="Y82" s="196"/>
      <c r="Z82" s="196"/>
      <c r="AA82" s="196"/>
      <c r="AB82" s="196"/>
      <c r="AC82" s="196"/>
      <c r="AD82" s="196"/>
      <c r="AE82" s="196"/>
    </row>
    <row r="83" spans="11:31">
      <c r="K83" s="191"/>
      <c r="M83" s="196"/>
      <c r="N83" s="196"/>
      <c r="O83" s="196"/>
      <c r="P83" s="196"/>
      <c r="Q83" s="197"/>
      <c r="R83" s="196"/>
      <c r="S83" s="196"/>
      <c r="T83" s="197"/>
      <c r="U83" s="196"/>
      <c r="V83" s="197"/>
      <c r="W83" s="196"/>
      <c r="X83" s="197"/>
      <c r="Y83" s="196"/>
      <c r="Z83" s="196"/>
      <c r="AA83" s="196"/>
      <c r="AB83" s="196"/>
      <c r="AC83" s="196"/>
      <c r="AD83" s="196"/>
      <c r="AE83" s="196"/>
    </row>
    <row r="84" spans="11:31">
      <c r="K84" s="191"/>
      <c r="M84" s="196"/>
      <c r="N84" s="196"/>
      <c r="O84" s="196"/>
      <c r="P84" s="196"/>
      <c r="Q84" s="197"/>
      <c r="R84" s="196"/>
      <c r="S84" s="196"/>
      <c r="T84" s="197"/>
      <c r="U84" s="196"/>
      <c r="V84" s="197"/>
      <c r="W84" s="196"/>
      <c r="X84" s="197"/>
      <c r="Y84" s="196"/>
      <c r="Z84" s="196"/>
      <c r="AA84" s="196"/>
      <c r="AB84" s="196"/>
      <c r="AC84" s="196"/>
      <c r="AD84" s="196"/>
      <c r="AE84" s="196"/>
    </row>
    <row r="85" spans="11:31">
      <c r="K85" s="198"/>
      <c r="L85" s="199"/>
      <c r="M85" s="200"/>
      <c r="N85" s="200"/>
      <c r="O85" s="200"/>
      <c r="P85" s="200"/>
      <c r="Q85" s="201"/>
      <c r="R85" s="200"/>
      <c r="S85" s="200"/>
      <c r="T85" s="201"/>
      <c r="U85" s="200"/>
      <c r="V85" s="201"/>
      <c r="W85" s="200"/>
      <c r="X85" s="201"/>
      <c r="Y85" s="196"/>
      <c r="Z85" s="196"/>
      <c r="AA85" s="196"/>
      <c r="AB85" s="196"/>
      <c r="AC85" s="196"/>
      <c r="AD85" s="196"/>
      <c r="AE85" s="196"/>
    </row>
    <row r="86" spans="11:31">
      <c r="K86" s="145" t="s">
        <v>302</v>
      </c>
      <c r="L86" s="167"/>
      <c r="M86" s="108" t="s">
        <v>303</v>
      </c>
      <c r="N86" s="108"/>
      <c r="O86" s="114"/>
      <c r="P86" s="114"/>
      <c r="Q86" s="112"/>
      <c r="R86" s="112"/>
      <c r="S86" s="112"/>
      <c r="T86" s="112"/>
      <c r="U86" s="112"/>
      <c r="V86" s="203">
        <f>SUM(V66:V85)</f>
        <v>0</v>
      </c>
      <c r="W86" s="203">
        <f>SUM(W66:W85)</f>
        <v>0</v>
      </c>
      <c r="X86" s="203">
        <f>SUM(X66:X85)</f>
        <v>0</v>
      </c>
      <c r="Y86" s="196"/>
      <c r="Z86" s="196"/>
      <c r="AA86" s="196"/>
      <c r="AB86" s="196"/>
      <c r="AC86" s="196"/>
      <c r="AD86" s="196"/>
      <c r="AE86" s="196"/>
    </row>
    <row r="87" spans="11:31">
      <c r="K87" s="99"/>
      <c r="L87" s="196"/>
      <c r="M87" s="196"/>
      <c r="N87" s="196"/>
      <c r="O87" s="196"/>
      <c r="P87" s="196"/>
      <c r="Q87" s="196"/>
      <c r="R87" s="196"/>
      <c r="S87" s="196"/>
      <c r="T87" s="196"/>
      <c r="U87" s="196"/>
      <c r="V87" s="196"/>
      <c r="W87" s="196"/>
      <c r="X87" s="196"/>
      <c r="Y87" s="196"/>
      <c r="Z87" s="196"/>
      <c r="AA87" s="196"/>
      <c r="AB87" s="196"/>
      <c r="AC87" s="196"/>
      <c r="AD87" s="196"/>
      <c r="AE87" s="196"/>
    </row>
    <row r="88" spans="11:31">
      <c r="K88" s="202">
        <v>3</v>
      </c>
      <c r="L88" s="196"/>
      <c r="M88" s="874" t="s">
        <v>797</v>
      </c>
      <c r="N88" s="196"/>
      <c r="O88" s="196"/>
      <c r="P88" s="196"/>
      <c r="Q88" s="196"/>
      <c r="R88" s="196"/>
      <c r="S88" s="196"/>
      <c r="T88" s="196"/>
      <c r="U88" s="196"/>
      <c r="V88" s="203"/>
      <c r="W88" s="196"/>
      <c r="X88" s="203">
        <f>X86</f>
        <v>0</v>
      </c>
      <c r="Y88" s="196"/>
      <c r="Z88" s="196"/>
      <c r="AA88" s="196"/>
      <c r="AB88" s="196"/>
      <c r="AC88" s="196"/>
      <c r="AD88" s="196"/>
      <c r="AE88" s="196"/>
    </row>
    <row r="89" spans="11:31">
      <c r="K89" s="196"/>
      <c r="L89" s="196"/>
      <c r="M89" s="196"/>
      <c r="N89" s="196"/>
      <c r="O89" s="196"/>
      <c r="P89" s="196"/>
      <c r="Q89" s="196"/>
      <c r="R89" s="196"/>
      <c r="S89" s="196"/>
      <c r="T89" s="196"/>
      <c r="U89" s="196"/>
      <c r="V89" s="196"/>
      <c r="W89" s="196"/>
      <c r="X89" s="196"/>
      <c r="Y89" s="196"/>
      <c r="Z89" s="196"/>
      <c r="AA89" s="196"/>
      <c r="AB89" s="196"/>
      <c r="AC89" s="196"/>
      <c r="AD89" s="196"/>
      <c r="AE89" s="196"/>
    </row>
    <row r="90" spans="11:31">
      <c r="K90" s="196"/>
      <c r="L90" s="196"/>
      <c r="M90" s="196"/>
      <c r="N90" s="196"/>
      <c r="O90" s="196"/>
      <c r="P90" s="196"/>
      <c r="Q90" s="196"/>
      <c r="R90" s="196"/>
      <c r="S90" s="196"/>
      <c r="T90" s="196"/>
      <c r="U90" s="196"/>
      <c r="V90" s="196"/>
      <c r="W90" s="196"/>
      <c r="X90" s="196"/>
      <c r="Y90" s="196"/>
      <c r="Z90" s="196"/>
      <c r="AA90" s="196"/>
      <c r="AB90" s="196"/>
      <c r="AC90" s="196"/>
      <c r="AD90" s="196"/>
      <c r="AE90" s="196"/>
    </row>
    <row r="91" spans="11:31">
      <c r="K91" s="107" t="s">
        <v>113</v>
      </c>
      <c r="L91" s="196"/>
      <c r="M91" s="196"/>
      <c r="N91" s="196"/>
      <c r="O91" s="196"/>
      <c r="P91" s="196"/>
      <c r="Q91" s="196"/>
      <c r="R91" s="196"/>
      <c r="S91" s="196"/>
      <c r="T91" s="196"/>
      <c r="U91" s="196"/>
      <c r="V91" s="196"/>
      <c r="W91" s="196"/>
      <c r="X91" s="196"/>
      <c r="Y91" s="196"/>
      <c r="Z91" s="196"/>
      <c r="AA91" s="196"/>
      <c r="AB91" s="196"/>
      <c r="AC91" s="196"/>
      <c r="AD91" s="196"/>
      <c r="AE91" s="196"/>
    </row>
    <row r="92" spans="11:31" ht="15.75" thickBot="1">
      <c r="K92" s="204" t="s">
        <v>114</v>
      </c>
      <c r="L92" s="196"/>
      <c r="M92" s="196"/>
      <c r="N92" s="196"/>
      <c r="O92" s="196"/>
      <c r="P92" s="196"/>
      <c r="Q92" s="196"/>
      <c r="R92" s="196"/>
      <c r="S92" s="196"/>
      <c r="T92" s="196"/>
      <c r="U92" s="196"/>
      <c r="V92" s="196"/>
      <c r="W92" s="196"/>
      <c r="X92" s="196"/>
      <c r="Y92" s="196"/>
      <c r="Z92" s="196"/>
      <c r="AA92" s="196"/>
      <c r="AB92" s="196"/>
      <c r="AC92" s="196"/>
      <c r="AD92" s="196"/>
      <c r="AE92" s="196"/>
    </row>
    <row r="93" spans="11:31">
      <c r="K93" s="205" t="s">
        <v>115</v>
      </c>
      <c r="L93" s="110"/>
      <c r="M93" s="1032" t="s">
        <v>387</v>
      </c>
      <c r="N93" s="1032"/>
      <c r="O93" s="1032"/>
      <c r="P93" s="1032"/>
      <c r="Q93" s="1032"/>
      <c r="R93" s="1032"/>
      <c r="S93" s="1032"/>
      <c r="T93" s="1032"/>
      <c r="U93" s="1032"/>
      <c r="V93" s="1032"/>
      <c r="W93" s="1032"/>
      <c r="X93" s="1032"/>
      <c r="Y93" s="196"/>
      <c r="Z93" s="196"/>
      <c r="AA93" s="196"/>
      <c r="AB93" s="196"/>
      <c r="AC93" s="196"/>
      <c r="AD93" s="196"/>
      <c r="AE93" s="196"/>
    </row>
    <row r="94" spans="11:31">
      <c r="K94" s="205" t="s">
        <v>116</v>
      </c>
      <c r="L94" s="110"/>
      <c r="M94" s="1032" t="s">
        <v>388</v>
      </c>
      <c r="N94" s="1032"/>
      <c r="O94" s="1032"/>
      <c r="P94" s="1032"/>
      <c r="Q94" s="1032"/>
      <c r="R94" s="1032"/>
      <c r="S94" s="1032"/>
      <c r="T94" s="1032"/>
      <c r="U94" s="1032"/>
      <c r="V94" s="1032"/>
      <c r="W94" s="1032"/>
      <c r="X94" s="1032"/>
      <c r="Y94" s="196"/>
      <c r="Z94" s="196"/>
      <c r="AA94" s="196"/>
      <c r="AB94" s="196"/>
      <c r="AC94" s="196"/>
      <c r="AD94" s="196"/>
      <c r="AE94" s="196"/>
    </row>
    <row r="95" spans="11:31" ht="27.75" customHeight="1">
      <c r="K95" s="206" t="s">
        <v>117</v>
      </c>
      <c r="L95" s="110"/>
      <c r="M95" s="1033" t="s">
        <v>304</v>
      </c>
      <c r="N95" s="1033"/>
      <c r="O95" s="1033"/>
      <c r="P95" s="1033"/>
      <c r="Q95" s="1033"/>
      <c r="R95" s="1033"/>
      <c r="S95" s="1033"/>
      <c r="T95" s="1033"/>
      <c r="U95" s="1033"/>
      <c r="V95" s="1033"/>
      <c r="W95" s="1033"/>
      <c r="X95" s="1033"/>
      <c r="Y95" s="196"/>
      <c r="Z95" s="196"/>
      <c r="AA95" s="196"/>
      <c r="AB95" s="196"/>
      <c r="AC95" s="196"/>
      <c r="AD95" s="196"/>
      <c r="AE95" s="196"/>
    </row>
    <row r="96" spans="11:31" ht="15" customHeight="1">
      <c r="K96" s="206" t="s">
        <v>118</v>
      </c>
      <c r="L96" s="110"/>
      <c r="M96" s="1033" t="s">
        <v>305</v>
      </c>
      <c r="N96" s="1033"/>
      <c r="O96" s="1033"/>
      <c r="P96" s="1033"/>
      <c r="Q96" s="1033"/>
      <c r="R96" s="1033"/>
      <c r="S96" s="1033"/>
      <c r="T96" s="1033"/>
      <c r="U96" s="1033"/>
      <c r="V96" s="1033"/>
      <c r="W96" s="1033"/>
      <c r="X96" s="1033"/>
      <c r="Y96" s="196"/>
      <c r="Z96" s="196"/>
      <c r="AA96" s="196"/>
      <c r="AB96" s="196"/>
      <c r="AC96" s="196"/>
      <c r="AD96" s="196"/>
      <c r="AE96" s="196"/>
    </row>
    <row r="97" spans="1:31">
      <c r="K97" s="205" t="s">
        <v>119</v>
      </c>
      <c r="L97" s="110"/>
      <c r="M97" s="1032" t="s">
        <v>389</v>
      </c>
      <c r="N97" s="1032"/>
      <c r="O97" s="1032"/>
      <c r="P97" s="1032"/>
      <c r="Q97" s="1032"/>
      <c r="R97" s="1032"/>
      <c r="S97" s="1032"/>
      <c r="T97" s="1032"/>
      <c r="U97" s="1032"/>
      <c r="V97" s="1032"/>
      <c r="W97" s="1032"/>
      <c r="X97" s="1032"/>
      <c r="Y97" s="196"/>
      <c r="Z97" s="196"/>
      <c r="AA97" s="196"/>
      <c r="AB97" s="196"/>
      <c r="AC97" s="196"/>
      <c r="AD97" s="196"/>
      <c r="AE97" s="196"/>
    </row>
    <row r="98" spans="1:31">
      <c r="K98" s="205" t="s">
        <v>120</v>
      </c>
      <c r="L98" s="110"/>
      <c r="M98" s="1032" t="s">
        <v>306</v>
      </c>
      <c r="N98" s="1032"/>
      <c r="O98" s="1032"/>
      <c r="P98" s="1032"/>
      <c r="Q98" s="1032"/>
      <c r="R98" s="1032"/>
      <c r="S98" s="1032"/>
      <c r="T98" s="1032"/>
      <c r="U98" s="1032"/>
      <c r="V98" s="1032"/>
      <c r="W98" s="1032"/>
      <c r="X98" s="1032"/>
      <c r="Y98" s="196"/>
      <c r="Z98" s="196"/>
      <c r="AA98" s="196"/>
      <c r="AB98" s="196"/>
      <c r="AC98" s="196"/>
      <c r="AD98" s="196"/>
      <c r="AE98" s="196"/>
    </row>
    <row r="99" spans="1:31">
      <c r="K99" s="205" t="s">
        <v>121</v>
      </c>
      <c r="L99" s="110"/>
      <c r="M99" s="1031" t="s">
        <v>796</v>
      </c>
      <c r="N99" s="1032"/>
      <c r="O99" s="1032"/>
      <c r="P99" s="1032"/>
      <c r="Q99" s="1032"/>
      <c r="R99" s="1032"/>
      <c r="S99" s="1032"/>
      <c r="T99" s="1032"/>
      <c r="U99" s="1032"/>
      <c r="V99" s="1032"/>
      <c r="W99" s="1032"/>
      <c r="X99" s="1032"/>
      <c r="Y99" s="196"/>
      <c r="Z99" s="196"/>
      <c r="AA99" s="196"/>
      <c r="AB99" s="196"/>
      <c r="AC99" s="196"/>
      <c r="AD99" s="196"/>
      <c r="AE99" s="196"/>
    </row>
    <row r="100" spans="1:31">
      <c r="K100" s="418" t="s">
        <v>123</v>
      </c>
      <c r="L100" s="142"/>
      <c r="M100" s="1031" t="s">
        <v>416</v>
      </c>
      <c r="N100" s="1031"/>
      <c r="O100" s="1031"/>
      <c r="P100" s="1031"/>
      <c r="Q100" s="1031"/>
      <c r="R100" s="1031"/>
      <c r="S100" s="1031"/>
      <c r="T100" s="1031"/>
      <c r="U100" s="1031"/>
      <c r="V100" s="1031"/>
      <c r="W100" s="1031"/>
      <c r="X100" s="1031"/>
      <c r="Y100" s="196"/>
      <c r="Z100" s="196"/>
      <c r="AA100" s="196"/>
      <c r="AB100" s="196"/>
      <c r="AC100" s="196"/>
      <c r="AD100" s="196"/>
      <c r="AE100" s="196"/>
    </row>
    <row r="101" spans="1:31" ht="15.75">
      <c r="K101" s="170"/>
      <c r="L101" s="207"/>
      <c r="M101" s="208"/>
      <c r="N101" s="166"/>
      <c r="O101" s="114"/>
      <c r="P101" s="114"/>
      <c r="Q101" s="112"/>
      <c r="R101" s="107"/>
      <c r="S101" s="107"/>
      <c r="T101" s="156"/>
      <c r="U101" s="107"/>
      <c r="W101" s="112"/>
      <c r="X101" s="171"/>
      <c r="Y101" s="196"/>
      <c r="Z101" s="196"/>
      <c r="AA101" s="196"/>
      <c r="AB101" s="196"/>
      <c r="AC101" s="196"/>
      <c r="AD101" s="196"/>
      <c r="AE101" s="196"/>
    </row>
    <row r="102" spans="1:31" ht="15.75">
      <c r="A102" s="170"/>
      <c r="B102" s="207"/>
      <c r="C102" s="208"/>
      <c r="D102" s="166"/>
      <c r="E102" s="114"/>
      <c r="F102" s="114"/>
      <c r="G102" s="112"/>
      <c r="H102" s="107"/>
      <c r="I102" s="107"/>
      <c r="J102" s="156"/>
    </row>
    <row r="103" spans="1:31">
      <c r="C103" s="196"/>
      <c r="D103" s="196"/>
      <c r="E103" s="196"/>
      <c r="F103" s="196"/>
      <c r="G103" s="196"/>
      <c r="H103" s="196"/>
      <c r="I103" s="196"/>
      <c r="J103" s="196"/>
    </row>
    <row r="104" spans="1:31">
      <c r="C104" s="196"/>
      <c r="D104" s="196"/>
      <c r="E104" s="196"/>
      <c r="F104" s="196"/>
      <c r="G104" s="196"/>
      <c r="H104" s="196"/>
      <c r="I104" s="196"/>
      <c r="J104" s="196"/>
    </row>
    <row r="105" spans="1:31">
      <c r="C105" s="196"/>
      <c r="D105" s="196"/>
      <c r="E105" s="196"/>
      <c r="F105" s="196"/>
      <c r="G105" s="196"/>
      <c r="H105" s="196"/>
      <c r="I105" s="196"/>
      <c r="J105" s="196"/>
    </row>
    <row r="106" spans="1:31">
      <c r="C106" s="196"/>
      <c r="D106" s="196"/>
      <c r="E106" s="196"/>
      <c r="F106" s="196"/>
      <c r="G106" s="196"/>
      <c r="H106" s="196"/>
      <c r="I106" s="196"/>
      <c r="J106" s="196"/>
    </row>
    <row r="107" spans="1:31">
      <c r="C107" s="196"/>
      <c r="D107" s="196"/>
      <c r="E107" s="196"/>
      <c r="F107" s="196"/>
      <c r="G107" s="196"/>
      <c r="H107" s="196"/>
      <c r="I107" s="196"/>
      <c r="J107" s="196"/>
    </row>
    <row r="108" spans="1:31">
      <c r="C108" s="196"/>
      <c r="D108" s="196"/>
      <c r="E108" s="196"/>
      <c r="F108" s="196"/>
      <c r="G108" s="196"/>
      <c r="H108" s="196"/>
      <c r="I108" s="196"/>
      <c r="J108" s="196"/>
    </row>
    <row r="109" spans="1:31">
      <c r="C109" s="196"/>
      <c r="D109" s="196"/>
      <c r="E109" s="196"/>
      <c r="F109" s="196"/>
      <c r="G109" s="196"/>
      <c r="H109" s="196"/>
      <c r="I109" s="196"/>
      <c r="J109" s="196"/>
    </row>
    <row r="110" spans="1:31">
      <c r="C110" s="196"/>
      <c r="D110" s="196"/>
      <c r="E110" s="196"/>
      <c r="F110" s="196"/>
      <c r="G110" s="196"/>
      <c r="H110" s="196"/>
      <c r="I110" s="196"/>
      <c r="J110" s="196"/>
    </row>
    <row r="111" spans="1:31">
      <c r="C111" s="196"/>
      <c r="D111" s="196"/>
      <c r="E111" s="196"/>
      <c r="F111" s="196"/>
      <c r="G111" s="196"/>
      <c r="H111" s="196"/>
      <c r="I111" s="196"/>
      <c r="J111" s="196"/>
    </row>
    <row r="112" spans="1:31">
      <c r="C112" s="196"/>
      <c r="D112" s="196"/>
      <c r="E112" s="196"/>
      <c r="F112" s="196"/>
      <c r="G112" s="196"/>
      <c r="H112" s="196"/>
      <c r="I112" s="196"/>
      <c r="J112" s="196"/>
    </row>
    <row r="113" spans="3:10">
      <c r="C113" s="196"/>
      <c r="D113" s="196"/>
      <c r="E113" s="196"/>
      <c r="F113" s="196"/>
      <c r="G113" s="196"/>
      <c r="H113" s="196"/>
      <c r="I113" s="196"/>
      <c r="J113" s="196"/>
    </row>
    <row r="114" spans="3:10">
      <c r="C114" s="196"/>
      <c r="D114" s="196"/>
      <c r="E114" s="196"/>
      <c r="F114" s="196"/>
      <c r="G114" s="196"/>
      <c r="H114" s="196"/>
      <c r="I114" s="196"/>
      <c r="J114" s="196"/>
    </row>
    <row r="115" spans="3:10">
      <c r="C115" s="196"/>
      <c r="D115" s="196"/>
      <c r="E115" s="196"/>
      <c r="F115" s="196"/>
      <c r="G115" s="196"/>
      <c r="H115" s="196"/>
      <c r="I115" s="196"/>
      <c r="J115" s="196"/>
    </row>
    <row r="116" spans="3:10">
      <c r="C116" s="196"/>
      <c r="D116" s="196"/>
      <c r="E116" s="196"/>
      <c r="F116" s="196"/>
      <c r="G116" s="196"/>
      <c r="H116" s="196"/>
      <c r="I116" s="196"/>
      <c r="J116" s="196"/>
    </row>
    <row r="117" spans="3:10">
      <c r="C117" s="196"/>
      <c r="D117" s="196"/>
      <c r="E117" s="196"/>
      <c r="F117" s="196"/>
      <c r="G117" s="196"/>
      <c r="H117" s="196"/>
      <c r="I117" s="196"/>
      <c r="J117" s="196"/>
    </row>
    <row r="118" spans="3:10">
      <c r="C118" s="196"/>
      <c r="D118" s="196"/>
      <c r="E118" s="196"/>
      <c r="F118" s="196"/>
      <c r="G118" s="196"/>
      <c r="H118" s="196"/>
      <c r="I118" s="196"/>
      <c r="J118" s="196"/>
    </row>
    <row r="119" spans="3:10">
      <c r="C119" s="196"/>
      <c r="D119" s="196"/>
      <c r="E119" s="196"/>
      <c r="F119" s="196"/>
      <c r="G119" s="196"/>
      <c r="H119" s="196"/>
      <c r="I119" s="196"/>
      <c r="J119" s="196"/>
    </row>
    <row r="120" spans="3:10">
      <c r="C120" s="196"/>
      <c r="D120" s="196"/>
      <c r="E120" s="196"/>
      <c r="F120" s="196"/>
      <c r="G120" s="196"/>
      <c r="H120" s="196"/>
      <c r="I120" s="196"/>
      <c r="J120" s="196"/>
    </row>
    <row r="121" spans="3:10">
      <c r="C121" s="196"/>
      <c r="D121" s="196"/>
      <c r="E121" s="196"/>
      <c r="F121" s="196"/>
      <c r="G121" s="196"/>
      <c r="H121" s="196"/>
      <c r="I121" s="196"/>
      <c r="J121" s="196"/>
    </row>
    <row r="122" spans="3:10">
      <c r="C122" s="196"/>
      <c r="D122" s="196"/>
      <c r="E122" s="196"/>
      <c r="F122" s="196"/>
      <c r="G122" s="196"/>
      <c r="H122" s="196"/>
      <c r="I122" s="196"/>
      <c r="J122" s="196"/>
    </row>
    <row r="123" spans="3:10">
      <c r="C123" s="196"/>
      <c r="D123" s="196"/>
      <c r="E123" s="196"/>
      <c r="F123" s="196"/>
      <c r="G123" s="196"/>
      <c r="H123" s="196"/>
      <c r="I123" s="196"/>
      <c r="J123" s="196"/>
    </row>
    <row r="124" spans="3:10">
      <c r="C124" s="196"/>
      <c r="D124" s="196"/>
      <c r="E124" s="196"/>
      <c r="F124" s="196"/>
      <c r="G124" s="196"/>
      <c r="H124" s="196"/>
      <c r="I124" s="196"/>
      <c r="J124" s="196"/>
    </row>
    <row r="125" spans="3:10">
      <c r="C125" s="196"/>
      <c r="D125" s="196"/>
      <c r="E125" s="196"/>
      <c r="F125" s="196"/>
      <c r="G125" s="196"/>
      <c r="H125" s="196"/>
      <c r="I125" s="196"/>
      <c r="J125" s="196"/>
    </row>
    <row r="126" spans="3:10">
      <c r="C126" s="196"/>
      <c r="D126" s="196"/>
      <c r="E126" s="196"/>
      <c r="F126" s="196"/>
      <c r="G126" s="196"/>
      <c r="H126" s="196"/>
      <c r="I126" s="196"/>
      <c r="J126" s="196"/>
    </row>
    <row r="127" spans="3:10">
      <c r="C127" s="196"/>
      <c r="D127" s="196"/>
      <c r="E127" s="196"/>
      <c r="F127" s="196"/>
      <c r="G127" s="196"/>
      <c r="H127" s="196"/>
      <c r="I127" s="196"/>
      <c r="J127" s="196"/>
    </row>
    <row r="128" spans="3:10">
      <c r="C128" s="196"/>
      <c r="D128" s="196"/>
      <c r="E128" s="196"/>
      <c r="F128" s="196"/>
      <c r="G128" s="196"/>
      <c r="H128" s="196"/>
      <c r="I128" s="196"/>
      <c r="J128" s="196"/>
    </row>
    <row r="129" spans="3:10">
      <c r="C129" s="196"/>
      <c r="D129" s="196"/>
      <c r="E129" s="196"/>
      <c r="F129" s="196"/>
      <c r="G129" s="196"/>
      <c r="H129" s="196"/>
      <c r="I129" s="196"/>
      <c r="J129" s="196"/>
    </row>
    <row r="130" spans="3:10">
      <c r="C130" s="196"/>
      <c r="D130" s="196"/>
      <c r="E130" s="196"/>
      <c r="F130" s="196"/>
      <c r="G130" s="196"/>
      <c r="H130" s="196"/>
      <c r="I130" s="196"/>
      <c r="J130" s="196"/>
    </row>
    <row r="131" spans="3:10">
      <c r="C131" s="196"/>
      <c r="D131" s="196"/>
      <c r="E131" s="196"/>
      <c r="F131" s="196"/>
      <c r="G131" s="196"/>
      <c r="H131" s="196"/>
      <c r="I131" s="196"/>
      <c r="J131" s="196"/>
    </row>
    <row r="132" spans="3:10">
      <c r="C132" s="196"/>
      <c r="D132" s="196"/>
      <c r="E132" s="196"/>
      <c r="F132" s="196"/>
      <c r="G132" s="196"/>
      <c r="H132" s="196"/>
      <c r="I132" s="196"/>
      <c r="J132" s="196"/>
    </row>
    <row r="133" spans="3:10">
      <c r="C133" s="196"/>
      <c r="D133" s="196"/>
      <c r="E133" s="196"/>
      <c r="F133" s="196"/>
      <c r="G133" s="196"/>
      <c r="H133" s="196"/>
      <c r="I133" s="196"/>
      <c r="J133" s="196"/>
    </row>
    <row r="134" spans="3:10">
      <c r="C134" s="196"/>
      <c r="D134" s="196"/>
      <c r="E134" s="196"/>
      <c r="F134" s="196"/>
      <c r="G134" s="196"/>
      <c r="H134" s="196"/>
      <c r="I134" s="196"/>
      <c r="J134" s="196"/>
    </row>
    <row r="135" spans="3:10">
      <c r="C135" s="196"/>
      <c r="D135" s="196"/>
      <c r="E135" s="196"/>
      <c r="F135" s="196"/>
      <c r="G135" s="196"/>
      <c r="H135" s="196"/>
      <c r="I135" s="196"/>
      <c r="J135" s="196"/>
    </row>
    <row r="136" spans="3:10">
      <c r="C136" s="196"/>
      <c r="D136" s="196"/>
      <c r="E136" s="196"/>
      <c r="F136" s="196"/>
      <c r="G136" s="196"/>
      <c r="H136" s="196"/>
      <c r="I136" s="196"/>
      <c r="J136" s="196"/>
    </row>
    <row r="137" spans="3:10">
      <c r="C137" s="196"/>
      <c r="D137" s="196"/>
      <c r="E137" s="196"/>
      <c r="F137" s="196"/>
      <c r="G137" s="196"/>
      <c r="H137" s="196"/>
      <c r="I137" s="196"/>
      <c r="J137" s="196"/>
    </row>
    <row r="138" spans="3:10">
      <c r="C138" s="196"/>
      <c r="D138" s="196"/>
      <c r="E138" s="196"/>
      <c r="F138" s="196"/>
      <c r="G138" s="196"/>
      <c r="H138" s="196"/>
      <c r="I138" s="196"/>
      <c r="J138" s="196"/>
    </row>
    <row r="139" spans="3:10">
      <c r="C139" s="196"/>
      <c r="D139" s="196"/>
      <c r="E139" s="196"/>
      <c r="F139" s="196"/>
      <c r="G139" s="196"/>
      <c r="H139" s="196"/>
      <c r="I139" s="196"/>
      <c r="J139" s="196"/>
    </row>
    <row r="140" spans="3:10">
      <c r="C140" s="196"/>
      <c r="D140" s="196"/>
      <c r="E140" s="196"/>
      <c r="F140" s="196"/>
      <c r="G140" s="196"/>
      <c r="H140" s="196"/>
      <c r="I140" s="196"/>
      <c r="J140" s="196"/>
    </row>
    <row r="141" spans="3:10">
      <c r="C141" s="196"/>
      <c r="D141" s="196"/>
      <c r="E141" s="196"/>
      <c r="F141" s="196"/>
      <c r="G141" s="196"/>
      <c r="H141" s="196"/>
      <c r="I141" s="196"/>
      <c r="J141" s="196"/>
    </row>
    <row r="142" spans="3:10">
      <c r="C142" s="196"/>
      <c r="D142" s="196"/>
      <c r="E142" s="196"/>
      <c r="F142" s="196"/>
      <c r="G142" s="196"/>
      <c r="H142" s="196"/>
      <c r="I142" s="196"/>
      <c r="J142" s="196"/>
    </row>
    <row r="143" spans="3:10">
      <c r="C143" s="196"/>
      <c r="D143" s="196"/>
      <c r="E143" s="196"/>
      <c r="F143" s="196"/>
      <c r="G143" s="196"/>
      <c r="H143" s="196"/>
      <c r="I143" s="196"/>
      <c r="J143" s="196"/>
    </row>
    <row r="144" spans="3:10">
      <c r="C144" s="196"/>
      <c r="D144" s="196"/>
      <c r="E144" s="196"/>
      <c r="F144" s="196"/>
      <c r="G144" s="196"/>
      <c r="H144" s="196"/>
      <c r="I144" s="196"/>
      <c r="J144" s="196"/>
    </row>
    <row r="145" spans="3:10">
      <c r="C145" s="196"/>
      <c r="D145" s="196"/>
      <c r="E145" s="196"/>
      <c r="F145" s="196"/>
      <c r="G145" s="196"/>
      <c r="H145" s="196"/>
      <c r="I145" s="196"/>
      <c r="J145" s="196"/>
    </row>
    <row r="146" spans="3:10">
      <c r="C146" s="196"/>
      <c r="D146" s="196"/>
      <c r="E146" s="196"/>
      <c r="F146" s="196"/>
      <c r="G146" s="196"/>
      <c r="H146" s="196"/>
      <c r="I146" s="196"/>
      <c r="J146" s="196"/>
    </row>
    <row r="147" spans="3:10">
      <c r="C147" s="196"/>
      <c r="D147" s="196"/>
      <c r="E147" s="196"/>
      <c r="F147" s="196"/>
      <c r="G147" s="196"/>
      <c r="H147" s="196"/>
      <c r="I147" s="196"/>
      <c r="J147" s="196"/>
    </row>
    <row r="148" spans="3:10">
      <c r="C148" s="196"/>
      <c r="D148" s="196"/>
      <c r="E148" s="196"/>
      <c r="F148" s="196"/>
      <c r="G148" s="196"/>
      <c r="H148" s="196"/>
      <c r="I148" s="196"/>
      <c r="J148" s="196"/>
    </row>
    <row r="149" spans="3:10">
      <c r="C149" s="196"/>
      <c r="D149" s="196"/>
      <c r="E149" s="196"/>
      <c r="F149" s="196"/>
      <c r="G149" s="196"/>
      <c r="H149" s="196"/>
      <c r="I149" s="196"/>
      <c r="J149" s="196"/>
    </row>
    <row r="150" spans="3:10">
      <c r="C150" s="196"/>
      <c r="D150" s="196"/>
      <c r="E150" s="196"/>
      <c r="F150" s="196"/>
      <c r="G150" s="196"/>
      <c r="H150" s="196"/>
      <c r="I150" s="196"/>
      <c r="J150" s="196"/>
    </row>
    <row r="151" spans="3:10">
      <c r="C151" s="196"/>
      <c r="D151" s="196"/>
      <c r="E151" s="196"/>
      <c r="F151" s="196"/>
      <c r="G151" s="196"/>
      <c r="H151" s="196"/>
      <c r="I151" s="196"/>
      <c r="J151" s="196"/>
    </row>
    <row r="152" spans="3:10">
      <c r="C152" s="196"/>
      <c r="D152" s="196"/>
      <c r="E152" s="196"/>
      <c r="F152" s="196"/>
      <c r="G152" s="196"/>
      <c r="H152" s="196"/>
      <c r="I152" s="196"/>
      <c r="J152" s="196"/>
    </row>
    <row r="153" spans="3:10">
      <c r="C153" s="196"/>
      <c r="D153" s="196"/>
      <c r="E153" s="196"/>
      <c r="F153" s="196"/>
      <c r="G153" s="196"/>
      <c r="H153" s="196"/>
      <c r="I153" s="196"/>
      <c r="J153" s="196"/>
    </row>
    <row r="154" spans="3:10">
      <c r="C154" s="196"/>
      <c r="D154" s="196"/>
      <c r="E154" s="196"/>
      <c r="F154" s="196"/>
      <c r="G154" s="196"/>
      <c r="H154" s="196"/>
      <c r="I154" s="196"/>
      <c r="J154" s="196"/>
    </row>
    <row r="155" spans="3:10">
      <c r="C155" s="196"/>
      <c r="D155" s="196"/>
      <c r="E155" s="196"/>
      <c r="F155" s="196"/>
      <c r="G155" s="196"/>
      <c r="H155" s="196"/>
      <c r="I155" s="196"/>
      <c r="J155" s="196"/>
    </row>
    <row r="156" spans="3:10">
      <c r="C156" s="196"/>
      <c r="D156" s="196"/>
      <c r="E156" s="196"/>
      <c r="F156" s="196"/>
      <c r="G156" s="196"/>
      <c r="H156" s="196"/>
      <c r="I156" s="196"/>
      <c r="J156" s="196"/>
    </row>
    <row r="157" spans="3:10">
      <c r="C157" s="196"/>
      <c r="D157" s="196"/>
      <c r="E157" s="196"/>
      <c r="F157" s="196"/>
      <c r="G157" s="196"/>
      <c r="H157" s="196"/>
      <c r="I157" s="196"/>
      <c r="J157" s="196"/>
    </row>
    <row r="158" spans="3:10">
      <c r="C158" s="196"/>
      <c r="D158" s="196"/>
      <c r="E158" s="196"/>
      <c r="F158" s="196"/>
      <c r="G158" s="196"/>
      <c r="H158" s="196"/>
      <c r="I158" s="196"/>
      <c r="J158" s="196"/>
    </row>
    <row r="159" spans="3:10">
      <c r="C159" s="196"/>
      <c r="D159" s="196"/>
      <c r="E159" s="196"/>
      <c r="F159" s="196"/>
      <c r="G159" s="196"/>
      <c r="H159" s="196"/>
      <c r="I159" s="196"/>
      <c r="J159" s="196"/>
    </row>
    <row r="160" spans="3:10">
      <c r="C160" s="196"/>
      <c r="D160" s="196"/>
      <c r="E160" s="196"/>
      <c r="F160" s="196"/>
      <c r="G160" s="196"/>
      <c r="H160" s="196"/>
      <c r="I160" s="196"/>
      <c r="J160" s="196"/>
    </row>
    <row r="161" spans="3:10">
      <c r="C161" s="196"/>
      <c r="D161" s="196"/>
      <c r="E161" s="196"/>
      <c r="F161" s="196"/>
      <c r="G161" s="196"/>
      <c r="H161" s="196"/>
      <c r="I161" s="196"/>
      <c r="J161" s="196"/>
    </row>
    <row r="162" spans="3:10">
      <c r="C162" s="196"/>
      <c r="D162" s="196"/>
      <c r="E162" s="196"/>
      <c r="F162" s="196"/>
      <c r="G162" s="196"/>
      <c r="H162" s="196"/>
      <c r="I162" s="196"/>
      <c r="J162" s="196"/>
    </row>
    <row r="163" spans="3:10">
      <c r="C163" s="196"/>
      <c r="D163" s="196"/>
      <c r="E163" s="196"/>
      <c r="F163" s="196"/>
      <c r="G163" s="196"/>
      <c r="H163" s="196"/>
      <c r="I163" s="196"/>
      <c r="J163" s="196"/>
    </row>
    <row r="164" spans="3:10">
      <c r="C164" s="196"/>
      <c r="D164" s="196"/>
      <c r="E164" s="196"/>
      <c r="F164" s="196"/>
      <c r="G164" s="196"/>
      <c r="H164" s="196"/>
      <c r="I164" s="196"/>
      <c r="J164" s="196"/>
    </row>
    <row r="165" spans="3:10">
      <c r="C165" s="196"/>
      <c r="D165" s="196"/>
      <c r="E165" s="196"/>
      <c r="F165" s="196"/>
      <c r="G165" s="196"/>
      <c r="H165" s="196"/>
      <c r="I165" s="196"/>
      <c r="J165" s="196"/>
    </row>
    <row r="166" spans="3:10">
      <c r="C166" s="196"/>
      <c r="D166" s="196"/>
      <c r="E166" s="196"/>
      <c r="F166" s="196"/>
      <c r="G166" s="196"/>
      <c r="H166" s="196"/>
      <c r="I166" s="196"/>
      <c r="J166" s="196"/>
    </row>
    <row r="167" spans="3:10">
      <c r="C167" s="196"/>
      <c r="D167" s="196"/>
      <c r="E167" s="196"/>
      <c r="F167" s="196"/>
      <c r="G167" s="196"/>
      <c r="H167" s="196"/>
      <c r="I167" s="196"/>
      <c r="J167" s="196"/>
    </row>
    <row r="168" spans="3:10">
      <c r="C168" s="196"/>
      <c r="D168" s="196"/>
      <c r="E168" s="196"/>
      <c r="F168" s="196"/>
      <c r="G168" s="196"/>
      <c r="H168" s="196"/>
      <c r="I168" s="196"/>
      <c r="J168" s="196"/>
    </row>
    <row r="169" spans="3:10">
      <c r="C169" s="196"/>
      <c r="D169" s="196"/>
      <c r="E169" s="196"/>
      <c r="F169" s="196"/>
      <c r="G169" s="196"/>
      <c r="H169" s="196"/>
      <c r="I169" s="196"/>
      <c r="J169" s="196"/>
    </row>
    <row r="170" spans="3:10">
      <c r="C170" s="196"/>
      <c r="D170" s="196"/>
      <c r="E170" s="196"/>
      <c r="F170" s="196"/>
      <c r="G170" s="196"/>
      <c r="H170" s="196"/>
      <c r="I170" s="196"/>
      <c r="J170" s="196"/>
    </row>
    <row r="171" spans="3:10">
      <c r="C171" s="196"/>
      <c r="D171" s="196"/>
      <c r="E171" s="196"/>
      <c r="F171" s="196"/>
      <c r="G171" s="196"/>
      <c r="H171" s="196"/>
      <c r="I171" s="196"/>
      <c r="J171" s="196"/>
    </row>
    <row r="172" spans="3:10">
      <c r="C172" s="196"/>
      <c r="D172" s="196"/>
      <c r="E172" s="196"/>
      <c r="F172" s="196"/>
      <c r="G172" s="196"/>
      <c r="H172" s="196"/>
      <c r="I172" s="196"/>
      <c r="J172" s="196"/>
    </row>
    <row r="173" spans="3:10">
      <c r="C173" s="196"/>
      <c r="D173" s="196"/>
      <c r="E173" s="196"/>
      <c r="F173" s="196"/>
      <c r="G173" s="196"/>
      <c r="H173" s="196"/>
      <c r="I173" s="196"/>
      <c r="J173" s="196"/>
    </row>
    <row r="174" spans="3:10">
      <c r="C174" s="196"/>
      <c r="D174" s="196"/>
      <c r="E174" s="196"/>
      <c r="F174" s="196"/>
      <c r="G174" s="196"/>
      <c r="H174" s="196"/>
      <c r="I174" s="196"/>
      <c r="J174" s="196"/>
    </row>
    <row r="175" spans="3:10">
      <c r="C175" s="196"/>
      <c r="D175" s="196"/>
      <c r="E175" s="196"/>
      <c r="F175" s="196"/>
      <c r="G175" s="196"/>
      <c r="H175" s="196"/>
      <c r="I175" s="196"/>
      <c r="J175" s="196"/>
    </row>
    <row r="176" spans="3:10">
      <c r="C176" s="196"/>
      <c r="D176" s="196"/>
      <c r="E176" s="196"/>
      <c r="F176" s="196"/>
      <c r="G176" s="196"/>
      <c r="H176" s="196"/>
      <c r="I176" s="196"/>
      <c r="J176" s="196"/>
    </row>
    <row r="177" spans="3:10">
      <c r="C177" s="196"/>
      <c r="D177" s="196"/>
      <c r="E177" s="196"/>
      <c r="F177" s="196"/>
      <c r="G177" s="196"/>
      <c r="H177" s="196"/>
      <c r="I177" s="196"/>
      <c r="J177" s="196"/>
    </row>
    <row r="178" spans="3:10">
      <c r="C178" s="196"/>
      <c r="D178" s="196"/>
      <c r="E178" s="196"/>
      <c r="F178" s="196"/>
      <c r="G178" s="196"/>
      <c r="H178" s="196"/>
      <c r="I178" s="196"/>
      <c r="J178" s="196"/>
    </row>
    <row r="179" spans="3:10">
      <c r="C179" s="196"/>
      <c r="D179" s="196"/>
      <c r="E179" s="196"/>
      <c r="F179" s="196"/>
      <c r="G179" s="196"/>
      <c r="H179" s="196"/>
      <c r="I179" s="196"/>
      <c r="J179" s="196"/>
    </row>
    <row r="180" spans="3:10">
      <c r="C180" s="196"/>
      <c r="D180" s="196"/>
      <c r="E180" s="196"/>
      <c r="F180" s="196"/>
      <c r="G180" s="196"/>
      <c r="H180" s="196"/>
      <c r="I180" s="196"/>
      <c r="J180" s="196"/>
    </row>
    <row r="181" spans="3:10">
      <c r="C181" s="196"/>
      <c r="D181" s="196"/>
      <c r="E181" s="196"/>
      <c r="F181" s="196"/>
      <c r="G181" s="196"/>
      <c r="H181" s="196"/>
      <c r="I181" s="196"/>
      <c r="J181" s="196"/>
    </row>
    <row r="182" spans="3:10">
      <c r="C182" s="196"/>
      <c r="D182" s="196"/>
      <c r="E182" s="196"/>
      <c r="F182" s="196"/>
      <c r="G182" s="196"/>
      <c r="H182" s="196"/>
      <c r="I182" s="196"/>
      <c r="J182" s="196"/>
    </row>
    <row r="183" spans="3:10">
      <c r="C183" s="196"/>
      <c r="D183" s="196"/>
      <c r="E183" s="196"/>
      <c r="F183" s="196"/>
      <c r="G183" s="196"/>
      <c r="H183" s="196"/>
      <c r="I183" s="196"/>
      <c r="J183" s="196"/>
    </row>
    <row r="184" spans="3:10">
      <c r="C184" s="196"/>
      <c r="D184" s="196"/>
      <c r="E184" s="196"/>
      <c r="F184" s="196"/>
      <c r="G184" s="196"/>
      <c r="H184" s="196"/>
      <c r="I184" s="196"/>
      <c r="J184" s="196"/>
    </row>
    <row r="185" spans="3:10">
      <c r="C185" s="196"/>
      <c r="D185" s="196"/>
      <c r="E185" s="196"/>
      <c r="F185" s="196"/>
      <c r="G185" s="196"/>
      <c r="H185" s="196"/>
      <c r="I185" s="196"/>
      <c r="J185" s="196"/>
    </row>
    <row r="186" spans="3:10">
      <c r="C186" s="196"/>
      <c r="D186" s="196"/>
      <c r="E186" s="196"/>
      <c r="F186" s="196"/>
      <c r="G186" s="196"/>
      <c r="H186" s="196"/>
      <c r="I186" s="196"/>
      <c r="J186" s="196"/>
    </row>
    <row r="187" spans="3:10">
      <c r="C187" s="196"/>
      <c r="D187" s="196"/>
      <c r="E187" s="196"/>
      <c r="F187" s="196"/>
      <c r="G187" s="196"/>
      <c r="H187" s="196"/>
      <c r="I187" s="196"/>
      <c r="J187" s="196"/>
    </row>
    <row r="188" spans="3:10">
      <c r="C188" s="196"/>
      <c r="D188" s="196"/>
      <c r="E188" s="196"/>
      <c r="F188" s="196"/>
      <c r="G188" s="196"/>
      <c r="H188" s="196"/>
      <c r="I188" s="196"/>
      <c r="J188" s="196"/>
    </row>
    <row r="189" spans="3:10">
      <c r="C189" s="196"/>
      <c r="D189" s="196"/>
      <c r="E189" s="196"/>
      <c r="F189" s="196"/>
      <c r="G189" s="196"/>
      <c r="H189" s="196"/>
      <c r="I189" s="196"/>
      <c r="J189" s="196"/>
    </row>
    <row r="190" spans="3:10">
      <c r="C190" s="196"/>
      <c r="D190" s="196"/>
      <c r="E190" s="196"/>
      <c r="F190" s="196"/>
      <c r="G190" s="196"/>
      <c r="H190" s="196"/>
      <c r="I190" s="196"/>
      <c r="J190" s="196"/>
    </row>
    <row r="191" spans="3:10">
      <c r="C191" s="196"/>
      <c r="D191" s="196"/>
      <c r="E191" s="196"/>
      <c r="F191" s="196"/>
      <c r="G191" s="196"/>
      <c r="H191" s="196"/>
      <c r="I191" s="196"/>
      <c r="J191" s="196"/>
    </row>
    <row r="192" spans="3:10">
      <c r="C192" s="196"/>
      <c r="D192" s="196"/>
      <c r="E192" s="196"/>
      <c r="F192" s="196"/>
      <c r="G192" s="196"/>
      <c r="H192" s="196"/>
      <c r="I192" s="196"/>
      <c r="J192" s="196"/>
    </row>
    <row r="193" spans="3:10">
      <c r="C193" s="196"/>
      <c r="D193" s="196"/>
      <c r="E193" s="196"/>
      <c r="F193" s="196"/>
      <c r="G193" s="196"/>
      <c r="H193" s="196"/>
      <c r="I193" s="196"/>
      <c r="J193" s="196"/>
    </row>
    <row r="194" spans="3:10">
      <c r="C194" s="196"/>
      <c r="D194" s="196"/>
      <c r="E194" s="196"/>
      <c r="F194" s="196"/>
      <c r="G194" s="196"/>
      <c r="H194" s="196"/>
      <c r="I194" s="196"/>
      <c r="J194" s="196"/>
    </row>
    <row r="195" spans="3:10">
      <c r="C195" s="196"/>
      <c r="D195" s="196"/>
      <c r="E195" s="196"/>
      <c r="F195" s="196"/>
      <c r="G195" s="196"/>
      <c r="H195" s="196"/>
      <c r="I195" s="196"/>
      <c r="J195" s="196"/>
    </row>
    <row r="196" spans="3:10">
      <c r="C196" s="196"/>
      <c r="D196" s="196"/>
      <c r="E196" s="196"/>
      <c r="F196" s="196"/>
      <c r="G196" s="196"/>
      <c r="H196" s="196"/>
      <c r="I196" s="196"/>
      <c r="J196" s="196"/>
    </row>
    <row r="197" spans="3:10">
      <c r="C197" s="196"/>
      <c r="D197" s="196"/>
      <c r="E197" s="196"/>
      <c r="F197" s="196"/>
      <c r="G197" s="196"/>
      <c r="H197" s="196"/>
      <c r="I197" s="196"/>
      <c r="J197" s="196"/>
    </row>
    <row r="198" spans="3:10">
      <c r="C198" s="196"/>
      <c r="D198" s="196"/>
      <c r="E198" s="196"/>
      <c r="F198" s="196"/>
      <c r="G198" s="196"/>
      <c r="H198" s="196"/>
      <c r="I198" s="196"/>
      <c r="J198" s="196"/>
    </row>
    <row r="199" spans="3:10">
      <c r="C199" s="196"/>
      <c r="D199" s="196"/>
      <c r="E199" s="196"/>
      <c r="F199" s="196"/>
      <c r="G199" s="196"/>
      <c r="H199" s="196"/>
      <c r="I199" s="196"/>
      <c r="J199" s="196"/>
    </row>
    <row r="200" spans="3:10">
      <c r="C200" s="196"/>
      <c r="D200" s="196"/>
      <c r="E200" s="196"/>
      <c r="F200" s="196"/>
      <c r="G200" s="196"/>
      <c r="H200" s="196"/>
      <c r="I200" s="196"/>
      <c r="J200" s="196"/>
    </row>
    <row r="201" spans="3:10">
      <c r="C201" s="196"/>
      <c r="D201" s="196"/>
      <c r="E201" s="196"/>
      <c r="F201" s="196"/>
      <c r="G201" s="196"/>
      <c r="H201" s="196"/>
      <c r="I201" s="196"/>
      <c r="J201" s="196"/>
    </row>
    <row r="202" spans="3:10">
      <c r="C202" s="196"/>
      <c r="D202" s="196"/>
      <c r="E202" s="196"/>
      <c r="F202" s="196"/>
      <c r="G202" s="196"/>
      <c r="H202" s="196"/>
      <c r="I202" s="196"/>
      <c r="J202" s="196"/>
    </row>
    <row r="203" spans="3:10">
      <c r="C203" s="196"/>
      <c r="D203" s="196"/>
      <c r="E203" s="196"/>
      <c r="F203" s="196"/>
      <c r="G203" s="196"/>
      <c r="H203" s="196"/>
      <c r="I203" s="196"/>
      <c r="J203" s="196"/>
    </row>
    <row r="204" spans="3:10">
      <c r="C204" s="196"/>
      <c r="D204" s="196"/>
      <c r="E204" s="196"/>
      <c r="F204" s="196"/>
      <c r="G204" s="196"/>
      <c r="H204" s="196"/>
      <c r="I204" s="196"/>
      <c r="J204" s="196"/>
    </row>
    <row r="205" spans="3:10">
      <c r="C205" s="196"/>
      <c r="D205" s="196"/>
      <c r="E205" s="196"/>
      <c r="F205" s="196"/>
      <c r="G205" s="196"/>
      <c r="H205" s="196"/>
      <c r="I205" s="196"/>
      <c r="J205" s="196"/>
    </row>
    <row r="206" spans="3:10">
      <c r="C206" s="196"/>
      <c r="D206" s="196"/>
      <c r="E206" s="196"/>
      <c r="F206" s="196"/>
      <c r="G206" s="196"/>
      <c r="H206" s="196"/>
      <c r="I206" s="196"/>
      <c r="J206" s="196"/>
    </row>
    <row r="207" spans="3:10">
      <c r="C207" s="196"/>
      <c r="D207" s="196"/>
      <c r="E207" s="196"/>
      <c r="F207" s="196"/>
      <c r="G207" s="196"/>
      <c r="H207" s="196"/>
      <c r="I207" s="196"/>
      <c r="J207" s="196"/>
    </row>
    <row r="208" spans="3:10">
      <c r="C208" s="196"/>
      <c r="D208" s="196"/>
      <c r="E208" s="196"/>
      <c r="F208" s="196"/>
      <c r="G208" s="196"/>
      <c r="H208" s="196"/>
      <c r="I208" s="196"/>
      <c r="J208" s="196"/>
    </row>
    <row r="209" spans="3:10">
      <c r="C209" s="196"/>
      <c r="D209" s="196"/>
      <c r="E209" s="196"/>
      <c r="F209" s="196"/>
      <c r="G209" s="196"/>
      <c r="H209" s="196"/>
      <c r="I209" s="196"/>
      <c r="J209" s="196"/>
    </row>
    <row r="210" spans="3:10">
      <c r="C210" s="196"/>
      <c r="D210" s="196"/>
      <c r="E210" s="196"/>
      <c r="F210" s="196"/>
      <c r="G210" s="196"/>
      <c r="H210" s="196"/>
      <c r="I210" s="196"/>
      <c r="J210" s="196"/>
    </row>
    <row r="211" spans="3:10">
      <c r="C211" s="196"/>
      <c r="D211" s="196"/>
      <c r="E211" s="196"/>
      <c r="F211" s="196"/>
      <c r="G211" s="196"/>
      <c r="H211" s="196"/>
      <c r="I211" s="196"/>
      <c r="J211" s="196"/>
    </row>
    <row r="212" spans="3:10">
      <c r="C212" s="196"/>
      <c r="D212" s="196"/>
      <c r="E212" s="196"/>
      <c r="F212" s="196"/>
      <c r="G212" s="196"/>
      <c r="H212" s="196"/>
      <c r="I212" s="196"/>
      <c r="J212" s="196"/>
    </row>
    <row r="213" spans="3:10">
      <c r="C213" s="196"/>
      <c r="D213" s="196"/>
      <c r="E213" s="196"/>
      <c r="F213" s="196"/>
      <c r="G213" s="196"/>
      <c r="H213" s="196"/>
      <c r="I213" s="196"/>
      <c r="J213" s="196"/>
    </row>
    <row r="214" spans="3:10">
      <c r="C214" s="196"/>
      <c r="D214" s="196"/>
      <c r="E214" s="196"/>
      <c r="F214" s="196"/>
      <c r="G214" s="196"/>
      <c r="H214" s="196"/>
      <c r="I214" s="196"/>
      <c r="J214" s="196"/>
    </row>
    <row r="215" spans="3:10">
      <c r="C215" s="196"/>
      <c r="D215" s="196"/>
      <c r="E215" s="196"/>
      <c r="F215" s="196"/>
      <c r="G215" s="196"/>
      <c r="H215" s="196"/>
      <c r="I215" s="196"/>
      <c r="J215" s="196"/>
    </row>
    <row r="216" spans="3:10">
      <c r="C216" s="196"/>
      <c r="D216" s="196"/>
      <c r="E216" s="196"/>
      <c r="F216" s="196"/>
      <c r="G216" s="196"/>
      <c r="H216" s="196"/>
      <c r="I216" s="196"/>
      <c r="J216" s="196"/>
    </row>
    <row r="217" spans="3:10">
      <c r="C217" s="196"/>
      <c r="D217" s="196"/>
      <c r="E217" s="196"/>
      <c r="F217" s="196"/>
      <c r="G217" s="196"/>
      <c r="H217" s="196"/>
      <c r="I217" s="196"/>
      <c r="J217" s="196"/>
    </row>
    <row r="218" spans="3:10">
      <c r="C218" s="196"/>
      <c r="D218" s="196"/>
      <c r="E218" s="196"/>
      <c r="F218" s="196"/>
      <c r="G218" s="196"/>
      <c r="H218" s="196"/>
      <c r="I218" s="196"/>
      <c r="J218" s="196"/>
    </row>
    <row r="219" spans="3:10">
      <c r="C219" s="196"/>
      <c r="D219" s="196"/>
      <c r="E219" s="196"/>
      <c r="F219" s="196"/>
      <c r="G219" s="196"/>
      <c r="H219" s="196"/>
      <c r="I219" s="196"/>
      <c r="J219" s="196"/>
    </row>
    <row r="220" spans="3:10">
      <c r="C220" s="196"/>
      <c r="D220" s="196"/>
      <c r="E220" s="196"/>
      <c r="F220" s="196"/>
      <c r="G220" s="196"/>
      <c r="H220" s="196"/>
      <c r="I220" s="196"/>
      <c r="J220" s="196"/>
    </row>
    <row r="221" spans="3:10">
      <c r="C221" s="196"/>
      <c r="D221" s="196"/>
      <c r="E221" s="196"/>
      <c r="F221" s="196"/>
      <c r="G221" s="196"/>
      <c r="H221" s="196"/>
      <c r="I221" s="196"/>
      <c r="J221" s="196"/>
    </row>
    <row r="222" spans="3:10">
      <c r="C222" s="196"/>
      <c r="D222" s="196"/>
      <c r="E222" s="196"/>
      <c r="F222" s="196"/>
      <c r="G222" s="196"/>
      <c r="H222" s="196"/>
      <c r="I222" s="196"/>
      <c r="J222" s="196"/>
    </row>
    <row r="223" spans="3:10">
      <c r="C223" s="196"/>
      <c r="D223" s="196"/>
      <c r="E223" s="196"/>
      <c r="F223" s="196"/>
      <c r="G223" s="196"/>
      <c r="H223" s="196"/>
      <c r="I223" s="196"/>
      <c r="J223" s="196"/>
    </row>
    <row r="224" spans="3:10">
      <c r="C224" s="196"/>
      <c r="D224" s="196"/>
      <c r="E224" s="196"/>
      <c r="F224" s="196"/>
      <c r="G224" s="196"/>
      <c r="H224" s="196"/>
      <c r="I224" s="196"/>
      <c r="J224" s="196"/>
    </row>
    <row r="225" spans="3:10">
      <c r="C225" s="196"/>
      <c r="D225" s="196"/>
      <c r="E225" s="196"/>
      <c r="F225" s="196"/>
      <c r="G225" s="196"/>
      <c r="H225" s="196"/>
      <c r="I225" s="196"/>
      <c r="J225" s="196"/>
    </row>
    <row r="226" spans="3:10">
      <c r="C226" s="196"/>
      <c r="D226" s="196"/>
      <c r="E226" s="196"/>
      <c r="F226" s="196"/>
      <c r="G226" s="196"/>
      <c r="H226" s="196"/>
      <c r="I226" s="196"/>
      <c r="J226" s="196"/>
    </row>
    <row r="227" spans="3:10">
      <c r="C227" s="196"/>
      <c r="D227" s="196"/>
      <c r="E227" s="196"/>
      <c r="F227" s="196"/>
      <c r="G227" s="196"/>
      <c r="H227" s="196"/>
      <c r="I227" s="196"/>
      <c r="J227" s="196"/>
    </row>
    <row r="228" spans="3:10">
      <c r="C228" s="196"/>
      <c r="D228" s="196"/>
      <c r="E228" s="196"/>
      <c r="F228" s="196"/>
      <c r="G228" s="196"/>
      <c r="H228" s="196"/>
      <c r="I228" s="196"/>
      <c r="J228" s="196"/>
    </row>
    <row r="229" spans="3:10">
      <c r="C229" s="196"/>
      <c r="D229" s="196"/>
      <c r="E229" s="196"/>
      <c r="F229" s="196"/>
      <c r="G229" s="196"/>
      <c r="H229" s="196"/>
      <c r="I229" s="196"/>
      <c r="J229" s="196"/>
    </row>
    <row r="230" spans="3:10">
      <c r="C230" s="196"/>
      <c r="D230" s="196"/>
      <c r="E230" s="196"/>
      <c r="F230" s="196"/>
      <c r="G230" s="196"/>
      <c r="H230" s="196"/>
      <c r="I230" s="196"/>
      <c r="J230" s="196"/>
    </row>
    <row r="231" spans="3:10">
      <c r="C231" s="196"/>
      <c r="D231" s="196"/>
      <c r="E231" s="196"/>
      <c r="F231" s="196"/>
      <c r="G231" s="196"/>
      <c r="H231" s="196"/>
      <c r="I231" s="196"/>
      <c r="J231" s="196"/>
    </row>
    <row r="232" spans="3:10">
      <c r="C232" s="196"/>
      <c r="D232" s="196"/>
      <c r="E232" s="196"/>
      <c r="F232" s="196"/>
      <c r="G232" s="196"/>
      <c r="H232" s="196"/>
      <c r="I232" s="196"/>
      <c r="J232" s="196"/>
    </row>
    <row r="233" spans="3:10">
      <c r="C233" s="196"/>
      <c r="D233" s="196"/>
      <c r="E233" s="196"/>
      <c r="F233" s="196"/>
      <c r="G233" s="196"/>
      <c r="H233" s="196"/>
      <c r="I233" s="196"/>
      <c r="J233" s="196"/>
    </row>
    <row r="234" spans="3:10">
      <c r="C234" s="196"/>
      <c r="D234" s="196"/>
      <c r="E234" s="196"/>
      <c r="F234" s="196"/>
      <c r="G234" s="196"/>
      <c r="H234" s="196"/>
      <c r="I234" s="196"/>
      <c r="J234" s="196"/>
    </row>
    <row r="235" spans="3:10">
      <c r="C235" s="196"/>
      <c r="D235" s="196"/>
      <c r="E235" s="196"/>
      <c r="F235" s="196"/>
      <c r="G235" s="196"/>
      <c r="H235" s="196"/>
      <c r="I235" s="196"/>
      <c r="J235" s="196"/>
    </row>
    <row r="236" spans="3:10">
      <c r="C236" s="196"/>
      <c r="D236" s="196"/>
      <c r="E236" s="196"/>
      <c r="F236" s="196"/>
      <c r="G236" s="196"/>
      <c r="H236" s="196"/>
      <c r="I236" s="196"/>
      <c r="J236" s="196"/>
    </row>
    <row r="237" spans="3:10">
      <c r="C237" s="196"/>
      <c r="D237" s="196"/>
      <c r="E237" s="196"/>
      <c r="F237" s="196"/>
      <c r="G237" s="196"/>
      <c r="H237" s="196"/>
      <c r="I237" s="196"/>
      <c r="J237" s="196"/>
    </row>
    <row r="238" spans="3:10">
      <c r="C238" s="196"/>
      <c r="D238" s="196"/>
      <c r="E238" s="196"/>
      <c r="F238" s="196"/>
      <c r="G238" s="196"/>
      <c r="H238" s="196"/>
      <c r="I238" s="196"/>
      <c r="J238" s="196"/>
    </row>
    <row r="239" spans="3:10">
      <c r="C239" s="196"/>
      <c r="D239" s="196"/>
      <c r="E239" s="196"/>
      <c r="F239" s="196"/>
      <c r="G239" s="196"/>
      <c r="H239" s="196"/>
      <c r="I239" s="196"/>
      <c r="J239" s="196"/>
    </row>
    <row r="240" spans="3:10">
      <c r="C240" s="196"/>
      <c r="D240" s="196"/>
      <c r="E240" s="196"/>
      <c r="F240" s="196"/>
      <c r="G240" s="196"/>
      <c r="H240" s="196"/>
      <c r="I240" s="196"/>
      <c r="J240" s="196"/>
    </row>
    <row r="241" spans="3:10">
      <c r="C241" s="196"/>
      <c r="D241" s="196"/>
      <c r="E241" s="196"/>
      <c r="F241" s="196"/>
      <c r="G241" s="196"/>
      <c r="H241" s="196"/>
      <c r="I241" s="196"/>
      <c r="J241" s="196"/>
    </row>
    <row r="242" spans="3:10">
      <c r="C242" s="196"/>
      <c r="D242" s="196"/>
      <c r="E242" s="196"/>
      <c r="F242" s="196"/>
      <c r="G242" s="196"/>
      <c r="H242" s="196"/>
      <c r="I242" s="196"/>
      <c r="J242" s="196"/>
    </row>
    <row r="243" spans="3:10">
      <c r="C243" s="196"/>
      <c r="D243" s="196"/>
      <c r="E243" s="196"/>
      <c r="F243" s="196"/>
      <c r="G243" s="196"/>
      <c r="H243" s="196"/>
      <c r="I243" s="196"/>
      <c r="J243" s="196"/>
    </row>
    <row r="244" spans="3:10">
      <c r="C244" s="196"/>
      <c r="D244" s="196"/>
      <c r="E244" s="196"/>
      <c r="F244" s="196"/>
      <c r="G244" s="196"/>
      <c r="H244" s="196"/>
      <c r="I244" s="196"/>
      <c r="J244" s="196"/>
    </row>
    <row r="245" spans="3:10">
      <c r="C245" s="196"/>
      <c r="D245" s="196"/>
      <c r="E245" s="196"/>
      <c r="F245" s="196"/>
      <c r="G245" s="196"/>
      <c r="H245" s="196"/>
      <c r="I245" s="196"/>
      <c r="J245" s="196"/>
    </row>
    <row r="246" spans="3:10">
      <c r="C246" s="196"/>
      <c r="D246" s="196"/>
      <c r="E246" s="196"/>
      <c r="F246" s="196"/>
      <c r="G246" s="196"/>
      <c r="H246" s="196"/>
      <c r="I246" s="196"/>
      <c r="J246" s="196"/>
    </row>
    <row r="247" spans="3:10">
      <c r="C247" s="196"/>
      <c r="D247" s="196"/>
      <c r="E247" s="196"/>
      <c r="F247" s="196"/>
      <c r="G247" s="196"/>
      <c r="H247" s="196"/>
      <c r="I247" s="196"/>
      <c r="J247" s="196"/>
    </row>
    <row r="248" spans="3:10">
      <c r="C248" s="196"/>
      <c r="D248" s="196"/>
      <c r="E248" s="196"/>
      <c r="F248" s="196"/>
      <c r="G248" s="196"/>
      <c r="H248" s="196"/>
      <c r="I248" s="196"/>
      <c r="J248" s="196"/>
    </row>
    <row r="249" spans="3:10">
      <c r="C249" s="196"/>
      <c r="D249" s="196"/>
      <c r="E249" s="196"/>
      <c r="F249" s="196"/>
      <c r="G249" s="196"/>
      <c r="H249" s="196"/>
      <c r="I249" s="196"/>
      <c r="J249" s="196"/>
    </row>
    <row r="250" spans="3:10">
      <c r="C250" s="196"/>
      <c r="D250" s="196"/>
      <c r="E250" s="196"/>
      <c r="F250" s="196"/>
      <c r="G250" s="196"/>
      <c r="H250" s="196"/>
      <c r="I250" s="196"/>
      <c r="J250" s="196"/>
    </row>
    <row r="251" spans="3:10">
      <c r="C251" s="196"/>
      <c r="D251" s="196"/>
      <c r="E251" s="196"/>
      <c r="F251" s="196"/>
      <c r="G251" s="196"/>
      <c r="H251" s="196"/>
      <c r="I251" s="196"/>
      <c r="J251" s="196"/>
    </row>
    <row r="252" spans="3:10">
      <c r="C252" s="196"/>
      <c r="D252" s="196"/>
      <c r="E252" s="196"/>
      <c r="F252" s="196"/>
      <c r="G252" s="196"/>
      <c r="H252" s="196"/>
      <c r="I252" s="196"/>
      <c r="J252" s="196"/>
    </row>
    <row r="253" spans="3:10">
      <c r="C253" s="196"/>
      <c r="D253" s="196"/>
      <c r="E253" s="196"/>
      <c r="F253" s="196"/>
      <c r="G253" s="196"/>
      <c r="H253" s="196"/>
      <c r="I253" s="196"/>
      <c r="J253" s="196"/>
    </row>
    <row r="254" spans="3:10">
      <c r="C254" s="196"/>
      <c r="D254" s="196"/>
      <c r="E254" s="196"/>
      <c r="F254" s="196"/>
      <c r="G254" s="196"/>
      <c r="H254" s="196"/>
      <c r="I254" s="196"/>
      <c r="J254" s="196"/>
    </row>
    <row r="255" spans="3:10">
      <c r="C255" s="196"/>
      <c r="D255" s="196"/>
      <c r="E255" s="196"/>
      <c r="F255" s="196"/>
      <c r="G255" s="196"/>
      <c r="H255" s="196"/>
      <c r="I255" s="196"/>
      <c r="J255" s="196"/>
    </row>
    <row r="256" spans="3:10">
      <c r="C256" s="196"/>
      <c r="D256" s="196"/>
      <c r="E256" s="196"/>
      <c r="F256" s="196"/>
      <c r="G256" s="196"/>
      <c r="H256" s="196"/>
      <c r="I256" s="196"/>
      <c r="J256" s="196"/>
    </row>
    <row r="257" spans="3:10">
      <c r="C257" s="196"/>
      <c r="D257" s="196"/>
      <c r="E257" s="196"/>
      <c r="F257" s="196"/>
      <c r="G257" s="196"/>
      <c r="H257" s="196"/>
      <c r="I257" s="196"/>
      <c r="J257" s="196"/>
    </row>
    <row r="258" spans="3:10">
      <c r="C258" s="196"/>
      <c r="D258" s="196"/>
      <c r="E258" s="196"/>
      <c r="F258" s="196"/>
      <c r="G258" s="196"/>
      <c r="H258" s="196"/>
      <c r="I258" s="196"/>
      <c r="J258" s="196"/>
    </row>
    <row r="259" spans="3:10">
      <c r="C259" s="196"/>
      <c r="D259" s="196"/>
      <c r="E259" s="196"/>
      <c r="F259" s="196"/>
      <c r="G259" s="196"/>
      <c r="H259" s="196"/>
      <c r="I259" s="196"/>
      <c r="J259" s="196"/>
    </row>
    <row r="260" spans="3:10">
      <c r="C260" s="196"/>
      <c r="D260" s="196"/>
      <c r="E260" s="196"/>
      <c r="F260" s="196"/>
      <c r="G260" s="196"/>
      <c r="H260" s="196"/>
      <c r="I260" s="196"/>
      <c r="J260" s="196"/>
    </row>
    <row r="261" spans="3:10">
      <c r="C261" s="196"/>
      <c r="D261" s="196"/>
      <c r="E261" s="196"/>
      <c r="F261" s="196"/>
      <c r="G261" s="196"/>
      <c r="H261" s="196"/>
      <c r="I261" s="196"/>
      <c r="J261" s="196"/>
    </row>
    <row r="262" spans="3:10">
      <c r="C262" s="196"/>
      <c r="D262" s="196"/>
      <c r="E262" s="196"/>
      <c r="F262" s="196"/>
      <c r="G262" s="196"/>
      <c r="H262" s="196"/>
      <c r="I262" s="196"/>
      <c r="J262" s="196"/>
    </row>
    <row r="263" spans="3:10">
      <c r="C263" s="196"/>
      <c r="D263" s="196"/>
      <c r="E263" s="196"/>
      <c r="F263" s="196"/>
      <c r="G263" s="196"/>
      <c r="H263" s="196"/>
      <c r="I263" s="196"/>
      <c r="J263" s="196"/>
    </row>
    <row r="264" spans="3:10">
      <c r="C264" s="196"/>
      <c r="D264" s="196"/>
      <c r="E264" s="196"/>
      <c r="F264" s="196"/>
      <c r="G264" s="196"/>
      <c r="H264" s="196"/>
      <c r="I264" s="196"/>
      <c r="J264" s="196"/>
    </row>
    <row r="265" spans="3:10">
      <c r="C265" s="196"/>
      <c r="D265" s="196"/>
      <c r="E265" s="196"/>
      <c r="F265" s="196"/>
      <c r="G265" s="196"/>
      <c r="H265" s="196"/>
      <c r="I265" s="196"/>
      <c r="J265" s="196"/>
    </row>
    <row r="266" spans="3:10">
      <c r="C266" s="196"/>
      <c r="D266" s="196"/>
      <c r="E266" s="196"/>
      <c r="F266" s="196"/>
      <c r="G266" s="196"/>
      <c r="H266" s="196"/>
      <c r="I266" s="196"/>
      <c r="J266" s="196"/>
    </row>
    <row r="267" spans="3:10">
      <c r="C267" s="196"/>
      <c r="D267" s="196"/>
      <c r="E267" s="196"/>
      <c r="F267" s="196"/>
      <c r="G267" s="196"/>
      <c r="H267" s="196"/>
      <c r="I267" s="196"/>
      <c r="J267" s="196"/>
    </row>
    <row r="268" spans="3:10">
      <c r="C268" s="196"/>
      <c r="D268" s="196"/>
      <c r="E268" s="196"/>
      <c r="F268" s="196"/>
      <c r="G268" s="196"/>
      <c r="H268" s="196"/>
      <c r="I268" s="196"/>
      <c r="J268" s="196"/>
    </row>
    <row r="269" spans="3:10">
      <c r="C269" s="196"/>
      <c r="D269" s="196"/>
      <c r="E269" s="196"/>
      <c r="F269" s="196"/>
      <c r="G269" s="196"/>
      <c r="H269" s="196"/>
      <c r="I269" s="196"/>
      <c r="J269" s="196"/>
    </row>
    <row r="270" spans="3:10">
      <c r="C270" s="196"/>
      <c r="D270" s="196"/>
      <c r="E270" s="196"/>
      <c r="F270" s="196"/>
      <c r="G270" s="196"/>
      <c r="H270" s="196"/>
      <c r="I270" s="196"/>
      <c r="J270" s="196"/>
    </row>
    <row r="271" spans="3:10">
      <c r="C271" s="196"/>
      <c r="D271" s="196"/>
      <c r="E271" s="196"/>
      <c r="F271" s="196"/>
      <c r="G271" s="196"/>
      <c r="H271" s="196"/>
      <c r="I271" s="196"/>
      <c r="J271" s="196"/>
    </row>
    <row r="272" spans="3:10">
      <c r="C272" s="196"/>
      <c r="D272" s="196"/>
      <c r="E272" s="196"/>
      <c r="F272" s="196"/>
      <c r="G272" s="196"/>
      <c r="H272" s="196"/>
      <c r="I272" s="196"/>
      <c r="J272" s="196"/>
    </row>
    <row r="273" spans="3:10">
      <c r="C273" s="196"/>
      <c r="D273" s="196"/>
      <c r="E273" s="196"/>
      <c r="F273" s="196"/>
      <c r="G273" s="196"/>
      <c r="H273" s="196"/>
      <c r="I273" s="196"/>
      <c r="J273" s="196"/>
    </row>
    <row r="274" spans="3:10">
      <c r="C274" s="196"/>
      <c r="D274" s="196"/>
      <c r="E274" s="196"/>
      <c r="F274" s="196"/>
      <c r="G274" s="196"/>
      <c r="H274" s="196"/>
      <c r="I274" s="196"/>
      <c r="J274" s="196"/>
    </row>
    <row r="275" spans="3:10">
      <c r="C275" s="196"/>
      <c r="D275" s="196"/>
      <c r="E275" s="196"/>
      <c r="F275" s="196"/>
      <c r="G275" s="196"/>
      <c r="H275" s="196"/>
      <c r="I275" s="196"/>
      <c r="J275" s="196"/>
    </row>
    <row r="276" spans="3:10">
      <c r="C276" s="196"/>
      <c r="D276" s="196"/>
      <c r="E276" s="196"/>
      <c r="F276" s="196"/>
      <c r="G276" s="196"/>
      <c r="H276" s="196"/>
      <c r="I276" s="196"/>
      <c r="J276" s="196"/>
    </row>
    <row r="277" spans="3:10">
      <c r="C277" s="196"/>
      <c r="D277" s="196"/>
      <c r="E277" s="196"/>
      <c r="F277" s="196"/>
      <c r="G277" s="196"/>
      <c r="H277" s="196"/>
      <c r="I277" s="196"/>
      <c r="J277" s="196"/>
    </row>
    <row r="278" spans="3:10">
      <c r="C278" s="196"/>
      <c r="D278" s="196"/>
      <c r="E278" s="196"/>
      <c r="F278" s="196"/>
      <c r="G278" s="196"/>
      <c r="H278" s="196"/>
      <c r="I278" s="196"/>
      <c r="J278" s="196"/>
    </row>
    <row r="279" spans="3:10">
      <c r="C279" s="196"/>
      <c r="D279" s="196"/>
      <c r="E279" s="196"/>
      <c r="F279" s="196"/>
      <c r="G279" s="196"/>
      <c r="H279" s="196"/>
      <c r="I279" s="196"/>
      <c r="J279" s="196"/>
    </row>
    <row r="280" spans="3:10">
      <c r="C280" s="196"/>
      <c r="D280" s="196"/>
      <c r="E280" s="196"/>
      <c r="F280" s="196"/>
      <c r="G280" s="196"/>
      <c r="H280" s="196"/>
      <c r="I280" s="196"/>
      <c r="J280" s="196"/>
    </row>
    <row r="281" spans="3:10">
      <c r="C281" s="196"/>
      <c r="D281" s="196"/>
      <c r="E281" s="196"/>
      <c r="F281" s="196"/>
      <c r="G281" s="196"/>
      <c r="H281" s="196"/>
      <c r="I281" s="196"/>
      <c r="J281" s="196"/>
    </row>
    <row r="282" spans="3:10">
      <c r="C282" s="196"/>
      <c r="D282" s="196"/>
      <c r="E282" s="196"/>
      <c r="F282" s="196"/>
      <c r="G282" s="196"/>
      <c r="H282" s="196"/>
      <c r="I282" s="196"/>
      <c r="J282" s="196"/>
    </row>
    <row r="283" spans="3:10">
      <c r="C283" s="196"/>
      <c r="D283" s="196"/>
      <c r="E283" s="196"/>
      <c r="F283" s="196"/>
      <c r="G283" s="196"/>
      <c r="H283" s="196"/>
      <c r="I283" s="196"/>
      <c r="J283" s="196"/>
    </row>
    <row r="284" spans="3:10">
      <c r="C284" s="196"/>
      <c r="D284" s="196"/>
      <c r="E284" s="196"/>
      <c r="F284" s="196"/>
      <c r="G284" s="196"/>
      <c r="H284" s="196"/>
      <c r="I284" s="196"/>
      <c r="J284" s="196"/>
    </row>
    <row r="285" spans="3:10">
      <c r="C285" s="196"/>
      <c r="D285" s="196"/>
      <c r="E285" s="196"/>
      <c r="F285" s="196"/>
      <c r="G285" s="196"/>
      <c r="H285" s="196"/>
      <c r="I285" s="196"/>
      <c r="J285" s="196"/>
    </row>
    <row r="286" spans="3:10">
      <c r="C286" s="196"/>
      <c r="D286" s="196"/>
      <c r="E286" s="196"/>
      <c r="F286" s="196"/>
      <c r="G286" s="196"/>
      <c r="H286" s="196"/>
      <c r="I286" s="196"/>
      <c r="J286" s="196"/>
    </row>
    <row r="287" spans="3:10">
      <c r="C287" s="196"/>
      <c r="D287" s="196"/>
      <c r="E287" s="196"/>
      <c r="F287" s="196"/>
      <c r="G287" s="196"/>
      <c r="H287" s="196"/>
      <c r="I287" s="196"/>
      <c r="J287" s="196"/>
    </row>
    <row r="288" spans="3:10">
      <c r="C288" s="196"/>
      <c r="D288" s="196"/>
      <c r="E288" s="196"/>
      <c r="F288" s="196"/>
      <c r="G288" s="196"/>
      <c r="H288" s="196"/>
      <c r="I288" s="196"/>
      <c r="J288" s="196"/>
    </row>
    <row r="289" spans="3:10">
      <c r="C289" s="196"/>
      <c r="D289" s="196"/>
      <c r="E289" s="196"/>
      <c r="F289" s="196"/>
      <c r="G289" s="196"/>
      <c r="H289" s="196"/>
      <c r="I289" s="196"/>
      <c r="J289" s="196"/>
    </row>
    <row r="290" spans="3:10">
      <c r="C290" s="196"/>
      <c r="D290" s="196"/>
      <c r="E290" s="196"/>
      <c r="F290" s="196"/>
      <c r="G290" s="196"/>
      <c r="H290" s="196"/>
      <c r="I290" s="196"/>
      <c r="J290" s="196"/>
    </row>
    <row r="291" spans="3:10">
      <c r="C291" s="196"/>
      <c r="D291" s="196"/>
      <c r="E291" s="196"/>
      <c r="F291" s="196"/>
      <c r="G291" s="196"/>
      <c r="H291" s="196"/>
      <c r="I291" s="196"/>
      <c r="J291" s="196"/>
    </row>
    <row r="292" spans="3:10">
      <c r="C292" s="196"/>
      <c r="D292" s="196"/>
      <c r="E292" s="196"/>
      <c r="F292" s="196"/>
      <c r="G292" s="196"/>
      <c r="H292" s="196"/>
      <c r="I292" s="196"/>
      <c r="J292" s="196"/>
    </row>
    <row r="293" spans="3:10">
      <c r="C293" s="196"/>
      <c r="D293" s="196"/>
      <c r="E293" s="196"/>
      <c r="F293" s="196"/>
      <c r="G293" s="196"/>
      <c r="H293" s="196"/>
      <c r="I293" s="196"/>
      <c r="J293" s="196"/>
    </row>
    <row r="294" spans="3:10">
      <c r="C294" s="196"/>
      <c r="D294" s="196"/>
      <c r="E294" s="196"/>
      <c r="F294" s="196"/>
      <c r="G294" s="196"/>
      <c r="H294" s="196"/>
      <c r="I294" s="196"/>
      <c r="J294" s="196"/>
    </row>
    <row r="295" spans="3:10">
      <c r="C295" s="196"/>
      <c r="D295" s="196"/>
      <c r="E295" s="196"/>
      <c r="F295" s="196"/>
      <c r="G295" s="196"/>
      <c r="H295" s="196"/>
      <c r="I295" s="196"/>
      <c r="J295" s="196"/>
    </row>
    <row r="296" spans="3:10">
      <c r="C296" s="196"/>
      <c r="D296" s="196"/>
      <c r="E296" s="196"/>
      <c r="F296" s="196"/>
      <c r="G296" s="196"/>
      <c r="H296" s="196"/>
      <c r="I296" s="196"/>
      <c r="J296" s="196"/>
    </row>
    <row r="297" spans="3:10">
      <c r="C297" s="196"/>
      <c r="D297" s="196"/>
      <c r="E297" s="196"/>
      <c r="F297" s="196"/>
      <c r="G297" s="196"/>
      <c r="H297" s="196"/>
      <c r="I297" s="196"/>
      <c r="J297" s="196"/>
    </row>
    <row r="298" spans="3:10">
      <c r="C298" s="196"/>
      <c r="D298" s="196"/>
      <c r="E298" s="196"/>
      <c r="F298" s="196"/>
      <c r="G298" s="196"/>
      <c r="H298" s="196"/>
      <c r="I298" s="196"/>
      <c r="J298" s="196"/>
    </row>
  </sheetData>
  <mergeCells count="8">
    <mergeCell ref="M100:X100"/>
    <mergeCell ref="M99:X99"/>
    <mergeCell ref="M93:X93"/>
    <mergeCell ref="M94:X94"/>
    <mergeCell ref="M95:X95"/>
    <mergeCell ref="M96:X96"/>
    <mergeCell ref="M97:X97"/>
    <mergeCell ref="M98:X98"/>
  </mergeCells>
  <printOptions horizontalCentered="1"/>
  <pageMargins left="0.75" right="0.75" top="0.75" bottom="0.5" header="0.5" footer="0.5"/>
  <pageSetup scale="59" orientation="landscape" horizontalDpi="300" verticalDpi="300" r:id="rId1"/>
  <headerFooter alignWithMargins="0"/>
  <rowBreaks count="1" manualBreakCount="1">
    <brk id="48" min="10" max="2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7030A0"/>
    <pageSetUpPr fitToPage="1"/>
  </sheetPr>
  <dimension ref="A1:AW298"/>
  <sheetViews>
    <sheetView zoomScale="75" zoomScaleNormal="75" workbookViewId="0"/>
  </sheetViews>
  <sheetFormatPr defaultRowHeight="15"/>
  <cols>
    <col min="1" max="1" width="6" style="138" customWidth="1"/>
    <col min="2" max="2" width="1.44140625" style="138" customWidth="1"/>
    <col min="3" max="3" width="52.21875" style="138" customWidth="1"/>
    <col min="4" max="4" width="1" style="138" customWidth="1"/>
    <col min="5" max="5" width="37.109375" style="138" customWidth="1"/>
    <col min="6" max="6" width="1.33203125" style="138" customWidth="1"/>
    <col min="7" max="7" width="14.109375" style="138" customWidth="1"/>
    <col min="8" max="8" width="1.5546875" style="138" customWidth="1"/>
    <col min="9" max="10" width="12.77734375" style="138" customWidth="1"/>
    <col min="11" max="11" width="5.21875" style="138" customWidth="1"/>
    <col min="12" max="12" width="1.6640625" style="138" customWidth="1"/>
    <col min="13" max="13" width="26.5546875" style="138" customWidth="1"/>
    <col min="14" max="14" width="8.6640625" style="138" customWidth="1"/>
    <col min="15" max="15" width="11.77734375" style="138" customWidth="1"/>
    <col min="16" max="16" width="15.6640625" style="138" bestFit="1" customWidth="1"/>
    <col min="17" max="17" width="12.77734375" style="138" customWidth="1"/>
    <col min="18" max="18" width="8.88671875" style="138"/>
    <col min="19" max="19" width="14.21875" style="138" customWidth="1"/>
    <col min="20" max="20" width="12.21875" style="138" customWidth="1"/>
    <col min="21" max="21" width="12.5546875" style="138" customWidth="1"/>
    <col min="22" max="22" width="16.77734375" style="138" customWidth="1"/>
    <col min="23" max="23" width="11.88671875" style="138" customWidth="1"/>
    <col min="24" max="24" width="16.6640625" style="138" customWidth="1"/>
    <col min="25" max="240" width="8.88671875" style="138"/>
    <col min="241" max="241" width="6" style="138" customWidth="1"/>
    <col min="242" max="242" width="1.44140625" style="138" customWidth="1"/>
    <col min="243" max="243" width="39.109375" style="138" customWidth="1"/>
    <col min="244" max="244" width="12" style="138" customWidth="1"/>
    <col min="245" max="245" width="14.44140625" style="138" customWidth="1"/>
    <col min="246" max="246" width="11.88671875" style="138" customWidth="1"/>
    <col min="247" max="247" width="14.109375" style="138" customWidth="1"/>
    <col min="248" max="248" width="13.88671875" style="138" customWidth="1"/>
    <col min="249" max="250" width="12.77734375" style="138" customWidth="1"/>
    <col min="251" max="251" width="13.5546875" style="138" customWidth="1"/>
    <col min="252" max="252" width="15.33203125" style="138" customWidth="1"/>
    <col min="253" max="253" width="12.77734375" style="138" customWidth="1"/>
    <col min="254" max="254" width="13.88671875" style="138" customWidth="1"/>
    <col min="255" max="255" width="1.88671875" style="138" customWidth="1"/>
    <col min="256" max="256" width="13" style="138" customWidth="1"/>
    <col min="257" max="496" width="8.88671875" style="138"/>
    <col min="497" max="497" width="6" style="138" customWidth="1"/>
    <col min="498" max="498" width="1.44140625" style="138" customWidth="1"/>
    <col min="499" max="499" width="39.109375" style="138" customWidth="1"/>
    <col min="500" max="500" width="12" style="138" customWidth="1"/>
    <col min="501" max="501" width="14.44140625" style="138" customWidth="1"/>
    <col min="502" max="502" width="11.88671875" style="138" customWidth="1"/>
    <col min="503" max="503" width="14.109375" style="138" customWidth="1"/>
    <col min="504" max="504" width="13.88671875" style="138" customWidth="1"/>
    <col min="505" max="506" width="12.77734375" style="138" customWidth="1"/>
    <col min="507" max="507" width="13.5546875" style="138" customWidth="1"/>
    <col min="508" max="508" width="15.33203125" style="138" customWidth="1"/>
    <col min="509" max="509" width="12.77734375" style="138" customWidth="1"/>
    <col min="510" max="510" width="13.88671875" style="138" customWidth="1"/>
    <col min="511" max="511" width="1.88671875" style="138" customWidth="1"/>
    <col min="512" max="512" width="13" style="138" customWidth="1"/>
    <col min="513" max="752" width="8.88671875" style="138"/>
    <col min="753" max="753" width="6" style="138" customWidth="1"/>
    <col min="754" max="754" width="1.44140625" style="138" customWidth="1"/>
    <col min="755" max="755" width="39.109375" style="138" customWidth="1"/>
    <col min="756" max="756" width="12" style="138" customWidth="1"/>
    <col min="757" max="757" width="14.44140625" style="138" customWidth="1"/>
    <col min="758" max="758" width="11.88671875" style="138" customWidth="1"/>
    <col min="759" max="759" width="14.109375" style="138" customWidth="1"/>
    <col min="760" max="760" width="13.88671875" style="138" customWidth="1"/>
    <col min="761" max="762" width="12.77734375" style="138" customWidth="1"/>
    <col min="763" max="763" width="13.5546875" style="138" customWidth="1"/>
    <col min="764" max="764" width="15.33203125" style="138" customWidth="1"/>
    <col min="765" max="765" width="12.77734375" style="138" customWidth="1"/>
    <col min="766" max="766" width="13.88671875" style="138" customWidth="1"/>
    <col min="767" max="767" width="1.88671875" style="138" customWidth="1"/>
    <col min="768" max="768" width="13" style="138" customWidth="1"/>
    <col min="769" max="1008" width="8.88671875" style="138"/>
    <col min="1009" max="1009" width="6" style="138" customWidth="1"/>
    <col min="1010" max="1010" width="1.44140625" style="138" customWidth="1"/>
    <col min="1011" max="1011" width="39.109375" style="138" customWidth="1"/>
    <col min="1012" max="1012" width="12" style="138" customWidth="1"/>
    <col min="1013" max="1013" width="14.44140625" style="138" customWidth="1"/>
    <col min="1014" max="1014" width="11.88671875" style="138" customWidth="1"/>
    <col min="1015" max="1015" width="14.109375" style="138" customWidth="1"/>
    <col min="1016" max="1016" width="13.88671875" style="138" customWidth="1"/>
    <col min="1017" max="1018" width="12.77734375" style="138" customWidth="1"/>
    <col min="1019" max="1019" width="13.5546875" style="138" customWidth="1"/>
    <col min="1020" max="1020" width="15.33203125" style="138" customWidth="1"/>
    <col min="1021" max="1021" width="12.77734375" style="138" customWidth="1"/>
    <col min="1022" max="1022" width="13.88671875" style="138" customWidth="1"/>
    <col min="1023" max="1023" width="1.88671875" style="138" customWidth="1"/>
    <col min="1024" max="1024" width="13" style="138" customWidth="1"/>
    <col min="1025" max="1264" width="8.88671875" style="138"/>
    <col min="1265" max="1265" width="6" style="138" customWidth="1"/>
    <col min="1266" max="1266" width="1.44140625" style="138" customWidth="1"/>
    <col min="1267" max="1267" width="39.109375" style="138" customWidth="1"/>
    <col min="1268" max="1268" width="12" style="138" customWidth="1"/>
    <col min="1269" max="1269" width="14.44140625" style="138" customWidth="1"/>
    <col min="1270" max="1270" width="11.88671875" style="138" customWidth="1"/>
    <col min="1271" max="1271" width="14.109375" style="138" customWidth="1"/>
    <col min="1272" max="1272" width="13.88671875" style="138" customWidth="1"/>
    <col min="1273" max="1274" width="12.77734375" style="138" customWidth="1"/>
    <col min="1275" max="1275" width="13.5546875" style="138" customWidth="1"/>
    <col min="1276" max="1276" width="15.33203125" style="138" customWidth="1"/>
    <col min="1277" max="1277" width="12.77734375" style="138" customWidth="1"/>
    <col min="1278" max="1278" width="13.88671875" style="138" customWidth="1"/>
    <col min="1279" max="1279" width="1.88671875" style="138" customWidth="1"/>
    <col min="1280" max="1280" width="13" style="138" customWidth="1"/>
    <col min="1281" max="1520" width="8.88671875" style="138"/>
    <col min="1521" max="1521" width="6" style="138" customWidth="1"/>
    <col min="1522" max="1522" width="1.44140625" style="138" customWidth="1"/>
    <col min="1523" max="1523" width="39.109375" style="138" customWidth="1"/>
    <col min="1524" max="1524" width="12" style="138" customWidth="1"/>
    <col min="1525" max="1525" width="14.44140625" style="138" customWidth="1"/>
    <col min="1526" max="1526" width="11.88671875" style="138" customWidth="1"/>
    <col min="1527" max="1527" width="14.109375" style="138" customWidth="1"/>
    <col min="1528" max="1528" width="13.88671875" style="138" customWidth="1"/>
    <col min="1529" max="1530" width="12.77734375" style="138" customWidth="1"/>
    <col min="1531" max="1531" width="13.5546875" style="138" customWidth="1"/>
    <col min="1532" max="1532" width="15.33203125" style="138" customWidth="1"/>
    <col min="1533" max="1533" width="12.77734375" style="138" customWidth="1"/>
    <col min="1534" max="1534" width="13.88671875" style="138" customWidth="1"/>
    <col min="1535" max="1535" width="1.88671875" style="138" customWidth="1"/>
    <col min="1536" max="1536" width="13" style="138" customWidth="1"/>
    <col min="1537" max="1776" width="8.88671875" style="138"/>
    <col min="1777" max="1777" width="6" style="138" customWidth="1"/>
    <col min="1778" max="1778" width="1.44140625" style="138" customWidth="1"/>
    <col min="1779" max="1779" width="39.109375" style="138" customWidth="1"/>
    <col min="1780" max="1780" width="12" style="138" customWidth="1"/>
    <col min="1781" max="1781" width="14.44140625" style="138" customWidth="1"/>
    <col min="1782" max="1782" width="11.88671875" style="138" customWidth="1"/>
    <col min="1783" max="1783" width="14.109375" style="138" customWidth="1"/>
    <col min="1784" max="1784" width="13.88671875" style="138" customWidth="1"/>
    <col min="1785" max="1786" width="12.77734375" style="138" customWidth="1"/>
    <col min="1787" max="1787" width="13.5546875" style="138" customWidth="1"/>
    <col min="1788" max="1788" width="15.33203125" style="138" customWidth="1"/>
    <col min="1789" max="1789" width="12.77734375" style="138" customWidth="1"/>
    <col min="1790" max="1790" width="13.88671875" style="138" customWidth="1"/>
    <col min="1791" max="1791" width="1.88671875" style="138" customWidth="1"/>
    <col min="1792" max="1792" width="13" style="138" customWidth="1"/>
    <col min="1793" max="2032" width="8.88671875" style="138"/>
    <col min="2033" max="2033" width="6" style="138" customWidth="1"/>
    <col min="2034" max="2034" width="1.44140625" style="138" customWidth="1"/>
    <col min="2035" max="2035" width="39.109375" style="138" customWidth="1"/>
    <col min="2036" max="2036" width="12" style="138" customWidth="1"/>
    <col min="2037" max="2037" width="14.44140625" style="138" customWidth="1"/>
    <col min="2038" max="2038" width="11.88671875" style="138" customWidth="1"/>
    <col min="2039" max="2039" width="14.109375" style="138" customWidth="1"/>
    <col min="2040" max="2040" width="13.88671875" style="138" customWidth="1"/>
    <col min="2041" max="2042" width="12.77734375" style="138" customWidth="1"/>
    <col min="2043" max="2043" width="13.5546875" style="138" customWidth="1"/>
    <col min="2044" max="2044" width="15.33203125" style="138" customWidth="1"/>
    <col min="2045" max="2045" width="12.77734375" style="138" customWidth="1"/>
    <col min="2046" max="2046" width="13.88671875" style="138" customWidth="1"/>
    <col min="2047" max="2047" width="1.88671875" style="138" customWidth="1"/>
    <col min="2048" max="2048" width="13" style="138" customWidth="1"/>
    <col min="2049" max="2288" width="8.88671875" style="138"/>
    <col min="2289" max="2289" width="6" style="138" customWidth="1"/>
    <col min="2290" max="2290" width="1.44140625" style="138" customWidth="1"/>
    <col min="2291" max="2291" width="39.109375" style="138" customWidth="1"/>
    <col min="2292" max="2292" width="12" style="138" customWidth="1"/>
    <col min="2293" max="2293" width="14.44140625" style="138" customWidth="1"/>
    <col min="2294" max="2294" width="11.88671875" style="138" customWidth="1"/>
    <col min="2295" max="2295" width="14.109375" style="138" customWidth="1"/>
    <col min="2296" max="2296" width="13.88671875" style="138" customWidth="1"/>
    <col min="2297" max="2298" width="12.77734375" style="138" customWidth="1"/>
    <col min="2299" max="2299" width="13.5546875" style="138" customWidth="1"/>
    <col min="2300" max="2300" width="15.33203125" style="138" customWidth="1"/>
    <col min="2301" max="2301" width="12.77734375" style="138" customWidth="1"/>
    <col min="2302" max="2302" width="13.88671875" style="138" customWidth="1"/>
    <col min="2303" max="2303" width="1.88671875" style="138" customWidth="1"/>
    <col min="2304" max="2304" width="13" style="138" customWidth="1"/>
    <col min="2305" max="2544" width="8.88671875" style="138"/>
    <col min="2545" max="2545" width="6" style="138" customWidth="1"/>
    <col min="2546" max="2546" width="1.44140625" style="138" customWidth="1"/>
    <col min="2547" max="2547" width="39.109375" style="138" customWidth="1"/>
    <col min="2548" max="2548" width="12" style="138" customWidth="1"/>
    <col min="2549" max="2549" width="14.44140625" style="138" customWidth="1"/>
    <col min="2550" max="2550" width="11.88671875" style="138" customWidth="1"/>
    <col min="2551" max="2551" width="14.109375" style="138" customWidth="1"/>
    <col min="2552" max="2552" width="13.88671875" style="138" customWidth="1"/>
    <col min="2553" max="2554" width="12.77734375" style="138" customWidth="1"/>
    <col min="2555" max="2555" width="13.5546875" style="138" customWidth="1"/>
    <col min="2556" max="2556" width="15.33203125" style="138" customWidth="1"/>
    <col min="2557" max="2557" width="12.77734375" style="138" customWidth="1"/>
    <col min="2558" max="2558" width="13.88671875" style="138" customWidth="1"/>
    <col min="2559" max="2559" width="1.88671875" style="138" customWidth="1"/>
    <col min="2560" max="2560" width="13" style="138" customWidth="1"/>
    <col min="2561" max="2800" width="8.88671875" style="138"/>
    <col min="2801" max="2801" width="6" style="138" customWidth="1"/>
    <col min="2802" max="2802" width="1.44140625" style="138" customWidth="1"/>
    <col min="2803" max="2803" width="39.109375" style="138" customWidth="1"/>
    <col min="2804" max="2804" width="12" style="138" customWidth="1"/>
    <col min="2805" max="2805" width="14.44140625" style="138" customWidth="1"/>
    <col min="2806" max="2806" width="11.88671875" style="138" customWidth="1"/>
    <col min="2807" max="2807" width="14.109375" style="138" customWidth="1"/>
    <col min="2808" max="2808" width="13.88671875" style="138" customWidth="1"/>
    <col min="2809" max="2810" width="12.77734375" style="138" customWidth="1"/>
    <col min="2811" max="2811" width="13.5546875" style="138" customWidth="1"/>
    <col min="2812" max="2812" width="15.33203125" style="138" customWidth="1"/>
    <col min="2813" max="2813" width="12.77734375" style="138" customWidth="1"/>
    <col min="2814" max="2814" width="13.88671875" style="138" customWidth="1"/>
    <col min="2815" max="2815" width="1.88671875" style="138" customWidth="1"/>
    <col min="2816" max="2816" width="13" style="138" customWidth="1"/>
    <col min="2817" max="3056" width="8.88671875" style="138"/>
    <col min="3057" max="3057" width="6" style="138" customWidth="1"/>
    <col min="3058" max="3058" width="1.44140625" style="138" customWidth="1"/>
    <col min="3059" max="3059" width="39.109375" style="138" customWidth="1"/>
    <col min="3060" max="3060" width="12" style="138" customWidth="1"/>
    <col min="3061" max="3061" width="14.44140625" style="138" customWidth="1"/>
    <col min="3062" max="3062" width="11.88671875" style="138" customWidth="1"/>
    <col min="3063" max="3063" width="14.109375" style="138" customWidth="1"/>
    <col min="3064" max="3064" width="13.88671875" style="138" customWidth="1"/>
    <col min="3065" max="3066" width="12.77734375" style="138" customWidth="1"/>
    <col min="3067" max="3067" width="13.5546875" style="138" customWidth="1"/>
    <col min="3068" max="3068" width="15.33203125" style="138" customWidth="1"/>
    <col min="3069" max="3069" width="12.77734375" style="138" customWidth="1"/>
    <col min="3070" max="3070" width="13.88671875" style="138" customWidth="1"/>
    <col min="3071" max="3071" width="1.88671875" style="138" customWidth="1"/>
    <col min="3072" max="3072" width="13" style="138" customWidth="1"/>
    <col min="3073" max="3312" width="8.88671875" style="138"/>
    <col min="3313" max="3313" width="6" style="138" customWidth="1"/>
    <col min="3314" max="3314" width="1.44140625" style="138" customWidth="1"/>
    <col min="3315" max="3315" width="39.109375" style="138" customWidth="1"/>
    <col min="3316" max="3316" width="12" style="138" customWidth="1"/>
    <col min="3317" max="3317" width="14.44140625" style="138" customWidth="1"/>
    <col min="3318" max="3318" width="11.88671875" style="138" customWidth="1"/>
    <col min="3319" max="3319" width="14.109375" style="138" customWidth="1"/>
    <col min="3320" max="3320" width="13.88671875" style="138" customWidth="1"/>
    <col min="3321" max="3322" width="12.77734375" style="138" customWidth="1"/>
    <col min="3323" max="3323" width="13.5546875" style="138" customWidth="1"/>
    <col min="3324" max="3324" width="15.33203125" style="138" customWidth="1"/>
    <col min="3325" max="3325" width="12.77734375" style="138" customWidth="1"/>
    <col min="3326" max="3326" width="13.88671875" style="138" customWidth="1"/>
    <col min="3327" max="3327" width="1.88671875" style="138" customWidth="1"/>
    <col min="3328" max="3328" width="13" style="138" customWidth="1"/>
    <col min="3329" max="3568" width="8.88671875" style="138"/>
    <col min="3569" max="3569" width="6" style="138" customWidth="1"/>
    <col min="3570" max="3570" width="1.44140625" style="138" customWidth="1"/>
    <col min="3571" max="3571" width="39.109375" style="138" customWidth="1"/>
    <col min="3572" max="3572" width="12" style="138" customWidth="1"/>
    <col min="3573" max="3573" width="14.44140625" style="138" customWidth="1"/>
    <col min="3574" max="3574" width="11.88671875" style="138" customWidth="1"/>
    <col min="3575" max="3575" width="14.109375" style="138" customWidth="1"/>
    <col min="3576" max="3576" width="13.88671875" style="138" customWidth="1"/>
    <col min="3577" max="3578" width="12.77734375" style="138" customWidth="1"/>
    <col min="3579" max="3579" width="13.5546875" style="138" customWidth="1"/>
    <col min="3580" max="3580" width="15.33203125" style="138" customWidth="1"/>
    <col min="3581" max="3581" width="12.77734375" style="138" customWidth="1"/>
    <col min="3582" max="3582" width="13.88671875" style="138" customWidth="1"/>
    <col min="3583" max="3583" width="1.88671875" style="138" customWidth="1"/>
    <col min="3584" max="3584" width="13" style="138" customWidth="1"/>
    <col min="3585" max="3824" width="8.88671875" style="138"/>
    <col min="3825" max="3825" width="6" style="138" customWidth="1"/>
    <col min="3826" max="3826" width="1.44140625" style="138" customWidth="1"/>
    <col min="3827" max="3827" width="39.109375" style="138" customWidth="1"/>
    <col min="3828" max="3828" width="12" style="138" customWidth="1"/>
    <col min="3829" max="3829" width="14.44140625" style="138" customWidth="1"/>
    <col min="3830" max="3830" width="11.88671875" style="138" customWidth="1"/>
    <col min="3831" max="3831" width="14.109375" style="138" customWidth="1"/>
    <col min="3832" max="3832" width="13.88671875" style="138" customWidth="1"/>
    <col min="3833" max="3834" width="12.77734375" style="138" customWidth="1"/>
    <col min="3835" max="3835" width="13.5546875" style="138" customWidth="1"/>
    <col min="3836" max="3836" width="15.33203125" style="138" customWidth="1"/>
    <col min="3837" max="3837" width="12.77734375" style="138" customWidth="1"/>
    <col min="3838" max="3838" width="13.88671875" style="138" customWidth="1"/>
    <col min="3839" max="3839" width="1.88671875" style="138" customWidth="1"/>
    <col min="3840" max="3840" width="13" style="138" customWidth="1"/>
    <col min="3841" max="4080" width="8.88671875" style="138"/>
    <col min="4081" max="4081" width="6" style="138" customWidth="1"/>
    <col min="4082" max="4082" width="1.44140625" style="138" customWidth="1"/>
    <col min="4083" max="4083" width="39.109375" style="138" customWidth="1"/>
    <col min="4084" max="4084" width="12" style="138" customWidth="1"/>
    <col min="4085" max="4085" width="14.44140625" style="138" customWidth="1"/>
    <col min="4086" max="4086" width="11.88671875" style="138" customWidth="1"/>
    <col min="4087" max="4087" width="14.109375" style="138" customWidth="1"/>
    <col min="4088" max="4088" width="13.88671875" style="138" customWidth="1"/>
    <col min="4089" max="4090" width="12.77734375" style="138" customWidth="1"/>
    <col min="4091" max="4091" width="13.5546875" style="138" customWidth="1"/>
    <col min="4092" max="4092" width="15.33203125" style="138" customWidth="1"/>
    <col min="4093" max="4093" width="12.77734375" style="138" customWidth="1"/>
    <col min="4094" max="4094" width="13.88671875" style="138" customWidth="1"/>
    <col min="4095" max="4095" width="1.88671875" style="138" customWidth="1"/>
    <col min="4096" max="4096" width="13" style="138" customWidth="1"/>
    <col min="4097" max="4336" width="8.88671875" style="138"/>
    <col min="4337" max="4337" width="6" style="138" customWidth="1"/>
    <col min="4338" max="4338" width="1.44140625" style="138" customWidth="1"/>
    <col min="4339" max="4339" width="39.109375" style="138" customWidth="1"/>
    <col min="4340" max="4340" width="12" style="138" customWidth="1"/>
    <col min="4341" max="4341" width="14.44140625" style="138" customWidth="1"/>
    <col min="4342" max="4342" width="11.88671875" style="138" customWidth="1"/>
    <col min="4343" max="4343" width="14.109375" style="138" customWidth="1"/>
    <col min="4344" max="4344" width="13.88671875" style="138" customWidth="1"/>
    <col min="4345" max="4346" width="12.77734375" style="138" customWidth="1"/>
    <col min="4347" max="4347" width="13.5546875" style="138" customWidth="1"/>
    <col min="4348" max="4348" width="15.33203125" style="138" customWidth="1"/>
    <col min="4349" max="4349" width="12.77734375" style="138" customWidth="1"/>
    <col min="4350" max="4350" width="13.88671875" style="138" customWidth="1"/>
    <col min="4351" max="4351" width="1.88671875" style="138" customWidth="1"/>
    <col min="4352" max="4352" width="13" style="138" customWidth="1"/>
    <col min="4353" max="4592" width="8.88671875" style="138"/>
    <col min="4593" max="4593" width="6" style="138" customWidth="1"/>
    <col min="4594" max="4594" width="1.44140625" style="138" customWidth="1"/>
    <col min="4595" max="4595" width="39.109375" style="138" customWidth="1"/>
    <col min="4596" max="4596" width="12" style="138" customWidth="1"/>
    <col min="4597" max="4597" width="14.44140625" style="138" customWidth="1"/>
    <col min="4598" max="4598" width="11.88671875" style="138" customWidth="1"/>
    <col min="4599" max="4599" width="14.109375" style="138" customWidth="1"/>
    <col min="4600" max="4600" width="13.88671875" style="138" customWidth="1"/>
    <col min="4601" max="4602" width="12.77734375" style="138" customWidth="1"/>
    <col min="4603" max="4603" width="13.5546875" style="138" customWidth="1"/>
    <col min="4604" max="4604" width="15.33203125" style="138" customWidth="1"/>
    <col min="4605" max="4605" width="12.77734375" style="138" customWidth="1"/>
    <col min="4606" max="4606" width="13.88671875" style="138" customWidth="1"/>
    <col min="4607" max="4607" width="1.88671875" style="138" customWidth="1"/>
    <col min="4608" max="4608" width="13" style="138" customWidth="1"/>
    <col min="4609" max="4848" width="8.88671875" style="138"/>
    <col min="4849" max="4849" width="6" style="138" customWidth="1"/>
    <col min="4850" max="4850" width="1.44140625" style="138" customWidth="1"/>
    <col min="4851" max="4851" width="39.109375" style="138" customWidth="1"/>
    <col min="4852" max="4852" width="12" style="138" customWidth="1"/>
    <col min="4853" max="4853" width="14.44140625" style="138" customWidth="1"/>
    <col min="4854" max="4854" width="11.88671875" style="138" customWidth="1"/>
    <col min="4855" max="4855" width="14.109375" style="138" customWidth="1"/>
    <col min="4856" max="4856" width="13.88671875" style="138" customWidth="1"/>
    <col min="4857" max="4858" width="12.77734375" style="138" customWidth="1"/>
    <col min="4859" max="4859" width="13.5546875" style="138" customWidth="1"/>
    <col min="4860" max="4860" width="15.33203125" style="138" customWidth="1"/>
    <col min="4861" max="4861" width="12.77734375" style="138" customWidth="1"/>
    <col min="4862" max="4862" width="13.88671875" style="138" customWidth="1"/>
    <col min="4863" max="4863" width="1.88671875" style="138" customWidth="1"/>
    <col min="4864" max="4864" width="13" style="138" customWidth="1"/>
    <col min="4865" max="5104" width="8.88671875" style="138"/>
    <col min="5105" max="5105" width="6" style="138" customWidth="1"/>
    <col min="5106" max="5106" width="1.44140625" style="138" customWidth="1"/>
    <col min="5107" max="5107" width="39.109375" style="138" customWidth="1"/>
    <col min="5108" max="5108" width="12" style="138" customWidth="1"/>
    <col min="5109" max="5109" width="14.44140625" style="138" customWidth="1"/>
    <col min="5110" max="5110" width="11.88671875" style="138" customWidth="1"/>
    <col min="5111" max="5111" width="14.109375" style="138" customWidth="1"/>
    <col min="5112" max="5112" width="13.88671875" style="138" customWidth="1"/>
    <col min="5113" max="5114" width="12.77734375" style="138" customWidth="1"/>
    <col min="5115" max="5115" width="13.5546875" style="138" customWidth="1"/>
    <col min="5116" max="5116" width="15.33203125" style="138" customWidth="1"/>
    <col min="5117" max="5117" width="12.77734375" style="138" customWidth="1"/>
    <col min="5118" max="5118" width="13.88671875" style="138" customWidth="1"/>
    <col min="5119" max="5119" width="1.88671875" style="138" customWidth="1"/>
    <col min="5120" max="5120" width="13" style="138" customWidth="1"/>
    <col min="5121" max="5360" width="8.88671875" style="138"/>
    <col min="5361" max="5361" width="6" style="138" customWidth="1"/>
    <col min="5362" max="5362" width="1.44140625" style="138" customWidth="1"/>
    <col min="5363" max="5363" width="39.109375" style="138" customWidth="1"/>
    <col min="5364" max="5364" width="12" style="138" customWidth="1"/>
    <col min="5365" max="5365" width="14.44140625" style="138" customWidth="1"/>
    <col min="5366" max="5366" width="11.88671875" style="138" customWidth="1"/>
    <col min="5367" max="5367" width="14.109375" style="138" customWidth="1"/>
    <col min="5368" max="5368" width="13.88671875" style="138" customWidth="1"/>
    <col min="5369" max="5370" width="12.77734375" style="138" customWidth="1"/>
    <col min="5371" max="5371" width="13.5546875" style="138" customWidth="1"/>
    <col min="5372" max="5372" width="15.33203125" style="138" customWidth="1"/>
    <col min="5373" max="5373" width="12.77734375" style="138" customWidth="1"/>
    <col min="5374" max="5374" width="13.88671875" style="138" customWidth="1"/>
    <col min="5375" max="5375" width="1.88671875" style="138" customWidth="1"/>
    <col min="5376" max="5376" width="13" style="138" customWidth="1"/>
    <col min="5377" max="5616" width="8.88671875" style="138"/>
    <col min="5617" max="5617" width="6" style="138" customWidth="1"/>
    <col min="5618" max="5618" width="1.44140625" style="138" customWidth="1"/>
    <col min="5619" max="5619" width="39.109375" style="138" customWidth="1"/>
    <col min="5620" max="5620" width="12" style="138" customWidth="1"/>
    <col min="5621" max="5621" width="14.44140625" style="138" customWidth="1"/>
    <col min="5622" max="5622" width="11.88671875" style="138" customWidth="1"/>
    <col min="5623" max="5623" width="14.109375" style="138" customWidth="1"/>
    <col min="5624" max="5624" width="13.88671875" style="138" customWidth="1"/>
    <col min="5625" max="5626" width="12.77734375" style="138" customWidth="1"/>
    <col min="5627" max="5627" width="13.5546875" style="138" customWidth="1"/>
    <col min="5628" max="5628" width="15.33203125" style="138" customWidth="1"/>
    <col min="5629" max="5629" width="12.77734375" style="138" customWidth="1"/>
    <col min="5630" max="5630" width="13.88671875" style="138" customWidth="1"/>
    <col min="5631" max="5631" width="1.88671875" style="138" customWidth="1"/>
    <col min="5632" max="5632" width="13" style="138" customWidth="1"/>
    <col min="5633" max="5872" width="8.88671875" style="138"/>
    <col min="5873" max="5873" width="6" style="138" customWidth="1"/>
    <col min="5874" max="5874" width="1.44140625" style="138" customWidth="1"/>
    <col min="5875" max="5875" width="39.109375" style="138" customWidth="1"/>
    <col min="5876" max="5876" width="12" style="138" customWidth="1"/>
    <col min="5877" max="5877" width="14.44140625" style="138" customWidth="1"/>
    <col min="5878" max="5878" width="11.88671875" style="138" customWidth="1"/>
    <col min="5879" max="5879" width="14.109375" style="138" customWidth="1"/>
    <col min="5880" max="5880" width="13.88671875" style="138" customWidth="1"/>
    <col min="5881" max="5882" width="12.77734375" style="138" customWidth="1"/>
    <col min="5883" max="5883" width="13.5546875" style="138" customWidth="1"/>
    <col min="5884" max="5884" width="15.33203125" style="138" customWidth="1"/>
    <col min="5885" max="5885" width="12.77734375" style="138" customWidth="1"/>
    <col min="5886" max="5886" width="13.88671875" style="138" customWidth="1"/>
    <col min="5887" max="5887" width="1.88671875" style="138" customWidth="1"/>
    <col min="5888" max="5888" width="13" style="138" customWidth="1"/>
    <col min="5889" max="6128" width="8.88671875" style="138"/>
    <col min="6129" max="6129" width="6" style="138" customWidth="1"/>
    <col min="6130" max="6130" width="1.44140625" style="138" customWidth="1"/>
    <col min="6131" max="6131" width="39.109375" style="138" customWidth="1"/>
    <col min="6132" max="6132" width="12" style="138" customWidth="1"/>
    <col min="6133" max="6133" width="14.44140625" style="138" customWidth="1"/>
    <col min="6134" max="6134" width="11.88671875" style="138" customWidth="1"/>
    <col min="6135" max="6135" width="14.109375" style="138" customWidth="1"/>
    <col min="6136" max="6136" width="13.88671875" style="138" customWidth="1"/>
    <col min="6137" max="6138" width="12.77734375" style="138" customWidth="1"/>
    <col min="6139" max="6139" width="13.5546875" style="138" customWidth="1"/>
    <col min="6140" max="6140" width="15.33203125" style="138" customWidth="1"/>
    <col min="6141" max="6141" width="12.77734375" style="138" customWidth="1"/>
    <col min="6142" max="6142" width="13.88671875" style="138" customWidth="1"/>
    <col min="6143" max="6143" width="1.88671875" style="138" customWidth="1"/>
    <col min="6144" max="6144" width="13" style="138" customWidth="1"/>
    <col min="6145" max="6384" width="8.88671875" style="138"/>
    <col min="6385" max="6385" width="6" style="138" customWidth="1"/>
    <col min="6386" max="6386" width="1.44140625" style="138" customWidth="1"/>
    <col min="6387" max="6387" width="39.109375" style="138" customWidth="1"/>
    <col min="6388" max="6388" width="12" style="138" customWidth="1"/>
    <col min="6389" max="6389" width="14.44140625" style="138" customWidth="1"/>
    <col min="6390" max="6390" width="11.88671875" style="138" customWidth="1"/>
    <col min="6391" max="6391" width="14.109375" style="138" customWidth="1"/>
    <col min="6392" max="6392" width="13.88671875" style="138" customWidth="1"/>
    <col min="6393" max="6394" width="12.77734375" style="138" customWidth="1"/>
    <col min="6395" max="6395" width="13.5546875" style="138" customWidth="1"/>
    <col min="6396" max="6396" width="15.33203125" style="138" customWidth="1"/>
    <col min="6397" max="6397" width="12.77734375" style="138" customWidth="1"/>
    <col min="6398" max="6398" width="13.88671875" style="138" customWidth="1"/>
    <col min="6399" max="6399" width="1.88671875" style="138" customWidth="1"/>
    <col min="6400" max="6400" width="13" style="138" customWidth="1"/>
    <col min="6401" max="6640" width="8.88671875" style="138"/>
    <col min="6641" max="6641" width="6" style="138" customWidth="1"/>
    <col min="6642" max="6642" width="1.44140625" style="138" customWidth="1"/>
    <col min="6643" max="6643" width="39.109375" style="138" customWidth="1"/>
    <col min="6644" max="6644" width="12" style="138" customWidth="1"/>
    <col min="6645" max="6645" width="14.44140625" style="138" customWidth="1"/>
    <col min="6646" max="6646" width="11.88671875" style="138" customWidth="1"/>
    <col min="6647" max="6647" width="14.109375" style="138" customWidth="1"/>
    <col min="6648" max="6648" width="13.88671875" style="138" customWidth="1"/>
    <col min="6649" max="6650" width="12.77734375" style="138" customWidth="1"/>
    <col min="6651" max="6651" width="13.5546875" style="138" customWidth="1"/>
    <col min="6652" max="6652" width="15.33203125" style="138" customWidth="1"/>
    <col min="6653" max="6653" width="12.77734375" style="138" customWidth="1"/>
    <col min="6654" max="6654" width="13.88671875" style="138" customWidth="1"/>
    <col min="6655" max="6655" width="1.88671875" style="138" customWidth="1"/>
    <col min="6656" max="6656" width="13" style="138" customWidth="1"/>
    <col min="6657" max="6896" width="8.88671875" style="138"/>
    <col min="6897" max="6897" width="6" style="138" customWidth="1"/>
    <col min="6898" max="6898" width="1.44140625" style="138" customWidth="1"/>
    <col min="6899" max="6899" width="39.109375" style="138" customWidth="1"/>
    <col min="6900" max="6900" width="12" style="138" customWidth="1"/>
    <col min="6901" max="6901" width="14.44140625" style="138" customWidth="1"/>
    <col min="6902" max="6902" width="11.88671875" style="138" customWidth="1"/>
    <col min="6903" max="6903" width="14.109375" style="138" customWidth="1"/>
    <col min="6904" max="6904" width="13.88671875" style="138" customWidth="1"/>
    <col min="6905" max="6906" width="12.77734375" style="138" customWidth="1"/>
    <col min="6907" max="6907" width="13.5546875" style="138" customWidth="1"/>
    <col min="6908" max="6908" width="15.33203125" style="138" customWidth="1"/>
    <col min="6909" max="6909" width="12.77734375" style="138" customWidth="1"/>
    <col min="6910" max="6910" width="13.88671875" style="138" customWidth="1"/>
    <col min="6911" max="6911" width="1.88671875" style="138" customWidth="1"/>
    <col min="6912" max="6912" width="13" style="138" customWidth="1"/>
    <col min="6913" max="7152" width="8.88671875" style="138"/>
    <col min="7153" max="7153" width="6" style="138" customWidth="1"/>
    <col min="7154" max="7154" width="1.44140625" style="138" customWidth="1"/>
    <col min="7155" max="7155" width="39.109375" style="138" customWidth="1"/>
    <col min="7156" max="7156" width="12" style="138" customWidth="1"/>
    <col min="7157" max="7157" width="14.44140625" style="138" customWidth="1"/>
    <col min="7158" max="7158" width="11.88671875" style="138" customWidth="1"/>
    <col min="7159" max="7159" width="14.109375" style="138" customWidth="1"/>
    <col min="7160" max="7160" width="13.88671875" style="138" customWidth="1"/>
    <col min="7161" max="7162" width="12.77734375" style="138" customWidth="1"/>
    <col min="7163" max="7163" width="13.5546875" style="138" customWidth="1"/>
    <col min="7164" max="7164" width="15.33203125" style="138" customWidth="1"/>
    <col min="7165" max="7165" width="12.77734375" style="138" customWidth="1"/>
    <col min="7166" max="7166" width="13.88671875" style="138" customWidth="1"/>
    <col min="7167" max="7167" width="1.88671875" style="138" customWidth="1"/>
    <col min="7168" max="7168" width="13" style="138" customWidth="1"/>
    <col min="7169" max="7408" width="8.88671875" style="138"/>
    <col min="7409" max="7409" width="6" style="138" customWidth="1"/>
    <col min="7410" max="7410" width="1.44140625" style="138" customWidth="1"/>
    <col min="7411" max="7411" width="39.109375" style="138" customWidth="1"/>
    <col min="7412" max="7412" width="12" style="138" customWidth="1"/>
    <col min="7413" max="7413" width="14.44140625" style="138" customWidth="1"/>
    <col min="7414" max="7414" width="11.88671875" style="138" customWidth="1"/>
    <col min="7415" max="7415" width="14.109375" style="138" customWidth="1"/>
    <col min="7416" max="7416" width="13.88671875" style="138" customWidth="1"/>
    <col min="7417" max="7418" width="12.77734375" style="138" customWidth="1"/>
    <col min="7419" max="7419" width="13.5546875" style="138" customWidth="1"/>
    <col min="7420" max="7420" width="15.33203125" style="138" customWidth="1"/>
    <col min="7421" max="7421" width="12.77734375" style="138" customWidth="1"/>
    <col min="7422" max="7422" width="13.88671875" style="138" customWidth="1"/>
    <col min="7423" max="7423" width="1.88671875" style="138" customWidth="1"/>
    <col min="7424" max="7424" width="13" style="138" customWidth="1"/>
    <col min="7425" max="7664" width="8.88671875" style="138"/>
    <col min="7665" max="7665" width="6" style="138" customWidth="1"/>
    <col min="7666" max="7666" width="1.44140625" style="138" customWidth="1"/>
    <col min="7667" max="7667" width="39.109375" style="138" customWidth="1"/>
    <col min="7668" max="7668" width="12" style="138" customWidth="1"/>
    <col min="7669" max="7669" width="14.44140625" style="138" customWidth="1"/>
    <col min="7670" max="7670" width="11.88671875" style="138" customWidth="1"/>
    <col min="7671" max="7671" width="14.109375" style="138" customWidth="1"/>
    <col min="7672" max="7672" width="13.88671875" style="138" customWidth="1"/>
    <col min="7673" max="7674" width="12.77734375" style="138" customWidth="1"/>
    <col min="7675" max="7675" width="13.5546875" style="138" customWidth="1"/>
    <col min="7676" max="7676" width="15.33203125" style="138" customWidth="1"/>
    <col min="7677" max="7677" width="12.77734375" style="138" customWidth="1"/>
    <col min="7678" max="7678" width="13.88671875" style="138" customWidth="1"/>
    <col min="7679" max="7679" width="1.88671875" style="138" customWidth="1"/>
    <col min="7680" max="7680" width="13" style="138" customWidth="1"/>
    <col min="7681" max="7920" width="8.88671875" style="138"/>
    <col min="7921" max="7921" width="6" style="138" customWidth="1"/>
    <col min="7922" max="7922" width="1.44140625" style="138" customWidth="1"/>
    <col min="7923" max="7923" width="39.109375" style="138" customWidth="1"/>
    <col min="7924" max="7924" width="12" style="138" customWidth="1"/>
    <col min="7925" max="7925" width="14.44140625" style="138" customWidth="1"/>
    <col min="7926" max="7926" width="11.88671875" style="138" customWidth="1"/>
    <col min="7927" max="7927" width="14.109375" style="138" customWidth="1"/>
    <col min="7928" max="7928" width="13.88671875" style="138" customWidth="1"/>
    <col min="7929" max="7930" width="12.77734375" style="138" customWidth="1"/>
    <col min="7931" max="7931" width="13.5546875" style="138" customWidth="1"/>
    <col min="7932" max="7932" width="15.33203125" style="138" customWidth="1"/>
    <col min="7933" max="7933" width="12.77734375" style="138" customWidth="1"/>
    <col min="7934" max="7934" width="13.88671875" style="138" customWidth="1"/>
    <col min="7935" max="7935" width="1.88671875" style="138" customWidth="1"/>
    <col min="7936" max="7936" width="13" style="138" customWidth="1"/>
    <col min="7937" max="8176" width="8.88671875" style="138"/>
    <col min="8177" max="8177" width="6" style="138" customWidth="1"/>
    <col min="8178" max="8178" width="1.44140625" style="138" customWidth="1"/>
    <col min="8179" max="8179" width="39.109375" style="138" customWidth="1"/>
    <col min="8180" max="8180" width="12" style="138" customWidth="1"/>
    <col min="8181" max="8181" width="14.44140625" style="138" customWidth="1"/>
    <col min="8182" max="8182" width="11.88671875" style="138" customWidth="1"/>
    <col min="8183" max="8183" width="14.109375" style="138" customWidth="1"/>
    <col min="8184" max="8184" width="13.88671875" style="138" customWidth="1"/>
    <col min="8185" max="8186" width="12.77734375" style="138" customWidth="1"/>
    <col min="8187" max="8187" width="13.5546875" style="138" customWidth="1"/>
    <col min="8188" max="8188" width="15.33203125" style="138" customWidth="1"/>
    <col min="8189" max="8189" width="12.77734375" style="138" customWidth="1"/>
    <col min="8190" max="8190" width="13.88671875" style="138" customWidth="1"/>
    <col min="8191" max="8191" width="1.88671875" style="138" customWidth="1"/>
    <col min="8192" max="8192" width="13" style="138" customWidth="1"/>
    <col min="8193" max="8432" width="8.88671875" style="138"/>
    <col min="8433" max="8433" width="6" style="138" customWidth="1"/>
    <col min="8434" max="8434" width="1.44140625" style="138" customWidth="1"/>
    <col min="8435" max="8435" width="39.109375" style="138" customWidth="1"/>
    <col min="8436" max="8436" width="12" style="138" customWidth="1"/>
    <col min="8437" max="8437" width="14.44140625" style="138" customWidth="1"/>
    <col min="8438" max="8438" width="11.88671875" style="138" customWidth="1"/>
    <col min="8439" max="8439" width="14.109375" style="138" customWidth="1"/>
    <col min="8440" max="8440" width="13.88671875" style="138" customWidth="1"/>
    <col min="8441" max="8442" width="12.77734375" style="138" customWidth="1"/>
    <col min="8443" max="8443" width="13.5546875" style="138" customWidth="1"/>
    <col min="8444" max="8444" width="15.33203125" style="138" customWidth="1"/>
    <col min="8445" max="8445" width="12.77734375" style="138" customWidth="1"/>
    <col min="8446" max="8446" width="13.88671875" style="138" customWidth="1"/>
    <col min="8447" max="8447" width="1.88671875" style="138" customWidth="1"/>
    <col min="8448" max="8448" width="13" style="138" customWidth="1"/>
    <col min="8449" max="8688" width="8.88671875" style="138"/>
    <col min="8689" max="8689" width="6" style="138" customWidth="1"/>
    <col min="8690" max="8690" width="1.44140625" style="138" customWidth="1"/>
    <col min="8691" max="8691" width="39.109375" style="138" customWidth="1"/>
    <col min="8692" max="8692" width="12" style="138" customWidth="1"/>
    <col min="8693" max="8693" width="14.44140625" style="138" customWidth="1"/>
    <col min="8694" max="8694" width="11.88671875" style="138" customWidth="1"/>
    <col min="8695" max="8695" width="14.109375" style="138" customWidth="1"/>
    <col min="8696" max="8696" width="13.88671875" style="138" customWidth="1"/>
    <col min="8697" max="8698" width="12.77734375" style="138" customWidth="1"/>
    <col min="8699" max="8699" width="13.5546875" style="138" customWidth="1"/>
    <col min="8700" max="8700" width="15.33203125" style="138" customWidth="1"/>
    <col min="8701" max="8701" width="12.77734375" style="138" customWidth="1"/>
    <col min="8702" max="8702" width="13.88671875" style="138" customWidth="1"/>
    <col min="8703" max="8703" width="1.88671875" style="138" customWidth="1"/>
    <col min="8704" max="8704" width="13" style="138" customWidth="1"/>
    <col min="8705" max="8944" width="8.88671875" style="138"/>
    <col min="8945" max="8945" width="6" style="138" customWidth="1"/>
    <col min="8946" max="8946" width="1.44140625" style="138" customWidth="1"/>
    <col min="8947" max="8947" width="39.109375" style="138" customWidth="1"/>
    <col min="8948" max="8948" width="12" style="138" customWidth="1"/>
    <col min="8949" max="8949" width="14.44140625" style="138" customWidth="1"/>
    <col min="8950" max="8950" width="11.88671875" style="138" customWidth="1"/>
    <col min="8951" max="8951" width="14.109375" style="138" customWidth="1"/>
    <col min="8952" max="8952" width="13.88671875" style="138" customWidth="1"/>
    <col min="8953" max="8954" width="12.77734375" style="138" customWidth="1"/>
    <col min="8955" max="8955" width="13.5546875" style="138" customWidth="1"/>
    <col min="8956" max="8956" width="15.33203125" style="138" customWidth="1"/>
    <col min="8957" max="8957" width="12.77734375" style="138" customWidth="1"/>
    <col min="8958" max="8958" width="13.88671875" style="138" customWidth="1"/>
    <col min="8959" max="8959" width="1.88671875" style="138" customWidth="1"/>
    <col min="8960" max="8960" width="13" style="138" customWidth="1"/>
    <col min="8961" max="9200" width="8.88671875" style="138"/>
    <col min="9201" max="9201" width="6" style="138" customWidth="1"/>
    <col min="9202" max="9202" width="1.44140625" style="138" customWidth="1"/>
    <col min="9203" max="9203" width="39.109375" style="138" customWidth="1"/>
    <col min="9204" max="9204" width="12" style="138" customWidth="1"/>
    <col min="9205" max="9205" width="14.44140625" style="138" customWidth="1"/>
    <col min="9206" max="9206" width="11.88671875" style="138" customWidth="1"/>
    <col min="9207" max="9207" width="14.109375" style="138" customWidth="1"/>
    <col min="9208" max="9208" width="13.88671875" style="138" customWidth="1"/>
    <col min="9209" max="9210" width="12.77734375" style="138" customWidth="1"/>
    <col min="9211" max="9211" width="13.5546875" style="138" customWidth="1"/>
    <col min="9212" max="9212" width="15.33203125" style="138" customWidth="1"/>
    <col min="9213" max="9213" width="12.77734375" style="138" customWidth="1"/>
    <col min="9214" max="9214" width="13.88671875" style="138" customWidth="1"/>
    <col min="9215" max="9215" width="1.88671875" style="138" customWidth="1"/>
    <col min="9216" max="9216" width="13" style="138" customWidth="1"/>
    <col min="9217" max="9456" width="8.88671875" style="138"/>
    <col min="9457" max="9457" width="6" style="138" customWidth="1"/>
    <col min="9458" max="9458" width="1.44140625" style="138" customWidth="1"/>
    <col min="9459" max="9459" width="39.109375" style="138" customWidth="1"/>
    <col min="9460" max="9460" width="12" style="138" customWidth="1"/>
    <col min="9461" max="9461" width="14.44140625" style="138" customWidth="1"/>
    <col min="9462" max="9462" width="11.88671875" style="138" customWidth="1"/>
    <col min="9463" max="9463" width="14.109375" style="138" customWidth="1"/>
    <col min="9464" max="9464" width="13.88671875" style="138" customWidth="1"/>
    <col min="9465" max="9466" width="12.77734375" style="138" customWidth="1"/>
    <col min="9467" max="9467" width="13.5546875" style="138" customWidth="1"/>
    <col min="9468" max="9468" width="15.33203125" style="138" customWidth="1"/>
    <col min="9469" max="9469" width="12.77734375" style="138" customWidth="1"/>
    <col min="9470" max="9470" width="13.88671875" style="138" customWidth="1"/>
    <col min="9471" max="9471" width="1.88671875" style="138" customWidth="1"/>
    <col min="9472" max="9472" width="13" style="138" customWidth="1"/>
    <col min="9473" max="9712" width="8.88671875" style="138"/>
    <col min="9713" max="9713" width="6" style="138" customWidth="1"/>
    <col min="9714" max="9714" width="1.44140625" style="138" customWidth="1"/>
    <col min="9715" max="9715" width="39.109375" style="138" customWidth="1"/>
    <col min="9716" max="9716" width="12" style="138" customWidth="1"/>
    <col min="9717" max="9717" width="14.44140625" style="138" customWidth="1"/>
    <col min="9718" max="9718" width="11.88671875" style="138" customWidth="1"/>
    <col min="9719" max="9719" width="14.109375" style="138" customWidth="1"/>
    <col min="9720" max="9720" width="13.88671875" style="138" customWidth="1"/>
    <col min="9721" max="9722" width="12.77734375" style="138" customWidth="1"/>
    <col min="9723" max="9723" width="13.5546875" style="138" customWidth="1"/>
    <col min="9724" max="9724" width="15.33203125" style="138" customWidth="1"/>
    <col min="9725" max="9725" width="12.77734375" style="138" customWidth="1"/>
    <col min="9726" max="9726" width="13.88671875" style="138" customWidth="1"/>
    <col min="9727" max="9727" width="1.88671875" style="138" customWidth="1"/>
    <col min="9728" max="9728" width="13" style="138" customWidth="1"/>
    <col min="9729" max="9968" width="8.88671875" style="138"/>
    <col min="9969" max="9969" width="6" style="138" customWidth="1"/>
    <col min="9970" max="9970" width="1.44140625" style="138" customWidth="1"/>
    <col min="9971" max="9971" width="39.109375" style="138" customWidth="1"/>
    <col min="9972" max="9972" width="12" style="138" customWidth="1"/>
    <col min="9973" max="9973" width="14.44140625" style="138" customWidth="1"/>
    <col min="9974" max="9974" width="11.88671875" style="138" customWidth="1"/>
    <col min="9975" max="9975" width="14.109375" style="138" customWidth="1"/>
    <col min="9976" max="9976" width="13.88671875" style="138" customWidth="1"/>
    <col min="9977" max="9978" width="12.77734375" style="138" customWidth="1"/>
    <col min="9979" max="9979" width="13.5546875" style="138" customWidth="1"/>
    <col min="9980" max="9980" width="15.33203125" style="138" customWidth="1"/>
    <col min="9981" max="9981" width="12.77734375" style="138" customWidth="1"/>
    <col min="9982" max="9982" width="13.88671875" style="138" customWidth="1"/>
    <col min="9983" max="9983" width="1.88671875" style="138" customWidth="1"/>
    <col min="9984" max="9984" width="13" style="138" customWidth="1"/>
    <col min="9985" max="10224" width="8.88671875" style="138"/>
    <col min="10225" max="10225" width="6" style="138" customWidth="1"/>
    <col min="10226" max="10226" width="1.44140625" style="138" customWidth="1"/>
    <col min="10227" max="10227" width="39.109375" style="138" customWidth="1"/>
    <col min="10228" max="10228" width="12" style="138" customWidth="1"/>
    <col min="10229" max="10229" width="14.44140625" style="138" customWidth="1"/>
    <col min="10230" max="10230" width="11.88671875" style="138" customWidth="1"/>
    <col min="10231" max="10231" width="14.109375" style="138" customWidth="1"/>
    <col min="10232" max="10232" width="13.88671875" style="138" customWidth="1"/>
    <col min="10233" max="10234" width="12.77734375" style="138" customWidth="1"/>
    <col min="10235" max="10235" width="13.5546875" style="138" customWidth="1"/>
    <col min="10236" max="10236" width="15.33203125" style="138" customWidth="1"/>
    <col min="10237" max="10237" width="12.77734375" style="138" customWidth="1"/>
    <col min="10238" max="10238" width="13.88671875" style="138" customWidth="1"/>
    <col min="10239" max="10239" width="1.88671875" style="138" customWidth="1"/>
    <col min="10240" max="10240" width="13" style="138" customWidth="1"/>
    <col min="10241" max="10480" width="8.88671875" style="138"/>
    <col min="10481" max="10481" width="6" style="138" customWidth="1"/>
    <col min="10482" max="10482" width="1.44140625" style="138" customWidth="1"/>
    <col min="10483" max="10483" width="39.109375" style="138" customWidth="1"/>
    <col min="10484" max="10484" width="12" style="138" customWidth="1"/>
    <col min="10485" max="10485" width="14.44140625" style="138" customWidth="1"/>
    <col min="10486" max="10486" width="11.88671875" style="138" customWidth="1"/>
    <col min="10487" max="10487" width="14.109375" style="138" customWidth="1"/>
    <col min="10488" max="10488" width="13.88671875" style="138" customWidth="1"/>
    <col min="10489" max="10490" width="12.77734375" style="138" customWidth="1"/>
    <col min="10491" max="10491" width="13.5546875" style="138" customWidth="1"/>
    <col min="10492" max="10492" width="15.33203125" style="138" customWidth="1"/>
    <col min="10493" max="10493" width="12.77734375" style="138" customWidth="1"/>
    <col min="10494" max="10494" width="13.88671875" style="138" customWidth="1"/>
    <col min="10495" max="10495" width="1.88671875" style="138" customWidth="1"/>
    <col min="10496" max="10496" width="13" style="138" customWidth="1"/>
    <col min="10497" max="10736" width="8.88671875" style="138"/>
    <col min="10737" max="10737" width="6" style="138" customWidth="1"/>
    <col min="10738" max="10738" width="1.44140625" style="138" customWidth="1"/>
    <col min="10739" max="10739" width="39.109375" style="138" customWidth="1"/>
    <col min="10740" max="10740" width="12" style="138" customWidth="1"/>
    <col min="10741" max="10741" width="14.44140625" style="138" customWidth="1"/>
    <col min="10742" max="10742" width="11.88671875" style="138" customWidth="1"/>
    <col min="10743" max="10743" width="14.109375" style="138" customWidth="1"/>
    <col min="10744" max="10744" width="13.88671875" style="138" customWidth="1"/>
    <col min="10745" max="10746" width="12.77734375" style="138" customWidth="1"/>
    <col min="10747" max="10747" width="13.5546875" style="138" customWidth="1"/>
    <col min="10748" max="10748" width="15.33203125" style="138" customWidth="1"/>
    <col min="10749" max="10749" width="12.77734375" style="138" customWidth="1"/>
    <col min="10750" max="10750" width="13.88671875" style="138" customWidth="1"/>
    <col min="10751" max="10751" width="1.88671875" style="138" customWidth="1"/>
    <col min="10752" max="10752" width="13" style="138" customWidth="1"/>
    <col min="10753" max="10992" width="8.88671875" style="138"/>
    <col min="10993" max="10993" width="6" style="138" customWidth="1"/>
    <col min="10994" max="10994" width="1.44140625" style="138" customWidth="1"/>
    <col min="10995" max="10995" width="39.109375" style="138" customWidth="1"/>
    <col min="10996" max="10996" width="12" style="138" customWidth="1"/>
    <col min="10997" max="10997" width="14.44140625" style="138" customWidth="1"/>
    <col min="10998" max="10998" width="11.88671875" style="138" customWidth="1"/>
    <col min="10999" max="10999" width="14.109375" style="138" customWidth="1"/>
    <col min="11000" max="11000" width="13.88671875" style="138" customWidth="1"/>
    <col min="11001" max="11002" width="12.77734375" style="138" customWidth="1"/>
    <col min="11003" max="11003" width="13.5546875" style="138" customWidth="1"/>
    <col min="11004" max="11004" width="15.33203125" style="138" customWidth="1"/>
    <col min="11005" max="11005" width="12.77734375" style="138" customWidth="1"/>
    <col min="11006" max="11006" width="13.88671875" style="138" customWidth="1"/>
    <col min="11007" max="11007" width="1.88671875" style="138" customWidth="1"/>
    <col min="11008" max="11008" width="13" style="138" customWidth="1"/>
    <col min="11009" max="11248" width="8.88671875" style="138"/>
    <col min="11249" max="11249" width="6" style="138" customWidth="1"/>
    <col min="11250" max="11250" width="1.44140625" style="138" customWidth="1"/>
    <col min="11251" max="11251" width="39.109375" style="138" customWidth="1"/>
    <col min="11252" max="11252" width="12" style="138" customWidth="1"/>
    <col min="11253" max="11253" width="14.44140625" style="138" customWidth="1"/>
    <col min="11254" max="11254" width="11.88671875" style="138" customWidth="1"/>
    <col min="11255" max="11255" width="14.109375" style="138" customWidth="1"/>
    <col min="11256" max="11256" width="13.88671875" style="138" customWidth="1"/>
    <col min="11257" max="11258" width="12.77734375" style="138" customWidth="1"/>
    <col min="11259" max="11259" width="13.5546875" style="138" customWidth="1"/>
    <col min="11260" max="11260" width="15.33203125" style="138" customWidth="1"/>
    <col min="11261" max="11261" width="12.77734375" style="138" customWidth="1"/>
    <col min="11262" max="11262" width="13.88671875" style="138" customWidth="1"/>
    <col min="11263" max="11263" width="1.88671875" style="138" customWidth="1"/>
    <col min="11264" max="11264" width="13" style="138" customWidth="1"/>
    <col min="11265" max="11504" width="8.88671875" style="138"/>
    <col min="11505" max="11505" width="6" style="138" customWidth="1"/>
    <col min="11506" max="11506" width="1.44140625" style="138" customWidth="1"/>
    <col min="11507" max="11507" width="39.109375" style="138" customWidth="1"/>
    <col min="11508" max="11508" width="12" style="138" customWidth="1"/>
    <col min="11509" max="11509" width="14.44140625" style="138" customWidth="1"/>
    <col min="11510" max="11510" width="11.88671875" style="138" customWidth="1"/>
    <col min="11511" max="11511" width="14.109375" style="138" customWidth="1"/>
    <col min="11512" max="11512" width="13.88671875" style="138" customWidth="1"/>
    <col min="11513" max="11514" width="12.77734375" style="138" customWidth="1"/>
    <col min="11515" max="11515" width="13.5546875" style="138" customWidth="1"/>
    <col min="11516" max="11516" width="15.33203125" style="138" customWidth="1"/>
    <col min="11517" max="11517" width="12.77734375" style="138" customWidth="1"/>
    <col min="11518" max="11518" width="13.88671875" style="138" customWidth="1"/>
    <col min="11519" max="11519" width="1.88671875" style="138" customWidth="1"/>
    <col min="11520" max="11520" width="13" style="138" customWidth="1"/>
    <col min="11521" max="11760" width="8.88671875" style="138"/>
    <col min="11761" max="11761" width="6" style="138" customWidth="1"/>
    <col min="11762" max="11762" width="1.44140625" style="138" customWidth="1"/>
    <col min="11763" max="11763" width="39.109375" style="138" customWidth="1"/>
    <col min="11764" max="11764" width="12" style="138" customWidth="1"/>
    <col min="11765" max="11765" width="14.44140625" style="138" customWidth="1"/>
    <col min="11766" max="11766" width="11.88671875" style="138" customWidth="1"/>
    <col min="11767" max="11767" width="14.109375" style="138" customWidth="1"/>
    <col min="11768" max="11768" width="13.88671875" style="138" customWidth="1"/>
    <col min="11769" max="11770" width="12.77734375" style="138" customWidth="1"/>
    <col min="11771" max="11771" width="13.5546875" style="138" customWidth="1"/>
    <col min="11772" max="11772" width="15.33203125" style="138" customWidth="1"/>
    <col min="11773" max="11773" width="12.77734375" style="138" customWidth="1"/>
    <col min="11774" max="11774" width="13.88671875" style="138" customWidth="1"/>
    <col min="11775" max="11775" width="1.88671875" style="138" customWidth="1"/>
    <col min="11776" max="11776" width="13" style="138" customWidth="1"/>
    <col min="11777" max="12016" width="8.88671875" style="138"/>
    <col min="12017" max="12017" width="6" style="138" customWidth="1"/>
    <col min="12018" max="12018" width="1.44140625" style="138" customWidth="1"/>
    <col min="12019" max="12019" width="39.109375" style="138" customWidth="1"/>
    <col min="12020" max="12020" width="12" style="138" customWidth="1"/>
    <col min="12021" max="12021" width="14.44140625" style="138" customWidth="1"/>
    <col min="12022" max="12022" width="11.88671875" style="138" customWidth="1"/>
    <col min="12023" max="12023" width="14.109375" style="138" customWidth="1"/>
    <col min="12024" max="12024" width="13.88671875" style="138" customWidth="1"/>
    <col min="12025" max="12026" width="12.77734375" style="138" customWidth="1"/>
    <col min="12027" max="12027" width="13.5546875" style="138" customWidth="1"/>
    <col min="12028" max="12028" width="15.33203125" style="138" customWidth="1"/>
    <col min="12029" max="12029" width="12.77734375" style="138" customWidth="1"/>
    <col min="12030" max="12030" width="13.88671875" style="138" customWidth="1"/>
    <col min="12031" max="12031" width="1.88671875" style="138" customWidth="1"/>
    <col min="12032" max="12032" width="13" style="138" customWidth="1"/>
    <col min="12033" max="12272" width="8.88671875" style="138"/>
    <col min="12273" max="12273" width="6" style="138" customWidth="1"/>
    <col min="12274" max="12274" width="1.44140625" style="138" customWidth="1"/>
    <col min="12275" max="12275" width="39.109375" style="138" customWidth="1"/>
    <col min="12276" max="12276" width="12" style="138" customWidth="1"/>
    <col min="12277" max="12277" width="14.44140625" style="138" customWidth="1"/>
    <col min="12278" max="12278" width="11.88671875" style="138" customWidth="1"/>
    <col min="12279" max="12279" width="14.109375" style="138" customWidth="1"/>
    <col min="12280" max="12280" width="13.88671875" style="138" customWidth="1"/>
    <col min="12281" max="12282" width="12.77734375" style="138" customWidth="1"/>
    <col min="12283" max="12283" width="13.5546875" style="138" customWidth="1"/>
    <col min="12284" max="12284" width="15.33203125" style="138" customWidth="1"/>
    <col min="12285" max="12285" width="12.77734375" style="138" customWidth="1"/>
    <col min="12286" max="12286" width="13.88671875" style="138" customWidth="1"/>
    <col min="12287" max="12287" width="1.88671875" style="138" customWidth="1"/>
    <col min="12288" max="12288" width="13" style="138" customWidth="1"/>
    <col min="12289" max="12528" width="8.88671875" style="138"/>
    <col min="12529" max="12529" width="6" style="138" customWidth="1"/>
    <col min="12530" max="12530" width="1.44140625" style="138" customWidth="1"/>
    <col min="12531" max="12531" width="39.109375" style="138" customWidth="1"/>
    <col min="12532" max="12532" width="12" style="138" customWidth="1"/>
    <col min="12533" max="12533" width="14.44140625" style="138" customWidth="1"/>
    <col min="12534" max="12534" width="11.88671875" style="138" customWidth="1"/>
    <col min="12535" max="12535" width="14.109375" style="138" customWidth="1"/>
    <col min="12536" max="12536" width="13.88671875" style="138" customWidth="1"/>
    <col min="12537" max="12538" width="12.77734375" style="138" customWidth="1"/>
    <col min="12539" max="12539" width="13.5546875" style="138" customWidth="1"/>
    <col min="12540" max="12540" width="15.33203125" style="138" customWidth="1"/>
    <col min="12541" max="12541" width="12.77734375" style="138" customWidth="1"/>
    <col min="12542" max="12542" width="13.88671875" style="138" customWidth="1"/>
    <col min="12543" max="12543" width="1.88671875" style="138" customWidth="1"/>
    <col min="12544" max="12544" width="13" style="138" customWidth="1"/>
    <col min="12545" max="12784" width="8.88671875" style="138"/>
    <col min="12785" max="12785" width="6" style="138" customWidth="1"/>
    <col min="12786" max="12786" width="1.44140625" style="138" customWidth="1"/>
    <col min="12787" max="12787" width="39.109375" style="138" customWidth="1"/>
    <col min="12788" max="12788" width="12" style="138" customWidth="1"/>
    <col min="12789" max="12789" width="14.44140625" style="138" customWidth="1"/>
    <col min="12790" max="12790" width="11.88671875" style="138" customWidth="1"/>
    <col min="12791" max="12791" width="14.109375" style="138" customWidth="1"/>
    <col min="12792" max="12792" width="13.88671875" style="138" customWidth="1"/>
    <col min="12793" max="12794" width="12.77734375" style="138" customWidth="1"/>
    <col min="12795" max="12795" width="13.5546875" style="138" customWidth="1"/>
    <col min="12796" max="12796" width="15.33203125" style="138" customWidth="1"/>
    <col min="12797" max="12797" width="12.77734375" style="138" customWidth="1"/>
    <col min="12798" max="12798" width="13.88671875" style="138" customWidth="1"/>
    <col min="12799" max="12799" width="1.88671875" style="138" customWidth="1"/>
    <col min="12800" max="12800" width="13" style="138" customWidth="1"/>
    <col min="12801" max="13040" width="8.88671875" style="138"/>
    <col min="13041" max="13041" width="6" style="138" customWidth="1"/>
    <col min="13042" max="13042" width="1.44140625" style="138" customWidth="1"/>
    <col min="13043" max="13043" width="39.109375" style="138" customWidth="1"/>
    <col min="13044" max="13044" width="12" style="138" customWidth="1"/>
    <col min="13045" max="13045" width="14.44140625" style="138" customWidth="1"/>
    <col min="13046" max="13046" width="11.88671875" style="138" customWidth="1"/>
    <col min="13047" max="13047" width="14.109375" style="138" customWidth="1"/>
    <col min="13048" max="13048" width="13.88671875" style="138" customWidth="1"/>
    <col min="13049" max="13050" width="12.77734375" style="138" customWidth="1"/>
    <col min="13051" max="13051" width="13.5546875" style="138" customWidth="1"/>
    <col min="13052" max="13052" width="15.33203125" style="138" customWidth="1"/>
    <col min="13053" max="13053" width="12.77734375" style="138" customWidth="1"/>
    <col min="13054" max="13054" width="13.88671875" style="138" customWidth="1"/>
    <col min="13055" max="13055" width="1.88671875" style="138" customWidth="1"/>
    <col min="13056" max="13056" width="13" style="138" customWidth="1"/>
    <col min="13057" max="13296" width="8.88671875" style="138"/>
    <col min="13297" max="13297" width="6" style="138" customWidth="1"/>
    <col min="13298" max="13298" width="1.44140625" style="138" customWidth="1"/>
    <col min="13299" max="13299" width="39.109375" style="138" customWidth="1"/>
    <col min="13300" max="13300" width="12" style="138" customWidth="1"/>
    <col min="13301" max="13301" width="14.44140625" style="138" customWidth="1"/>
    <col min="13302" max="13302" width="11.88671875" style="138" customWidth="1"/>
    <col min="13303" max="13303" width="14.109375" style="138" customWidth="1"/>
    <col min="13304" max="13304" width="13.88671875" style="138" customWidth="1"/>
    <col min="13305" max="13306" width="12.77734375" style="138" customWidth="1"/>
    <col min="13307" max="13307" width="13.5546875" style="138" customWidth="1"/>
    <col min="13308" max="13308" width="15.33203125" style="138" customWidth="1"/>
    <col min="13309" max="13309" width="12.77734375" style="138" customWidth="1"/>
    <col min="13310" max="13310" width="13.88671875" style="138" customWidth="1"/>
    <col min="13311" max="13311" width="1.88671875" style="138" customWidth="1"/>
    <col min="13312" max="13312" width="13" style="138" customWidth="1"/>
    <col min="13313" max="13552" width="8.88671875" style="138"/>
    <col min="13553" max="13553" width="6" style="138" customWidth="1"/>
    <col min="13554" max="13554" width="1.44140625" style="138" customWidth="1"/>
    <col min="13555" max="13555" width="39.109375" style="138" customWidth="1"/>
    <col min="13556" max="13556" width="12" style="138" customWidth="1"/>
    <col min="13557" max="13557" width="14.44140625" style="138" customWidth="1"/>
    <col min="13558" max="13558" width="11.88671875" style="138" customWidth="1"/>
    <col min="13559" max="13559" width="14.109375" style="138" customWidth="1"/>
    <col min="13560" max="13560" width="13.88671875" style="138" customWidth="1"/>
    <col min="13561" max="13562" width="12.77734375" style="138" customWidth="1"/>
    <col min="13563" max="13563" width="13.5546875" style="138" customWidth="1"/>
    <col min="13564" max="13564" width="15.33203125" style="138" customWidth="1"/>
    <col min="13565" max="13565" width="12.77734375" style="138" customWidth="1"/>
    <col min="13566" max="13566" width="13.88671875" style="138" customWidth="1"/>
    <col min="13567" max="13567" width="1.88671875" style="138" customWidth="1"/>
    <col min="13568" max="13568" width="13" style="138" customWidth="1"/>
    <col min="13569" max="13808" width="8.88671875" style="138"/>
    <col min="13809" max="13809" width="6" style="138" customWidth="1"/>
    <col min="13810" max="13810" width="1.44140625" style="138" customWidth="1"/>
    <col min="13811" max="13811" width="39.109375" style="138" customWidth="1"/>
    <col min="13812" max="13812" width="12" style="138" customWidth="1"/>
    <col min="13813" max="13813" width="14.44140625" style="138" customWidth="1"/>
    <col min="13814" max="13814" width="11.88671875" style="138" customWidth="1"/>
    <col min="13815" max="13815" width="14.109375" style="138" customWidth="1"/>
    <col min="13816" max="13816" width="13.88671875" style="138" customWidth="1"/>
    <col min="13817" max="13818" width="12.77734375" style="138" customWidth="1"/>
    <col min="13819" max="13819" width="13.5546875" style="138" customWidth="1"/>
    <col min="13820" max="13820" width="15.33203125" style="138" customWidth="1"/>
    <col min="13821" max="13821" width="12.77734375" style="138" customWidth="1"/>
    <col min="13822" max="13822" width="13.88671875" style="138" customWidth="1"/>
    <col min="13823" max="13823" width="1.88671875" style="138" customWidth="1"/>
    <col min="13824" max="13824" width="13" style="138" customWidth="1"/>
    <col min="13825" max="14064" width="8.88671875" style="138"/>
    <col min="14065" max="14065" width="6" style="138" customWidth="1"/>
    <col min="14066" max="14066" width="1.44140625" style="138" customWidth="1"/>
    <col min="14067" max="14067" width="39.109375" style="138" customWidth="1"/>
    <col min="14068" max="14068" width="12" style="138" customWidth="1"/>
    <col min="14069" max="14069" width="14.44140625" style="138" customWidth="1"/>
    <col min="14070" max="14070" width="11.88671875" style="138" customWidth="1"/>
    <col min="14071" max="14071" width="14.109375" style="138" customWidth="1"/>
    <col min="14072" max="14072" width="13.88671875" style="138" customWidth="1"/>
    <col min="14073" max="14074" width="12.77734375" style="138" customWidth="1"/>
    <col min="14075" max="14075" width="13.5546875" style="138" customWidth="1"/>
    <col min="14076" max="14076" width="15.33203125" style="138" customWidth="1"/>
    <col min="14077" max="14077" width="12.77734375" style="138" customWidth="1"/>
    <col min="14078" max="14078" width="13.88671875" style="138" customWidth="1"/>
    <col min="14079" max="14079" width="1.88671875" style="138" customWidth="1"/>
    <col min="14080" max="14080" width="13" style="138" customWidth="1"/>
    <col min="14081" max="14320" width="8.88671875" style="138"/>
    <col min="14321" max="14321" width="6" style="138" customWidth="1"/>
    <col min="14322" max="14322" width="1.44140625" style="138" customWidth="1"/>
    <col min="14323" max="14323" width="39.109375" style="138" customWidth="1"/>
    <col min="14324" max="14324" width="12" style="138" customWidth="1"/>
    <col min="14325" max="14325" width="14.44140625" style="138" customWidth="1"/>
    <col min="14326" max="14326" width="11.88671875" style="138" customWidth="1"/>
    <col min="14327" max="14327" width="14.109375" style="138" customWidth="1"/>
    <col min="14328" max="14328" width="13.88671875" style="138" customWidth="1"/>
    <col min="14329" max="14330" width="12.77734375" style="138" customWidth="1"/>
    <col min="14331" max="14331" width="13.5546875" style="138" customWidth="1"/>
    <col min="14332" max="14332" width="15.33203125" style="138" customWidth="1"/>
    <col min="14333" max="14333" width="12.77734375" style="138" customWidth="1"/>
    <col min="14334" max="14334" width="13.88671875" style="138" customWidth="1"/>
    <col min="14335" max="14335" width="1.88671875" style="138" customWidth="1"/>
    <col min="14336" max="14336" width="13" style="138" customWidth="1"/>
    <col min="14337" max="14576" width="8.88671875" style="138"/>
    <col min="14577" max="14577" width="6" style="138" customWidth="1"/>
    <col min="14578" max="14578" width="1.44140625" style="138" customWidth="1"/>
    <col min="14579" max="14579" width="39.109375" style="138" customWidth="1"/>
    <col min="14580" max="14580" width="12" style="138" customWidth="1"/>
    <col min="14581" max="14581" width="14.44140625" style="138" customWidth="1"/>
    <col min="14582" max="14582" width="11.88671875" style="138" customWidth="1"/>
    <col min="14583" max="14583" width="14.109375" style="138" customWidth="1"/>
    <col min="14584" max="14584" width="13.88671875" style="138" customWidth="1"/>
    <col min="14585" max="14586" width="12.77734375" style="138" customWidth="1"/>
    <col min="14587" max="14587" width="13.5546875" style="138" customWidth="1"/>
    <col min="14588" max="14588" width="15.33203125" style="138" customWidth="1"/>
    <col min="14589" max="14589" width="12.77734375" style="138" customWidth="1"/>
    <col min="14590" max="14590" width="13.88671875" style="138" customWidth="1"/>
    <col min="14591" max="14591" width="1.88671875" style="138" customWidth="1"/>
    <col min="14592" max="14592" width="13" style="138" customWidth="1"/>
    <col min="14593" max="14832" width="8.88671875" style="138"/>
    <col min="14833" max="14833" width="6" style="138" customWidth="1"/>
    <col min="14834" max="14834" width="1.44140625" style="138" customWidth="1"/>
    <col min="14835" max="14835" width="39.109375" style="138" customWidth="1"/>
    <col min="14836" max="14836" width="12" style="138" customWidth="1"/>
    <col min="14837" max="14837" width="14.44140625" style="138" customWidth="1"/>
    <col min="14838" max="14838" width="11.88671875" style="138" customWidth="1"/>
    <col min="14839" max="14839" width="14.109375" style="138" customWidth="1"/>
    <col min="14840" max="14840" width="13.88671875" style="138" customWidth="1"/>
    <col min="14841" max="14842" width="12.77734375" style="138" customWidth="1"/>
    <col min="14843" max="14843" width="13.5546875" style="138" customWidth="1"/>
    <col min="14844" max="14844" width="15.33203125" style="138" customWidth="1"/>
    <col min="14845" max="14845" width="12.77734375" style="138" customWidth="1"/>
    <col min="14846" max="14846" width="13.88671875" style="138" customWidth="1"/>
    <col min="14847" max="14847" width="1.88671875" style="138" customWidth="1"/>
    <col min="14848" max="14848" width="13" style="138" customWidth="1"/>
    <col min="14849" max="15088" width="8.88671875" style="138"/>
    <col min="15089" max="15089" width="6" style="138" customWidth="1"/>
    <col min="15090" max="15090" width="1.44140625" style="138" customWidth="1"/>
    <col min="15091" max="15091" width="39.109375" style="138" customWidth="1"/>
    <col min="15092" max="15092" width="12" style="138" customWidth="1"/>
    <col min="15093" max="15093" width="14.44140625" style="138" customWidth="1"/>
    <col min="15094" max="15094" width="11.88671875" style="138" customWidth="1"/>
    <col min="15095" max="15095" width="14.109375" style="138" customWidth="1"/>
    <col min="15096" max="15096" width="13.88671875" style="138" customWidth="1"/>
    <col min="15097" max="15098" width="12.77734375" style="138" customWidth="1"/>
    <col min="15099" max="15099" width="13.5546875" style="138" customWidth="1"/>
    <col min="15100" max="15100" width="15.33203125" style="138" customWidth="1"/>
    <col min="15101" max="15101" width="12.77734375" style="138" customWidth="1"/>
    <col min="15102" max="15102" width="13.88671875" style="138" customWidth="1"/>
    <col min="15103" max="15103" width="1.88671875" style="138" customWidth="1"/>
    <col min="15104" max="15104" width="13" style="138" customWidth="1"/>
    <col min="15105" max="15344" width="8.88671875" style="138"/>
    <col min="15345" max="15345" width="6" style="138" customWidth="1"/>
    <col min="15346" max="15346" width="1.44140625" style="138" customWidth="1"/>
    <col min="15347" max="15347" width="39.109375" style="138" customWidth="1"/>
    <col min="15348" max="15348" width="12" style="138" customWidth="1"/>
    <col min="15349" max="15349" width="14.44140625" style="138" customWidth="1"/>
    <col min="15350" max="15350" width="11.88671875" style="138" customWidth="1"/>
    <col min="15351" max="15351" width="14.109375" style="138" customWidth="1"/>
    <col min="15352" max="15352" width="13.88671875" style="138" customWidth="1"/>
    <col min="15353" max="15354" width="12.77734375" style="138" customWidth="1"/>
    <col min="15355" max="15355" width="13.5546875" style="138" customWidth="1"/>
    <col min="15356" max="15356" width="15.33203125" style="138" customWidth="1"/>
    <col min="15357" max="15357" width="12.77734375" style="138" customWidth="1"/>
    <col min="15358" max="15358" width="13.88671875" style="138" customWidth="1"/>
    <col min="15359" max="15359" width="1.88671875" style="138" customWidth="1"/>
    <col min="15360" max="15360" width="13" style="138" customWidth="1"/>
    <col min="15361" max="15600" width="8.88671875" style="138"/>
    <col min="15601" max="15601" width="6" style="138" customWidth="1"/>
    <col min="15602" max="15602" width="1.44140625" style="138" customWidth="1"/>
    <col min="15603" max="15603" width="39.109375" style="138" customWidth="1"/>
    <col min="15604" max="15604" width="12" style="138" customWidth="1"/>
    <col min="15605" max="15605" width="14.44140625" style="138" customWidth="1"/>
    <col min="15606" max="15606" width="11.88671875" style="138" customWidth="1"/>
    <col min="15607" max="15607" width="14.109375" style="138" customWidth="1"/>
    <col min="15608" max="15608" width="13.88671875" style="138" customWidth="1"/>
    <col min="15609" max="15610" width="12.77734375" style="138" customWidth="1"/>
    <col min="15611" max="15611" width="13.5546875" style="138" customWidth="1"/>
    <col min="15612" max="15612" width="15.33203125" style="138" customWidth="1"/>
    <col min="15613" max="15613" width="12.77734375" style="138" customWidth="1"/>
    <col min="15614" max="15614" width="13.88671875" style="138" customWidth="1"/>
    <col min="15615" max="15615" width="1.88671875" style="138" customWidth="1"/>
    <col min="15616" max="15616" width="13" style="138" customWidth="1"/>
    <col min="15617" max="15856" width="8.88671875" style="138"/>
    <col min="15857" max="15857" width="6" style="138" customWidth="1"/>
    <col min="15858" max="15858" width="1.44140625" style="138" customWidth="1"/>
    <col min="15859" max="15859" width="39.109375" style="138" customWidth="1"/>
    <col min="15860" max="15860" width="12" style="138" customWidth="1"/>
    <col min="15861" max="15861" width="14.44140625" style="138" customWidth="1"/>
    <col min="15862" max="15862" width="11.88671875" style="138" customWidth="1"/>
    <col min="15863" max="15863" width="14.109375" style="138" customWidth="1"/>
    <col min="15864" max="15864" width="13.88671875" style="138" customWidth="1"/>
    <col min="15865" max="15866" width="12.77734375" style="138" customWidth="1"/>
    <col min="15867" max="15867" width="13.5546875" style="138" customWidth="1"/>
    <col min="15868" max="15868" width="15.33203125" style="138" customWidth="1"/>
    <col min="15869" max="15869" width="12.77734375" style="138" customWidth="1"/>
    <col min="15870" max="15870" width="13.88671875" style="138" customWidth="1"/>
    <col min="15871" max="15871" width="1.88671875" style="138" customWidth="1"/>
    <col min="15872" max="15872" width="13" style="138" customWidth="1"/>
    <col min="15873" max="16112" width="8.88671875" style="138"/>
    <col min="16113" max="16113" width="6" style="138" customWidth="1"/>
    <col min="16114" max="16114" width="1.44140625" style="138" customWidth="1"/>
    <col min="16115" max="16115" width="39.109375" style="138" customWidth="1"/>
    <col min="16116" max="16116" width="12" style="138" customWidth="1"/>
    <col min="16117" max="16117" width="14.44140625" style="138" customWidth="1"/>
    <col min="16118" max="16118" width="11.88671875" style="138" customWidth="1"/>
    <col min="16119" max="16119" width="14.109375" style="138" customWidth="1"/>
    <col min="16120" max="16120" width="13.88671875" style="138" customWidth="1"/>
    <col min="16121" max="16122" width="12.77734375" style="138" customWidth="1"/>
    <col min="16123" max="16123" width="13.5546875" style="138" customWidth="1"/>
    <col min="16124" max="16124" width="15.33203125" style="138" customWidth="1"/>
    <col min="16125" max="16125" width="12.77734375" style="138" customWidth="1"/>
    <col min="16126" max="16126" width="13.88671875" style="138" customWidth="1"/>
    <col min="16127" max="16127" width="1.88671875" style="138" customWidth="1"/>
    <col min="16128" max="16128" width="13" style="138" customWidth="1"/>
    <col min="16129" max="16368" width="8.88671875" style="138"/>
    <col min="16369" max="16384" width="8.88671875" style="138" customWidth="1"/>
  </cols>
  <sheetData>
    <row r="1" spans="1:49">
      <c r="I1" s="77" t="s">
        <v>369</v>
      </c>
    </row>
    <row r="2" spans="1:49">
      <c r="I2" s="77" t="s">
        <v>421</v>
      </c>
    </row>
    <row r="3" spans="1:49">
      <c r="I3" s="424" t="s">
        <v>231</v>
      </c>
    </row>
    <row r="4" spans="1:49">
      <c r="I4" s="139" t="str">
        <f>'DE Ohio &amp; Kentucky'!J7</f>
        <v>For the 12 months ended: 12/31/2015</v>
      </c>
    </row>
    <row r="5" spans="1:49">
      <c r="C5" s="113"/>
    </row>
    <row r="6" spans="1:49">
      <c r="A6" s="221" t="s">
        <v>309</v>
      </c>
      <c r="B6" s="283"/>
      <c r="C6" s="283"/>
      <c r="D6" s="221"/>
      <c r="E6" s="221"/>
      <c r="F6" s="221"/>
      <c r="G6" s="283"/>
      <c r="H6" s="221"/>
      <c r="I6" s="221"/>
      <c r="K6" s="142"/>
      <c r="L6" s="142"/>
      <c r="M6" s="142"/>
      <c r="N6" s="142"/>
      <c r="O6" s="142"/>
      <c r="P6" s="142"/>
      <c r="Q6" s="142"/>
      <c r="R6" s="142"/>
      <c r="S6" s="142"/>
      <c r="T6" s="142"/>
      <c r="U6" s="142"/>
      <c r="V6" s="142"/>
      <c r="W6" s="142"/>
      <c r="X6" s="142"/>
      <c r="Y6" s="142"/>
      <c r="Z6" s="142"/>
      <c r="AA6" s="142"/>
      <c r="AB6" s="142"/>
      <c r="AC6" s="142"/>
      <c r="AD6" s="142"/>
      <c r="AE6" s="142"/>
      <c r="AF6" s="142"/>
      <c r="AG6" s="142"/>
      <c r="AH6" s="142"/>
      <c r="AI6" s="142"/>
      <c r="AJ6" s="142"/>
      <c r="AK6" s="142"/>
      <c r="AL6" s="142"/>
      <c r="AM6" s="142"/>
      <c r="AN6" s="142"/>
      <c r="AO6" s="142"/>
      <c r="AP6" s="142"/>
      <c r="AQ6" s="142"/>
      <c r="AR6" s="142"/>
      <c r="AS6" s="142"/>
      <c r="AT6" s="142"/>
      <c r="AU6" s="142"/>
      <c r="AV6" s="142"/>
      <c r="AW6" s="142"/>
    </row>
    <row r="7" spans="1:49">
      <c r="A7" s="222" t="s">
        <v>370</v>
      </c>
      <c r="B7" s="283"/>
      <c r="C7" s="283"/>
      <c r="D7" s="221"/>
      <c r="E7" s="221"/>
      <c r="F7" s="221"/>
      <c r="G7" s="283"/>
      <c r="H7" s="221"/>
      <c r="I7" s="221"/>
      <c r="K7" s="142"/>
      <c r="L7" s="142"/>
      <c r="M7" s="142"/>
      <c r="N7" s="142"/>
      <c r="O7" s="142"/>
      <c r="P7" s="142"/>
      <c r="Q7" s="142"/>
      <c r="R7" s="142"/>
      <c r="S7" s="142"/>
      <c r="T7" s="142"/>
      <c r="U7" s="142"/>
      <c r="V7" s="142"/>
      <c r="W7" s="142"/>
      <c r="X7" s="142"/>
      <c r="Y7" s="142"/>
      <c r="Z7" s="142"/>
      <c r="AA7" s="142"/>
      <c r="AB7" s="142"/>
      <c r="AC7" s="142"/>
      <c r="AD7" s="142"/>
      <c r="AE7" s="142"/>
      <c r="AF7" s="142"/>
      <c r="AG7" s="142"/>
      <c r="AH7" s="142"/>
      <c r="AI7" s="142"/>
      <c r="AJ7" s="142"/>
      <c r="AK7" s="142"/>
      <c r="AL7" s="142"/>
      <c r="AM7" s="142"/>
      <c r="AN7" s="142"/>
      <c r="AO7" s="142"/>
      <c r="AP7" s="142"/>
      <c r="AQ7" s="142"/>
      <c r="AR7" s="142"/>
      <c r="AS7" s="142"/>
      <c r="AT7" s="142"/>
      <c r="AU7" s="142"/>
      <c r="AV7" s="142"/>
      <c r="AW7" s="142"/>
    </row>
    <row r="8" spans="1:49">
      <c r="A8" s="223"/>
      <c r="B8" s="283"/>
      <c r="C8" s="283"/>
      <c r="D8" s="223"/>
      <c r="E8" s="223"/>
      <c r="F8" s="223"/>
      <c r="G8" s="283"/>
      <c r="H8" s="223"/>
      <c r="I8" s="223"/>
      <c r="K8" s="142"/>
      <c r="L8" s="142"/>
      <c r="M8" s="142"/>
      <c r="N8" s="142"/>
      <c r="O8" s="142"/>
      <c r="P8" s="142"/>
      <c r="Q8" s="142"/>
      <c r="R8" s="142"/>
      <c r="S8" s="142"/>
      <c r="T8" s="142"/>
      <c r="U8" s="142"/>
      <c r="V8" s="142"/>
      <c r="W8" s="142"/>
      <c r="X8" s="142"/>
      <c r="Y8" s="142"/>
      <c r="Z8" s="142"/>
      <c r="AA8" s="142"/>
      <c r="AB8" s="142"/>
      <c r="AC8" s="142"/>
      <c r="AD8" s="142"/>
      <c r="AE8" s="142"/>
      <c r="AF8" s="142"/>
      <c r="AG8" s="142"/>
      <c r="AH8" s="142"/>
      <c r="AI8" s="142"/>
      <c r="AJ8" s="142"/>
      <c r="AK8" s="142"/>
      <c r="AL8" s="142"/>
      <c r="AM8" s="142"/>
      <c r="AN8" s="142"/>
      <c r="AO8" s="142"/>
      <c r="AP8" s="142"/>
      <c r="AQ8" s="142"/>
      <c r="AR8" s="142"/>
      <c r="AS8" s="142"/>
      <c r="AT8" s="142"/>
      <c r="AU8" s="142"/>
      <c r="AV8" s="142"/>
      <c r="AW8" s="142"/>
    </row>
    <row r="9" spans="1:49">
      <c r="A9" s="285" t="s">
        <v>212</v>
      </c>
      <c r="B9" s="283"/>
      <c r="C9" s="283"/>
      <c r="D9" s="223"/>
      <c r="E9" s="223"/>
      <c r="F9" s="223"/>
      <c r="G9" s="283"/>
      <c r="H9" s="286"/>
      <c r="I9" s="223"/>
      <c r="K9" s="142"/>
      <c r="L9" s="142"/>
      <c r="M9" s="142"/>
      <c r="N9" s="142"/>
      <c r="O9" s="142"/>
      <c r="P9" s="142"/>
      <c r="Q9" s="142"/>
      <c r="R9" s="142"/>
      <c r="S9" s="142"/>
      <c r="T9" s="142"/>
      <c r="U9" s="142"/>
      <c r="V9" s="142"/>
      <c r="W9" s="142"/>
      <c r="X9" s="142"/>
      <c r="Y9" s="142"/>
      <c r="Z9" s="142"/>
      <c r="AA9" s="142"/>
      <c r="AB9" s="142"/>
      <c r="AC9" s="142"/>
      <c r="AD9" s="142"/>
      <c r="AE9" s="142"/>
      <c r="AF9" s="142"/>
      <c r="AG9" s="142"/>
      <c r="AH9" s="142"/>
      <c r="AI9" s="142"/>
      <c r="AJ9" s="142"/>
      <c r="AK9" s="142"/>
      <c r="AL9" s="142"/>
      <c r="AM9" s="142"/>
      <c r="AN9" s="142"/>
      <c r="AO9" s="142"/>
      <c r="AP9" s="142"/>
      <c r="AQ9" s="142"/>
      <c r="AR9" s="142"/>
      <c r="AS9" s="142"/>
      <c r="AT9" s="142"/>
      <c r="AU9" s="142"/>
      <c r="AV9" s="142"/>
      <c r="AW9" s="142"/>
    </row>
    <row r="10" spans="1:49">
      <c r="A10" s="364" t="s">
        <v>367</v>
      </c>
      <c r="B10" s="283"/>
      <c r="C10" s="283"/>
      <c r="D10" s="223"/>
      <c r="E10" s="223"/>
      <c r="F10" s="223"/>
      <c r="G10" s="283"/>
      <c r="H10" s="286"/>
      <c r="I10" s="223"/>
      <c r="K10" s="142"/>
      <c r="L10" s="142"/>
      <c r="M10" s="142"/>
      <c r="N10" s="142"/>
      <c r="O10" s="142"/>
      <c r="P10" s="142"/>
      <c r="Q10" s="142"/>
      <c r="R10" s="142"/>
      <c r="S10" s="142"/>
      <c r="T10" s="142"/>
      <c r="U10" s="142"/>
      <c r="V10" s="142"/>
      <c r="W10" s="142"/>
      <c r="X10" s="142"/>
      <c r="Y10" s="142"/>
      <c r="Z10" s="142"/>
      <c r="AA10" s="142"/>
      <c r="AB10" s="142"/>
      <c r="AC10" s="142"/>
      <c r="AD10" s="142"/>
      <c r="AE10" s="142"/>
      <c r="AF10" s="142"/>
      <c r="AG10" s="142"/>
      <c r="AH10" s="142"/>
      <c r="AI10" s="142"/>
      <c r="AJ10" s="142"/>
      <c r="AK10" s="142"/>
      <c r="AL10" s="142"/>
      <c r="AM10" s="142"/>
      <c r="AN10" s="142"/>
      <c r="AO10" s="142"/>
      <c r="AP10" s="142"/>
      <c r="AQ10" s="142"/>
      <c r="AR10" s="142"/>
      <c r="AS10" s="142"/>
      <c r="AT10" s="142"/>
      <c r="AU10" s="142"/>
      <c r="AV10" s="142"/>
      <c r="AW10" s="142"/>
    </row>
    <row r="11" spans="1:49">
      <c r="A11" s="423"/>
      <c r="B11" s="283"/>
      <c r="C11" s="223"/>
      <c r="D11" s="223"/>
      <c r="E11" s="223"/>
      <c r="F11" s="223"/>
      <c r="G11" s="286"/>
      <c r="H11" s="223"/>
      <c r="I11" s="223"/>
      <c r="K11" s="142"/>
      <c r="L11" s="142"/>
      <c r="M11" s="142"/>
      <c r="N11" s="142"/>
      <c r="O11" s="142"/>
      <c r="P11" s="142"/>
      <c r="Q11" s="142"/>
      <c r="R11" s="142"/>
      <c r="S11" s="142"/>
      <c r="T11" s="142"/>
      <c r="U11" s="142"/>
      <c r="V11" s="142"/>
      <c r="W11" s="142"/>
      <c r="X11" s="142"/>
      <c r="Y11" s="142"/>
      <c r="Z11" s="142"/>
      <c r="AA11" s="142"/>
      <c r="AB11" s="142"/>
      <c r="AC11" s="142"/>
      <c r="AD11" s="142"/>
      <c r="AE11" s="142"/>
      <c r="AF11" s="142"/>
      <c r="AG11" s="142"/>
      <c r="AH11" s="142"/>
      <c r="AI11" s="142"/>
      <c r="AJ11" s="142"/>
      <c r="AK11" s="142"/>
      <c r="AL11" s="142"/>
      <c r="AM11" s="142"/>
      <c r="AN11" s="142"/>
      <c r="AO11" s="142"/>
      <c r="AP11" s="142"/>
      <c r="AQ11" s="142"/>
      <c r="AR11" s="142"/>
      <c r="AS11" s="142"/>
      <c r="AT11" s="142"/>
      <c r="AU11" s="142"/>
      <c r="AV11" s="142"/>
      <c r="AW11" s="142"/>
    </row>
    <row r="12" spans="1:49">
      <c r="A12" s="223" t="s">
        <v>709</v>
      </c>
      <c r="B12" s="283"/>
      <c r="C12" s="283"/>
      <c r="D12" s="223"/>
      <c r="E12" s="223"/>
      <c r="F12" s="223"/>
      <c r="G12" s="286"/>
      <c r="H12" s="223"/>
      <c r="I12" s="223"/>
      <c r="K12" s="142"/>
      <c r="L12" s="142"/>
      <c r="M12" s="142"/>
      <c r="N12" s="142"/>
      <c r="O12" s="142"/>
      <c r="P12" s="142"/>
      <c r="Q12" s="142"/>
      <c r="R12" s="142"/>
      <c r="S12" s="142"/>
      <c r="T12" s="142"/>
      <c r="U12" s="142"/>
      <c r="V12" s="142"/>
      <c r="W12" s="142"/>
      <c r="X12" s="142"/>
      <c r="Y12" s="142"/>
      <c r="Z12" s="142"/>
      <c r="AA12" s="142"/>
      <c r="AB12" s="142"/>
      <c r="AC12" s="142"/>
      <c r="AD12" s="142"/>
      <c r="AE12" s="142"/>
      <c r="AF12" s="142"/>
      <c r="AG12" s="142"/>
      <c r="AH12" s="142"/>
      <c r="AI12" s="142"/>
      <c r="AJ12" s="142"/>
      <c r="AK12" s="142"/>
      <c r="AL12" s="142"/>
      <c r="AM12" s="142"/>
      <c r="AN12" s="142"/>
      <c r="AO12" s="142"/>
      <c r="AP12" s="142"/>
      <c r="AQ12" s="142"/>
      <c r="AR12" s="142"/>
      <c r="AS12" s="142"/>
      <c r="AT12" s="142"/>
      <c r="AU12" s="142"/>
      <c r="AV12" s="142"/>
      <c r="AW12" s="142"/>
    </row>
    <row r="13" spans="1:49">
      <c r="A13" s="143"/>
      <c r="C13" s="111"/>
      <c r="D13" s="111"/>
      <c r="E13" s="111"/>
      <c r="F13" s="111"/>
      <c r="G13" s="144"/>
      <c r="K13" s="142"/>
      <c r="L13" s="142"/>
      <c r="M13" s="142"/>
      <c r="N13" s="142"/>
      <c r="O13" s="142"/>
      <c r="P13" s="142"/>
      <c r="Q13" s="142"/>
      <c r="R13" s="142"/>
      <c r="S13" s="142"/>
      <c r="T13" s="142"/>
      <c r="U13" s="142"/>
      <c r="V13" s="142"/>
      <c r="W13" s="142"/>
      <c r="X13" s="142"/>
      <c r="Y13" s="142"/>
      <c r="Z13" s="142"/>
      <c r="AA13" s="142"/>
      <c r="AB13" s="142"/>
      <c r="AC13" s="142"/>
      <c r="AD13" s="142"/>
      <c r="AE13" s="142"/>
      <c r="AF13" s="142"/>
      <c r="AG13" s="142"/>
      <c r="AH13" s="142"/>
      <c r="AI13" s="142"/>
      <c r="AJ13" s="142"/>
      <c r="AK13" s="142"/>
      <c r="AL13" s="142"/>
      <c r="AM13" s="142"/>
      <c r="AN13" s="142"/>
      <c r="AO13" s="142"/>
      <c r="AP13" s="142"/>
      <c r="AQ13" s="142"/>
      <c r="AR13" s="142"/>
      <c r="AS13" s="142"/>
      <c r="AT13" s="142"/>
      <c r="AU13" s="142"/>
      <c r="AV13" s="142"/>
      <c r="AW13" s="142"/>
    </row>
    <row r="14" spans="1:49">
      <c r="A14" s="143"/>
      <c r="C14" s="111"/>
      <c r="D14" s="111"/>
      <c r="E14" s="111"/>
      <c r="F14" s="111"/>
      <c r="G14" s="111"/>
      <c r="K14" s="142"/>
      <c r="L14" s="142"/>
      <c r="M14" s="142"/>
      <c r="N14" s="142"/>
      <c r="O14" s="142"/>
      <c r="P14" s="142"/>
      <c r="Q14" s="142"/>
      <c r="R14" s="142"/>
      <c r="S14" s="142"/>
      <c r="T14" s="142"/>
      <c r="U14" s="142"/>
      <c r="V14" s="142"/>
      <c r="W14" s="142"/>
      <c r="X14" s="142"/>
      <c r="Y14" s="142"/>
      <c r="Z14" s="142"/>
      <c r="AA14" s="142"/>
      <c r="AB14" s="142"/>
      <c r="AC14" s="142"/>
      <c r="AD14" s="142"/>
      <c r="AE14" s="142"/>
      <c r="AF14" s="142"/>
      <c r="AG14" s="142"/>
      <c r="AH14" s="142"/>
      <c r="AI14" s="142"/>
      <c r="AJ14" s="142"/>
      <c r="AK14" s="142"/>
      <c r="AL14" s="142"/>
      <c r="AM14" s="142"/>
      <c r="AN14" s="142"/>
      <c r="AO14" s="142"/>
      <c r="AP14" s="142"/>
      <c r="AQ14" s="142"/>
      <c r="AR14" s="142"/>
      <c r="AS14" s="142"/>
      <c r="AT14" s="142"/>
      <c r="AU14" s="142"/>
      <c r="AV14" s="142"/>
      <c r="AW14" s="142"/>
    </row>
    <row r="15" spans="1:49">
      <c r="C15" s="109" t="s">
        <v>24</v>
      </c>
      <c r="D15" s="109"/>
      <c r="E15" s="109" t="s">
        <v>25</v>
      </c>
      <c r="F15" s="109"/>
      <c r="G15" s="109" t="s">
        <v>26</v>
      </c>
      <c r="I15" s="145" t="s">
        <v>27</v>
      </c>
      <c r="K15" s="142"/>
      <c r="L15" s="142"/>
      <c r="M15" s="142"/>
      <c r="N15" s="142"/>
      <c r="O15" s="142"/>
      <c r="P15" s="142"/>
      <c r="Q15" s="142"/>
      <c r="R15" s="142"/>
      <c r="S15" s="142"/>
      <c r="T15" s="142"/>
      <c r="U15" s="142"/>
      <c r="V15" s="142"/>
      <c r="W15" s="142"/>
      <c r="X15" s="142"/>
      <c r="Y15" s="142"/>
      <c r="Z15" s="142"/>
      <c r="AA15" s="142"/>
      <c r="AB15" s="142"/>
      <c r="AC15" s="142"/>
      <c r="AD15" s="142"/>
      <c r="AE15" s="142"/>
      <c r="AF15" s="142"/>
      <c r="AG15" s="142"/>
      <c r="AH15" s="142"/>
      <c r="AI15" s="142"/>
      <c r="AJ15" s="142"/>
      <c r="AK15" s="142"/>
      <c r="AL15" s="142"/>
      <c r="AM15" s="142"/>
      <c r="AN15" s="142"/>
      <c r="AO15" s="142"/>
      <c r="AP15" s="142"/>
      <c r="AQ15" s="142"/>
      <c r="AR15" s="142"/>
      <c r="AS15" s="142"/>
      <c r="AT15" s="142"/>
      <c r="AU15" s="142"/>
      <c r="AV15" s="142"/>
      <c r="AW15" s="142"/>
    </row>
    <row r="16" spans="1:49">
      <c r="C16" s="108"/>
      <c r="D16" s="108"/>
      <c r="K16" s="142"/>
      <c r="L16" s="142"/>
      <c r="M16" s="142"/>
      <c r="N16" s="142"/>
      <c r="O16" s="142"/>
      <c r="P16" s="142"/>
      <c r="Q16" s="142"/>
      <c r="R16" s="142"/>
      <c r="S16" s="142"/>
      <c r="T16" s="142"/>
      <c r="U16" s="142"/>
      <c r="V16" s="142"/>
      <c r="W16" s="142"/>
      <c r="X16" s="142"/>
      <c r="Y16" s="142"/>
      <c r="Z16" s="142"/>
      <c r="AA16" s="142"/>
      <c r="AB16" s="142"/>
      <c r="AC16" s="142"/>
      <c r="AD16" s="142"/>
      <c r="AE16" s="142"/>
      <c r="AF16" s="142"/>
      <c r="AG16" s="142"/>
      <c r="AH16" s="142"/>
      <c r="AI16" s="142"/>
      <c r="AJ16" s="142"/>
      <c r="AK16" s="142"/>
      <c r="AL16" s="142"/>
      <c r="AM16" s="142"/>
      <c r="AN16" s="142"/>
      <c r="AO16" s="142"/>
      <c r="AP16" s="142"/>
      <c r="AQ16" s="142"/>
      <c r="AR16" s="142"/>
      <c r="AS16" s="142"/>
      <c r="AT16" s="142"/>
      <c r="AU16" s="142"/>
      <c r="AV16" s="142"/>
      <c r="AW16" s="142"/>
    </row>
    <row r="17" spans="1:49">
      <c r="A17" s="375" t="s">
        <v>13</v>
      </c>
      <c r="B17" s="142"/>
      <c r="C17" s="108"/>
      <c r="D17" s="108"/>
      <c r="E17" s="154" t="s">
        <v>369</v>
      </c>
      <c r="F17" s="154"/>
      <c r="G17" s="112"/>
      <c r="H17" s="142"/>
      <c r="I17" s="142"/>
      <c r="K17" s="142"/>
      <c r="L17" s="142"/>
      <c r="M17" s="142"/>
      <c r="N17" s="142"/>
      <c r="O17" s="142"/>
      <c r="P17" s="142"/>
      <c r="Q17" s="142"/>
      <c r="R17" s="142"/>
      <c r="S17" s="142"/>
      <c r="T17" s="142"/>
      <c r="U17" s="142"/>
      <c r="V17" s="142"/>
      <c r="W17" s="142"/>
      <c r="X17" s="142"/>
      <c r="Y17" s="142"/>
      <c r="Z17" s="142"/>
      <c r="AA17" s="142"/>
      <c r="AB17" s="142"/>
      <c r="AC17" s="142"/>
      <c r="AD17" s="142"/>
      <c r="AE17" s="142"/>
      <c r="AF17" s="142"/>
      <c r="AG17" s="142"/>
      <c r="AH17" s="142"/>
      <c r="AI17" s="142"/>
      <c r="AJ17" s="142"/>
      <c r="AK17" s="142"/>
      <c r="AL17" s="142"/>
      <c r="AM17" s="142"/>
      <c r="AN17" s="142"/>
      <c r="AO17" s="142"/>
      <c r="AP17" s="142"/>
      <c r="AQ17" s="142"/>
      <c r="AR17" s="142"/>
      <c r="AS17" s="142"/>
      <c r="AT17" s="142"/>
      <c r="AU17" s="142"/>
      <c r="AV17" s="142"/>
      <c r="AW17" s="142"/>
    </row>
    <row r="18" spans="1:49">
      <c r="A18" s="419" t="s">
        <v>15</v>
      </c>
      <c r="B18" s="420"/>
      <c r="C18" s="421"/>
      <c r="D18" s="421"/>
      <c r="E18" s="422" t="s">
        <v>31</v>
      </c>
      <c r="F18" s="422"/>
      <c r="G18" s="419" t="s">
        <v>30</v>
      </c>
      <c r="H18" s="420"/>
      <c r="I18" s="419" t="s">
        <v>18</v>
      </c>
      <c r="K18" s="142"/>
      <c r="L18" s="142"/>
      <c r="M18" s="142"/>
      <c r="N18" s="142"/>
      <c r="O18" s="142"/>
      <c r="P18" s="142"/>
      <c r="Q18" s="142"/>
      <c r="R18" s="142"/>
      <c r="S18" s="142"/>
      <c r="T18" s="142"/>
      <c r="U18" s="142"/>
      <c r="V18" s="142"/>
      <c r="W18" s="142"/>
      <c r="X18" s="142"/>
      <c r="Y18" s="142"/>
      <c r="Z18" s="142"/>
      <c r="AA18" s="142"/>
      <c r="AB18" s="142"/>
      <c r="AC18" s="142"/>
      <c r="AD18" s="142"/>
      <c r="AE18" s="142"/>
      <c r="AF18" s="142"/>
      <c r="AG18" s="142"/>
      <c r="AH18" s="142"/>
      <c r="AI18" s="142"/>
      <c r="AJ18" s="142"/>
      <c r="AK18" s="142"/>
      <c r="AL18" s="142"/>
      <c r="AM18" s="142"/>
      <c r="AN18" s="142"/>
      <c r="AO18" s="142"/>
      <c r="AP18" s="142"/>
      <c r="AQ18" s="142"/>
      <c r="AR18" s="142"/>
      <c r="AS18" s="142"/>
      <c r="AT18" s="142"/>
      <c r="AU18" s="142"/>
      <c r="AV18" s="142"/>
      <c r="AW18" s="142"/>
    </row>
    <row r="19" spans="1:49" ht="15.75">
      <c r="A19" s="152"/>
      <c r="C19" s="108" t="s">
        <v>417</v>
      </c>
      <c r="D19" s="108"/>
      <c r="E19" s="112"/>
      <c r="F19" s="112"/>
      <c r="G19" s="112"/>
      <c r="I19" s="112"/>
      <c r="K19" s="142"/>
      <c r="L19" s="142"/>
      <c r="M19" s="142"/>
      <c r="N19" s="142"/>
      <c r="O19" s="142"/>
      <c r="P19" s="142"/>
      <c r="Q19" s="142"/>
      <c r="R19" s="142"/>
      <c r="S19" s="142"/>
      <c r="T19" s="142"/>
      <c r="U19" s="142"/>
      <c r="V19" s="142"/>
      <c r="W19" s="142"/>
      <c r="X19" s="142"/>
      <c r="Y19" s="142"/>
      <c r="Z19" s="142"/>
      <c r="AA19" s="142"/>
      <c r="AB19" s="142"/>
      <c r="AC19" s="142"/>
      <c r="AD19" s="142"/>
      <c r="AE19" s="142"/>
      <c r="AF19" s="142"/>
      <c r="AG19" s="142"/>
      <c r="AH19" s="142"/>
      <c r="AI19" s="142"/>
      <c r="AJ19" s="142"/>
      <c r="AK19" s="142"/>
      <c r="AL19" s="142"/>
      <c r="AM19" s="142"/>
      <c r="AN19" s="142"/>
      <c r="AO19" s="142"/>
      <c r="AP19" s="142"/>
      <c r="AQ19" s="142"/>
      <c r="AR19" s="142"/>
      <c r="AS19" s="142"/>
      <c r="AT19" s="142"/>
      <c r="AU19" s="142"/>
      <c r="AV19" s="142"/>
      <c r="AW19" s="142"/>
    </row>
    <row r="20" spans="1:49">
      <c r="A20" s="153">
        <v>1</v>
      </c>
      <c r="C20" s="108" t="s">
        <v>266</v>
      </c>
      <c r="D20" s="108"/>
      <c r="E20" s="868" t="s">
        <v>803</v>
      </c>
      <c r="F20" s="154"/>
      <c r="G20" s="155">
        <f>DEK!J76</f>
        <v>39298203</v>
      </c>
      <c r="K20" s="142"/>
      <c r="L20" s="142"/>
      <c r="M20" s="142"/>
      <c r="N20" s="142"/>
      <c r="O20" s="142"/>
      <c r="P20" s="142"/>
      <c r="Q20" s="142"/>
      <c r="R20" s="142"/>
      <c r="S20" s="142"/>
      <c r="T20" s="142"/>
      <c r="U20" s="142"/>
      <c r="V20" s="142"/>
      <c r="W20" s="142"/>
      <c r="X20" s="142"/>
      <c r="Y20" s="142"/>
      <c r="Z20" s="142"/>
      <c r="AA20" s="142"/>
      <c r="AB20" s="142"/>
      <c r="AC20" s="142"/>
      <c r="AD20" s="142"/>
      <c r="AE20" s="142"/>
      <c r="AF20" s="142"/>
      <c r="AG20" s="142"/>
      <c r="AH20" s="142"/>
      <c r="AI20" s="142"/>
      <c r="AJ20" s="142"/>
      <c r="AK20" s="142"/>
      <c r="AL20" s="142"/>
      <c r="AM20" s="142"/>
      <c r="AN20" s="142"/>
      <c r="AO20" s="142"/>
      <c r="AP20" s="142"/>
      <c r="AQ20" s="142"/>
      <c r="AR20" s="142"/>
      <c r="AS20" s="142"/>
      <c r="AT20" s="142"/>
      <c r="AU20" s="142"/>
      <c r="AV20" s="142"/>
      <c r="AW20" s="142"/>
    </row>
    <row r="21" spans="1:49">
      <c r="A21" s="153">
        <v>2</v>
      </c>
      <c r="C21" s="108" t="s">
        <v>267</v>
      </c>
      <c r="D21" s="108"/>
      <c r="E21" s="868" t="s">
        <v>804</v>
      </c>
      <c r="F21" s="154"/>
      <c r="G21" s="155">
        <f>DEK!J92</f>
        <v>26211437</v>
      </c>
      <c r="K21" s="142"/>
      <c r="L21" s="142"/>
      <c r="M21" s="142"/>
      <c r="N21" s="142"/>
      <c r="O21" s="142"/>
      <c r="P21" s="142"/>
      <c r="Q21" s="142"/>
      <c r="R21" s="142"/>
      <c r="S21" s="142"/>
      <c r="T21" s="142"/>
      <c r="U21" s="142"/>
      <c r="V21" s="142"/>
      <c r="W21" s="142"/>
      <c r="X21" s="142"/>
      <c r="Y21" s="142"/>
      <c r="Z21" s="142"/>
      <c r="AA21" s="142"/>
      <c r="AB21" s="142"/>
      <c r="AC21" s="142"/>
      <c r="AD21" s="142"/>
      <c r="AE21" s="142"/>
      <c r="AF21" s="142"/>
      <c r="AG21" s="142"/>
      <c r="AH21" s="142"/>
      <c r="AI21" s="142"/>
      <c r="AJ21" s="142"/>
      <c r="AK21" s="142"/>
      <c r="AL21" s="142"/>
      <c r="AM21" s="142"/>
      <c r="AN21" s="142"/>
      <c r="AO21" s="142"/>
      <c r="AP21" s="142"/>
      <c r="AQ21" s="142"/>
      <c r="AR21" s="142"/>
      <c r="AS21" s="142"/>
      <c r="AT21" s="142"/>
      <c r="AU21" s="142"/>
      <c r="AV21" s="142"/>
      <c r="AW21" s="142"/>
    </row>
    <row r="22" spans="1:49">
      <c r="A22" s="153"/>
      <c r="E22" s="868"/>
      <c r="F22" s="154"/>
      <c r="K22" s="142"/>
      <c r="L22" s="142"/>
      <c r="M22" s="142"/>
      <c r="N22" s="142"/>
      <c r="O22" s="142"/>
      <c r="P22" s="142"/>
      <c r="Q22" s="142"/>
      <c r="R22" s="142"/>
      <c r="S22" s="142"/>
      <c r="T22" s="142"/>
      <c r="U22" s="142"/>
      <c r="V22" s="142"/>
      <c r="W22" s="142"/>
      <c r="X22" s="142"/>
      <c r="Y22" s="142"/>
      <c r="Z22" s="142"/>
      <c r="AA22" s="142"/>
      <c r="AB22" s="142"/>
      <c r="AC22" s="142"/>
      <c r="AD22" s="142"/>
      <c r="AE22" s="142"/>
      <c r="AF22" s="142"/>
      <c r="AG22" s="142"/>
      <c r="AH22" s="142"/>
      <c r="AI22" s="142"/>
      <c r="AJ22" s="142"/>
      <c r="AK22" s="142"/>
      <c r="AL22" s="142"/>
      <c r="AM22" s="142"/>
      <c r="AN22" s="142"/>
      <c r="AO22" s="142"/>
      <c r="AP22" s="142"/>
      <c r="AQ22" s="142"/>
      <c r="AR22" s="142"/>
      <c r="AS22" s="142"/>
      <c r="AT22" s="142"/>
      <c r="AU22" s="142"/>
      <c r="AV22" s="142"/>
      <c r="AW22" s="142"/>
    </row>
    <row r="23" spans="1:49">
      <c r="A23" s="153"/>
      <c r="C23" s="108" t="s">
        <v>232</v>
      </c>
      <c r="D23" s="108"/>
      <c r="E23" s="868"/>
      <c r="F23" s="154"/>
      <c r="G23" s="112"/>
      <c r="I23" s="112"/>
      <c r="K23" s="142"/>
      <c r="L23" s="142"/>
      <c r="M23" s="142"/>
      <c r="N23" s="142"/>
      <c r="O23" s="142"/>
      <c r="P23" s="142"/>
      <c r="Q23" s="142"/>
      <c r="R23" s="142"/>
      <c r="S23" s="142"/>
      <c r="T23" s="142"/>
      <c r="U23" s="142"/>
      <c r="V23" s="142"/>
      <c r="W23" s="142"/>
      <c r="X23" s="142"/>
      <c r="Y23" s="142"/>
      <c r="Z23" s="142"/>
      <c r="AA23" s="142"/>
      <c r="AB23" s="142"/>
      <c r="AC23" s="142"/>
      <c r="AD23" s="142"/>
      <c r="AE23" s="142"/>
      <c r="AF23" s="142"/>
      <c r="AG23" s="142"/>
      <c r="AH23" s="142"/>
      <c r="AI23" s="142"/>
      <c r="AJ23" s="142"/>
      <c r="AK23" s="142"/>
      <c r="AL23" s="142"/>
      <c r="AM23" s="142"/>
      <c r="AN23" s="142"/>
      <c r="AO23" s="142"/>
      <c r="AP23" s="142"/>
      <c r="AQ23" s="142"/>
      <c r="AR23" s="142"/>
      <c r="AS23" s="142"/>
      <c r="AT23" s="142"/>
      <c r="AU23" s="142"/>
      <c r="AV23" s="142"/>
      <c r="AW23" s="142"/>
    </row>
    <row r="24" spans="1:49">
      <c r="A24" s="153">
        <v>3</v>
      </c>
      <c r="C24" s="108" t="s">
        <v>268</v>
      </c>
      <c r="D24" s="108"/>
      <c r="E24" s="868" t="s">
        <v>805</v>
      </c>
      <c r="F24" s="154"/>
      <c r="G24" s="155">
        <f>DEK!J148</f>
        <v>2037137</v>
      </c>
      <c r="K24" s="142"/>
      <c r="L24" s="142"/>
      <c r="M24" s="142"/>
      <c r="N24" s="142"/>
      <c r="O24" s="142"/>
      <c r="P24" s="142"/>
      <c r="Q24" s="142"/>
      <c r="R24" s="142"/>
      <c r="S24" s="142"/>
      <c r="T24" s="142"/>
      <c r="U24" s="142"/>
      <c r="V24" s="142"/>
      <c r="W24" s="142"/>
      <c r="X24" s="142"/>
      <c r="Y24" s="142"/>
      <c r="Z24" s="142"/>
      <c r="AA24" s="142"/>
      <c r="AB24" s="142"/>
      <c r="AC24" s="142"/>
      <c r="AD24" s="142"/>
      <c r="AE24" s="142"/>
      <c r="AF24" s="142"/>
      <c r="AG24" s="142"/>
      <c r="AH24" s="142"/>
      <c r="AI24" s="142"/>
      <c r="AJ24" s="142"/>
      <c r="AK24" s="142"/>
      <c r="AL24" s="142"/>
      <c r="AM24" s="142"/>
      <c r="AN24" s="142"/>
      <c r="AO24" s="142"/>
      <c r="AP24" s="142"/>
      <c r="AQ24" s="142"/>
      <c r="AR24" s="142"/>
      <c r="AS24" s="142"/>
      <c r="AT24" s="142"/>
      <c r="AU24" s="142"/>
      <c r="AV24" s="142"/>
      <c r="AW24" s="142"/>
    </row>
    <row r="25" spans="1:49">
      <c r="A25" s="153">
        <v>4</v>
      </c>
      <c r="C25" s="108" t="s">
        <v>269</v>
      </c>
      <c r="D25" s="108"/>
      <c r="E25" s="868" t="s">
        <v>700</v>
      </c>
      <c r="F25" s="154"/>
      <c r="G25" s="156">
        <f>IF(G24=0,0,G24/G20)</f>
        <v>5.1837917372455938E-2</v>
      </c>
      <c r="I25" s="157">
        <f>G25</f>
        <v>5.1837917372455938E-2</v>
      </c>
      <c r="K25" s="142"/>
      <c r="L25" s="142"/>
      <c r="M25" s="142"/>
      <c r="N25" s="142"/>
      <c r="O25" s="142"/>
      <c r="P25" s="142"/>
      <c r="Q25" s="142"/>
      <c r="R25" s="142"/>
      <c r="S25" s="142"/>
      <c r="T25" s="142"/>
      <c r="U25" s="142"/>
      <c r="V25" s="142"/>
      <c r="W25" s="142"/>
      <c r="X25" s="142"/>
      <c r="Y25" s="142"/>
      <c r="Z25" s="142"/>
      <c r="AA25" s="142"/>
      <c r="AB25" s="142"/>
      <c r="AC25" s="142"/>
      <c r="AD25" s="142"/>
      <c r="AE25" s="142"/>
      <c r="AF25" s="142"/>
      <c r="AG25" s="142"/>
      <c r="AH25" s="142"/>
      <c r="AI25" s="142"/>
      <c r="AJ25" s="142"/>
      <c r="AK25" s="142"/>
      <c r="AL25" s="142"/>
      <c r="AM25" s="142"/>
      <c r="AN25" s="142"/>
      <c r="AO25" s="142"/>
      <c r="AP25" s="142"/>
      <c r="AQ25" s="142"/>
      <c r="AR25" s="142"/>
      <c r="AS25" s="142"/>
      <c r="AT25" s="142"/>
      <c r="AU25" s="142"/>
      <c r="AV25" s="142"/>
      <c r="AW25" s="142"/>
    </row>
    <row r="26" spans="1:49">
      <c r="A26" s="153"/>
      <c r="E26" s="868"/>
      <c r="F26" s="154"/>
      <c r="K26" s="142"/>
      <c r="L26" s="142"/>
      <c r="M26" s="142"/>
      <c r="N26" s="142"/>
      <c r="O26" s="142"/>
      <c r="P26" s="142"/>
      <c r="Q26" s="142"/>
      <c r="R26" s="142"/>
      <c r="S26" s="142"/>
      <c r="T26" s="142"/>
      <c r="U26" s="142"/>
      <c r="V26" s="142"/>
      <c r="W26" s="142"/>
      <c r="X26" s="142"/>
      <c r="Y26" s="142"/>
      <c r="Z26" s="142"/>
      <c r="AA26" s="142"/>
      <c r="AB26" s="142"/>
      <c r="AC26" s="142"/>
      <c r="AD26" s="142"/>
      <c r="AE26" s="142"/>
      <c r="AF26" s="142"/>
      <c r="AG26" s="142"/>
      <c r="AH26" s="142"/>
      <c r="AI26" s="142"/>
      <c r="AJ26" s="142"/>
      <c r="AK26" s="142"/>
      <c r="AL26" s="142"/>
      <c r="AM26" s="142"/>
      <c r="AN26" s="142"/>
      <c r="AO26" s="142"/>
      <c r="AP26" s="142"/>
      <c r="AQ26" s="142"/>
      <c r="AR26" s="142"/>
      <c r="AS26" s="142"/>
      <c r="AT26" s="142"/>
      <c r="AU26" s="142"/>
      <c r="AV26" s="142"/>
      <c r="AW26" s="142"/>
    </row>
    <row r="27" spans="1:49">
      <c r="A27" s="153"/>
      <c r="C27" s="108" t="s">
        <v>320</v>
      </c>
      <c r="D27" s="108"/>
      <c r="E27" s="866"/>
      <c r="F27" s="154"/>
      <c r="K27" s="142"/>
      <c r="L27" s="142"/>
      <c r="M27" s="142"/>
      <c r="N27" s="142"/>
      <c r="O27" s="142"/>
      <c r="P27" s="142"/>
      <c r="Q27" s="142"/>
      <c r="R27" s="142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  <c r="AF27" s="142"/>
      <c r="AG27" s="142"/>
      <c r="AH27" s="142"/>
      <c r="AI27" s="142"/>
      <c r="AJ27" s="142"/>
      <c r="AK27" s="142"/>
      <c r="AL27" s="142"/>
      <c r="AM27" s="142"/>
      <c r="AN27" s="142"/>
      <c r="AO27" s="142"/>
      <c r="AP27" s="142"/>
      <c r="AQ27" s="142"/>
      <c r="AR27" s="142"/>
      <c r="AS27" s="142"/>
      <c r="AT27" s="142"/>
      <c r="AU27" s="142"/>
      <c r="AV27" s="142"/>
      <c r="AW27" s="142"/>
    </row>
    <row r="28" spans="1:49">
      <c r="A28" s="166" t="s">
        <v>270</v>
      </c>
      <c r="C28" s="108" t="s">
        <v>321</v>
      </c>
      <c r="D28" s="108"/>
      <c r="E28" s="868" t="s">
        <v>806</v>
      </c>
      <c r="F28" s="154"/>
      <c r="G28" s="155">
        <f>DEK!J152+DEK!J153</f>
        <v>88657</v>
      </c>
      <c r="K28" s="142"/>
      <c r="L28" s="142"/>
      <c r="M28" s="142"/>
      <c r="N28" s="142"/>
      <c r="O28" s="142"/>
      <c r="P28" s="142"/>
      <c r="Q28" s="142"/>
      <c r="R28" s="142"/>
      <c r="S28" s="142"/>
      <c r="T28" s="142"/>
      <c r="U28" s="142"/>
      <c r="V28" s="142"/>
      <c r="W28" s="142"/>
      <c r="X28" s="142"/>
      <c r="Y28" s="142"/>
      <c r="Z28" s="142"/>
      <c r="AA28" s="142"/>
      <c r="AB28" s="142"/>
      <c r="AC28" s="142"/>
      <c r="AD28" s="142"/>
      <c r="AE28" s="142"/>
      <c r="AF28" s="142"/>
      <c r="AG28" s="142"/>
      <c r="AH28" s="142"/>
      <c r="AI28" s="142"/>
      <c r="AJ28" s="142"/>
      <c r="AK28" s="142"/>
      <c r="AL28" s="142"/>
      <c r="AM28" s="142"/>
      <c r="AN28" s="142"/>
      <c r="AO28" s="142"/>
      <c r="AP28" s="142"/>
      <c r="AQ28" s="142"/>
      <c r="AR28" s="142"/>
      <c r="AS28" s="142"/>
      <c r="AT28" s="142"/>
      <c r="AU28" s="142"/>
      <c r="AV28" s="142"/>
      <c r="AW28" s="142"/>
    </row>
    <row r="29" spans="1:49">
      <c r="A29" s="166" t="s">
        <v>271</v>
      </c>
      <c r="C29" s="108" t="s">
        <v>322</v>
      </c>
      <c r="D29" s="108"/>
      <c r="E29" s="868" t="s">
        <v>701</v>
      </c>
      <c r="F29" s="154"/>
      <c r="G29" s="156">
        <f>IF(G28=0,0,G28/G20)</f>
        <v>2.2560064642141524E-3</v>
      </c>
      <c r="I29" s="157">
        <f>G29</f>
        <v>2.2560064642141524E-3</v>
      </c>
      <c r="K29" s="142"/>
      <c r="L29" s="142"/>
      <c r="M29" s="142"/>
      <c r="N29" s="142"/>
      <c r="O29" s="142"/>
      <c r="P29" s="142"/>
      <c r="Q29" s="142"/>
      <c r="R29" s="142"/>
      <c r="S29" s="142"/>
      <c r="T29" s="142"/>
      <c r="U29" s="142"/>
      <c r="V29" s="142"/>
      <c r="W29" s="142"/>
      <c r="X29" s="142"/>
      <c r="Y29" s="142"/>
      <c r="Z29" s="142"/>
      <c r="AA29" s="142"/>
      <c r="AB29" s="142"/>
      <c r="AC29" s="142"/>
      <c r="AD29" s="142"/>
      <c r="AE29" s="142"/>
      <c r="AF29" s="142"/>
      <c r="AG29" s="142"/>
      <c r="AH29" s="142"/>
      <c r="AI29" s="142"/>
      <c r="AJ29" s="142"/>
      <c r="AK29" s="142"/>
      <c r="AL29" s="142"/>
      <c r="AM29" s="142"/>
      <c r="AN29" s="142"/>
      <c r="AO29" s="142"/>
      <c r="AP29" s="142"/>
      <c r="AQ29" s="142"/>
      <c r="AR29" s="142"/>
      <c r="AS29" s="142"/>
      <c r="AT29" s="142"/>
      <c r="AU29" s="142"/>
      <c r="AV29" s="142"/>
      <c r="AW29" s="142"/>
    </row>
    <row r="30" spans="1:49">
      <c r="A30" s="153"/>
      <c r="E30" s="868"/>
      <c r="F30" s="154"/>
      <c r="K30" s="142"/>
      <c r="L30" s="142"/>
      <c r="M30" s="142"/>
      <c r="N30" s="142"/>
      <c r="O30" s="142"/>
      <c r="P30" s="142"/>
      <c r="Q30" s="142"/>
      <c r="R30" s="142"/>
      <c r="S30" s="142"/>
      <c r="T30" s="142"/>
      <c r="U30" s="142"/>
      <c r="V30" s="142"/>
      <c r="W30" s="142"/>
      <c r="X30" s="142"/>
      <c r="Y30" s="142"/>
      <c r="Z30" s="142"/>
      <c r="AA30" s="142"/>
      <c r="AB30" s="142"/>
      <c r="AC30" s="142"/>
      <c r="AD30" s="142"/>
      <c r="AE30" s="142"/>
      <c r="AF30" s="142"/>
      <c r="AG30" s="142"/>
      <c r="AH30" s="142"/>
      <c r="AI30" s="142"/>
      <c r="AJ30" s="142"/>
      <c r="AK30" s="142"/>
      <c r="AL30" s="142"/>
      <c r="AM30" s="142"/>
      <c r="AN30" s="142"/>
      <c r="AO30" s="142"/>
      <c r="AP30" s="142"/>
      <c r="AQ30" s="142"/>
      <c r="AR30" s="142"/>
      <c r="AS30" s="142"/>
      <c r="AT30" s="142"/>
      <c r="AU30" s="142"/>
      <c r="AV30" s="142"/>
      <c r="AW30" s="142"/>
    </row>
    <row r="31" spans="1:49">
      <c r="A31" s="160"/>
      <c r="C31" s="108" t="s">
        <v>235</v>
      </c>
      <c r="D31" s="108"/>
      <c r="E31" s="866"/>
      <c r="F31" s="114"/>
      <c r="G31" s="112"/>
      <c r="I31" s="112"/>
      <c r="K31" s="142"/>
      <c r="L31" s="142"/>
      <c r="M31" s="142"/>
      <c r="N31" s="142"/>
      <c r="O31" s="142"/>
      <c r="P31" s="142"/>
      <c r="Q31" s="142"/>
      <c r="R31" s="142"/>
      <c r="S31" s="142"/>
      <c r="T31" s="142"/>
      <c r="U31" s="142"/>
      <c r="V31" s="142"/>
      <c r="W31" s="142"/>
      <c r="X31" s="142"/>
      <c r="Y31" s="142"/>
      <c r="Z31" s="142"/>
      <c r="AA31" s="142"/>
      <c r="AB31" s="142"/>
      <c r="AC31" s="142"/>
      <c r="AD31" s="142"/>
      <c r="AE31" s="142"/>
      <c r="AF31" s="142"/>
      <c r="AG31" s="142"/>
      <c r="AH31" s="142"/>
      <c r="AI31" s="142"/>
      <c r="AJ31" s="142"/>
      <c r="AK31" s="142"/>
      <c r="AL31" s="142"/>
      <c r="AM31" s="142"/>
      <c r="AN31" s="142"/>
      <c r="AO31" s="142"/>
      <c r="AP31" s="142"/>
      <c r="AQ31" s="142"/>
      <c r="AR31" s="142"/>
      <c r="AS31" s="142"/>
      <c r="AT31" s="142"/>
      <c r="AU31" s="142"/>
      <c r="AV31" s="142"/>
      <c r="AW31" s="142"/>
    </row>
    <row r="32" spans="1:49">
      <c r="A32" s="160" t="s">
        <v>273</v>
      </c>
      <c r="C32" s="108" t="s">
        <v>237</v>
      </c>
      <c r="D32" s="108"/>
      <c r="E32" s="868" t="s">
        <v>807</v>
      </c>
      <c r="F32" s="154"/>
      <c r="G32" s="155">
        <f>DEK!J165</f>
        <v>247306</v>
      </c>
      <c r="K32" s="142"/>
      <c r="L32" s="142"/>
      <c r="M32" s="142"/>
      <c r="N32" s="142"/>
      <c r="O32" s="142"/>
      <c r="P32" s="142"/>
      <c r="Q32" s="142"/>
      <c r="R32" s="142"/>
      <c r="S32" s="142"/>
      <c r="T32" s="142"/>
      <c r="U32" s="142"/>
      <c r="V32" s="142"/>
      <c r="W32" s="142"/>
      <c r="X32" s="142"/>
      <c r="Y32" s="142"/>
      <c r="Z32" s="142"/>
      <c r="AA32" s="142"/>
      <c r="AB32" s="142"/>
      <c r="AC32" s="142"/>
      <c r="AD32" s="142"/>
      <c r="AE32" s="142"/>
      <c r="AF32" s="142"/>
      <c r="AG32" s="142"/>
      <c r="AH32" s="142"/>
      <c r="AI32" s="142"/>
      <c r="AJ32" s="142"/>
      <c r="AK32" s="142"/>
      <c r="AL32" s="142"/>
      <c r="AM32" s="142"/>
      <c r="AN32" s="142"/>
      <c r="AO32" s="142"/>
      <c r="AP32" s="142"/>
      <c r="AQ32" s="142"/>
      <c r="AR32" s="142"/>
      <c r="AS32" s="142"/>
      <c r="AT32" s="142"/>
      <c r="AU32" s="142"/>
      <c r="AV32" s="142"/>
      <c r="AW32" s="142"/>
    </row>
    <row r="33" spans="1:49">
      <c r="A33" s="160" t="s">
        <v>275</v>
      </c>
      <c r="C33" s="108" t="s">
        <v>272</v>
      </c>
      <c r="D33" s="108"/>
      <c r="E33" s="868" t="s">
        <v>798</v>
      </c>
      <c r="F33" s="154"/>
      <c r="G33" s="156">
        <f>IF(G32=0,0,G32/G20)</f>
        <v>6.2930612883240486E-3</v>
      </c>
      <c r="I33" s="157">
        <f>G33</f>
        <v>6.2930612883240486E-3</v>
      </c>
      <c r="K33" s="142"/>
      <c r="L33" s="142"/>
      <c r="M33" s="142"/>
      <c r="N33" s="142"/>
      <c r="O33" s="142"/>
      <c r="P33" s="142"/>
      <c r="Q33" s="142"/>
      <c r="R33" s="142"/>
      <c r="S33" s="142"/>
      <c r="T33" s="142"/>
      <c r="U33" s="142"/>
      <c r="V33" s="142"/>
      <c r="W33" s="142"/>
      <c r="X33" s="142"/>
      <c r="Y33" s="142"/>
      <c r="Z33" s="142"/>
      <c r="AA33" s="142"/>
      <c r="AB33" s="142"/>
      <c r="AC33" s="142"/>
      <c r="AD33" s="142"/>
      <c r="AE33" s="142"/>
      <c r="AF33" s="142"/>
      <c r="AG33" s="142"/>
      <c r="AH33" s="142"/>
      <c r="AI33" s="142"/>
      <c r="AJ33" s="142"/>
      <c r="AK33" s="142"/>
      <c r="AL33" s="142"/>
      <c r="AM33" s="142"/>
      <c r="AN33" s="142"/>
      <c r="AO33" s="142"/>
      <c r="AP33" s="142"/>
      <c r="AQ33" s="142"/>
      <c r="AR33" s="142"/>
      <c r="AS33" s="142"/>
      <c r="AT33" s="142"/>
      <c r="AU33" s="142"/>
      <c r="AV33" s="142"/>
      <c r="AW33" s="142"/>
    </row>
    <row r="34" spans="1:49">
      <c r="A34" s="160"/>
      <c r="C34" s="108"/>
      <c r="D34" s="108"/>
      <c r="E34" s="868"/>
      <c r="F34" s="154"/>
      <c r="G34" s="112"/>
      <c r="I34" s="112"/>
      <c r="K34" s="142"/>
      <c r="L34" s="142"/>
      <c r="M34" s="142"/>
      <c r="N34" s="142"/>
      <c r="O34" s="142"/>
      <c r="P34" s="142"/>
      <c r="Q34" s="142"/>
      <c r="R34" s="142"/>
      <c r="S34" s="142"/>
      <c r="T34" s="142"/>
      <c r="U34" s="142"/>
      <c r="V34" s="142"/>
      <c r="W34" s="142"/>
      <c r="X34" s="142"/>
      <c r="Y34" s="142"/>
      <c r="Z34" s="142"/>
      <c r="AA34" s="142"/>
      <c r="AB34" s="142"/>
      <c r="AC34" s="142"/>
      <c r="AD34" s="142"/>
      <c r="AE34" s="142"/>
      <c r="AF34" s="142"/>
      <c r="AG34" s="142"/>
      <c r="AH34" s="142"/>
      <c r="AI34" s="142"/>
      <c r="AJ34" s="142"/>
      <c r="AK34" s="142"/>
      <c r="AL34" s="142"/>
      <c r="AM34" s="142"/>
      <c r="AN34" s="142"/>
      <c r="AO34" s="142"/>
      <c r="AP34" s="142"/>
      <c r="AQ34" s="142"/>
      <c r="AR34" s="142"/>
      <c r="AS34" s="142"/>
      <c r="AT34" s="142"/>
      <c r="AU34" s="142"/>
      <c r="AV34" s="142"/>
      <c r="AW34" s="142"/>
    </row>
    <row r="35" spans="1:49" ht="15.75">
      <c r="A35" s="162" t="s">
        <v>233</v>
      </c>
      <c r="B35" s="163"/>
      <c r="C35" s="151" t="s">
        <v>274</v>
      </c>
      <c r="D35" s="151"/>
      <c r="E35" s="867" t="s">
        <v>568</v>
      </c>
      <c r="F35" s="148"/>
      <c r="G35" s="164"/>
      <c r="I35" s="165">
        <f>I25+I29+I33</f>
        <v>6.0386985124994137E-2</v>
      </c>
      <c r="K35" s="142"/>
      <c r="L35" s="142"/>
      <c r="M35" s="142"/>
      <c r="N35" s="142"/>
      <c r="O35" s="142"/>
      <c r="P35" s="142"/>
      <c r="Q35" s="142"/>
      <c r="R35" s="142"/>
      <c r="S35" s="142"/>
      <c r="T35" s="142"/>
      <c r="U35" s="142"/>
      <c r="V35" s="142"/>
      <c r="W35" s="142"/>
      <c r="X35" s="142"/>
      <c r="Y35" s="142"/>
      <c r="Z35" s="142"/>
      <c r="AA35" s="142"/>
      <c r="AB35" s="142"/>
      <c r="AC35" s="142"/>
      <c r="AD35" s="142"/>
      <c r="AE35" s="142"/>
      <c r="AF35" s="142"/>
      <c r="AG35" s="142"/>
      <c r="AH35" s="142"/>
      <c r="AI35" s="142"/>
      <c r="AJ35" s="142"/>
      <c r="AK35" s="142"/>
      <c r="AL35" s="142"/>
      <c r="AM35" s="142"/>
      <c r="AN35" s="142"/>
      <c r="AO35" s="142"/>
      <c r="AP35" s="142"/>
      <c r="AQ35" s="142"/>
      <c r="AR35" s="142"/>
      <c r="AS35" s="142"/>
      <c r="AT35" s="142"/>
      <c r="AU35" s="142"/>
      <c r="AV35" s="142"/>
      <c r="AW35" s="142"/>
    </row>
    <row r="36" spans="1:49">
      <c r="A36" s="371"/>
      <c r="C36" s="108"/>
      <c r="D36" s="108"/>
      <c r="E36" s="868"/>
      <c r="F36" s="154"/>
      <c r="G36" s="112"/>
      <c r="I36" s="112"/>
      <c r="K36" s="142"/>
      <c r="L36" s="142"/>
      <c r="M36" s="142"/>
      <c r="N36" s="142"/>
      <c r="O36" s="142"/>
      <c r="P36" s="142"/>
      <c r="Q36" s="142"/>
      <c r="R36" s="142"/>
      <c r="S36" s="142"/>
      <c r="T36" s="142"/>
      <c r="U36" s="142"/>
      <c r="V36" s="142"/>
      <c r="W36" s="142"/>
      <c r="X36" s="142"/>
      <c r="Y36" s="142"/>
      <c r="Z36" s="142"/>
      <c r="AA36" s="142"/>
      <c r="AB36" s="142"/>
      <c r="AC36" s="142"/>
      <c r="AD36" s="142"/>
      <c r="AE36" s="142"/>
      <c r="AF36" s="142"/>
      <c r="AG36" s="142"/>
      <c r="AH36" s="142"/>
      <c r="AI36" s="142"/>
      <c r="AJ36" s="142"/>
      <c r="AK36" s="142"/>
      <c r="AL36" s="142"/>
      <c r="AM36" s="142"/>
      <c r="AN36" s="142"/>
      <c r="AO36" s="142"/>
      <c r="AP36" s="142"/>
      <c r="AQ36" s="142"/>
      <c r="AR36" s="142"/>
      <c r="AS36" s="142"/>
      <c r="AT36" s="142"/>
      <c r="AU36" s="142"/>
      <c r="AV36" s="142"/>
      <c r="AW36" s="142"/>
    </row>
    <row r="37" spans="1:49">
      <c r="A37" s="166"/>
      <c r="B37" s="167"/>
      <c r="C37" s="112" t="s">
        <v>239</v>
      </c>
      <c r="D37" s="112"/>
      <c r="E37" s="868"/>
      <c r="F37" s="154"/>
      <c r="G37" s="112"/>
      <c r="I37" s="112"/>
      <c r="K37" s="142"/>
      <c r="L37" s="142"/>
      <c r="M37" s="142"/>
      <c r="N37" s="142"/>
      <c r="O37" s="142"/>
      <c r="P37" s="142"/>
      <c r="Q37" s="142"/>
      <c r="R37" s="142"/>
      <c r="S37" s="142"/>
      <c r="T37" s="142"/>
      <c r="U37" s="142"/>
      <c r="V37" s="142"/>
      <c r="W37" s="142"/>
      <c r="X37" s="142"/>
      <c r="Y37" s="142"/>
      <c r="Z37" s="142"/>
      <c r="AA37" s="142"/>
      <c r="AB37" s="142"/>
      <c r="AC37" s="142"/>
      <c r="AD37" s="142"/>
      <c r="AE37" s="142"/>
      <c r="AF37" s="142"/>
      <c r="AG37" s="142"/>
      <c r="AH37" s="142"/>
      <c r="AI37" s="142"/>
      <c r="AJ37" s="142"/>
      <c r="AK37" s="142"/>
      <c r="AL37" s="142"/>
      <c r="AM37" s="142"/>
      <c r="AN37" s="142"/>
      <c r="AO37" s="142"/>
      <c r="AP37" s="142"/>
      <c r="AQ37" s="142"/>
      <c r="AR37" s="142"/>
      <c r="AS37" s="142"/>
      <c r="AT37" s="142"/>
      <c r="AU37" s="142"/>
      <c r="AV37" s="142"/>
      <c r="AW37" s="142"/>
    </row>
    <row r="38" spans="1:49">
      <c r="A38" s="160" t="s">
        <v>234</v>
      </c>
      <c r="B38" s="167"/>
      <c r="C38" s="112" t="s">
        <v>150</v>
      </c>
      <c r="D38" s="112"/>
      <c r="E38" s="868" t="s">
        <v>808</v>
      </c>
      <c r="F38" s="154"/>
      <c r="G38" s="155">
        <f>DEK!J178</f>
        <v>792354.33581165737</v>
      </c>
      <c r="I38" s="112"/>
      <c r="K38" s="142"/>
      <c r="L38" s="142"/>
      <c r="M38" s="142"/>
      <c r="N38" s="142"/>
      <c r="O38" s="142"/>
      <c r="P38" s="142"/>
      <c r="Q38" s="142"/>
      <c r="R38" s="142"/>
      <c r="S38" s="142"/>
      <c r="T38" s="142"/>
      <c r="U38" s="142"/>
      <c r="V38" s="142"/>
      <c r="W38" s="142"/>
      <c r="X38" s="142"/>
      <c r="Y38" s="142"/>
      <c r="Z38" s="142"/>
      <c r="AA38" s="142"/>
      <c r="AB38" s="142"/>
      <c r="AC38" s="142"/>
      <c r="AD38" s="142"/>
      <c r="AE38" s="142"/>
      <c r="AF38" s="142"/>
      <c r="AG38" s="142"/>
      <c r="AH38" s="142"/>
      <c r="AI38" s="142"/>
      <c r="AJ38" s="142"/>
      <c r="AK38" s="142"/>
      <c r="AL38" s="142"/>
      <c r="AM38" s="142"/>
      <c r="AN38" s="142"/>
      <c r="AO38" s="142"/>
      <c r="AP38" s="142"/>
      <c r="AQ38" s="142"/>
      <c r="AR38" s="142"/>
      <c r="AS38" s="142"/>
      <c r="AT38" s="142"/>
      <c r="AU38" s="142"/>
      <c r="AV38" s="142"/>
      <c r="AW38" s="142"/>
    </row>
    <row r="39" spans="1:49">
      <c r="A39" s="160" t="s">
        <v>236</v>
      </c>
      <c r="B39" s="167"/>
      <c r="C39" s="112" t="s">
        <v>276</v>
      </c>
      <c r="D39" s="112"/>
      <c r="E39" s="868" t="s">
        <v>702</v>
      </c>
      <c r="F39" s="154"/>
      <c r="G39" s="156">
        <f>IF(G38=0,0,G38/G21)</f>
        <v>3.0229335988395348E-2</v>
      </c>
      <c r="I39" s="157">
        <f>G39</f>
        <v>3.0229335988395348E-2</v>
      </c>
      <c r="K39" s="142"/>
      <c r="L39" s="142"/>
      <c r="M39" s="142"/>
      <c r="N39" s="142"/>
      <c r="O39" s="142"/>
      <c r="P39" s="142"/>
      <c r="Q39" s="142"/>
      <c r="R39" s="142"/>
      <c r="S39" s="142"/>
      <c r="T39" s="142"/>
      <c r="U39" s="142"/>
      <c r="V39" s="142"/>
      <c r="W39" s="142"/>
      <c r="X39" s="142"/>
      <c r="Y39" s="142"/>
      <c r="Z39" s="142"/>
      <c r="AA39" s="142"/>
      <c r="AB39" s="142"/>
      <c r="AC39" s="142"/>
      <c r="AD39" s="142"/>
      <c r="AE39" s="142"/>
      <c r="AF39" s="142"/>
      <c r="AG39" s="142"/>
      <c r="AH39" s="142"/>
      <c r="AI39" s="142"/>
      <c r="AJ39" s="142"/>
      <c r="AK39" s="142"/>
      <c r="AL39" s="142"/>
      <c r="AM39" s="142"/>
      <c r="AN39" s="142"/>
      <c r="AO39" s="142"/>
      <c r="AP39" s="142"/>
      <c r="AQ39" s="142"/>
      <c r="AR39" s="142"/>
      <c r="AS39" s="142"/>
      <c r="AT39" s="142"/>
      <c r="AU39" s="142"/>
      <c r="AV39" s="142"/>
      <c r="AW39" s="142"/>
    </row>
    <row r="40" spans="1:49">
      <c r="A40" s="160"/>
      <c r="C40" s="112"/>
      <c r="D40" s="112"/>
      <c r="E40" s="868"/>
      <c r="F40" s="154"/>
      <c r="G40" s="112"/>
      <c r="I40" s="112"/>
      <c r="K40" s="142"/>
      <c r="L40" s="142"/>
      <c r="M40" s="142"/>
      <c r="N40" s="142"/>
      <c r="O40" s="142"/>
      <c r="P40" s="142"/>
      <c r="Q40" s="142"/>
      <c r="R40" s="142"/>
      <c r="S40" s="142"/>
      <c r="T40" s="142"/>
      <c r="U40" s="142"/>
      <c r="V40" s="142"/>
      <c r="W40" s="142"/>
      <c r="X40" s="142"/>
      <c r="Y40" s="142"/>
      <c r="Z40" s="142"/>
      <c r="AA40" s="142"/>
      <c r="AB40" s="142"/>
      <c r="AC40" s="142"/>
      <c r="AD40" s="142"/>
      <c r="AE40" s="142"/>
      <c r="AF40" s="142"/>
      <c r="AG40" s="142"/>
      <c r="AH40" s="142"/>
      <c r="AI40" s="142"/>
      <c r="AJ40" s="142"/>
      <c r="AK40" s="142"/>
      <c r="AL40" s="142"/>
      <c r="AM40" s="142"/>
      <c r="AN40" s="142"/>
      <c r="AO40" s="142"/>
      <c r="AP40" s="142"/>
      <c r="AQ40" s="142"/>
      <c r="AR40" s="142"/>
      <c r="AS40" s="142"/>
      <c r="AT40" s="142"/>
      <c r="AU40" s="142"/>
      <c r="AV40" s="142"/>
      <c r="AW40" s="142"/>
    </row>
    <row r="41" spans="1:49">
      <c r="A41" s="160"/>
      <c r="C41" s="108" t="s">
        <v>73</v>
      </c>
      <c r="D41" s="108"/>
      <c r="E41" s="869"/>
      <c r="F41" s="168"/>
      <c r="K41" s="142"/>
      <c r="L41" s="142"/>
      <c r="M41" s="142"/>
      <c r="N41" s="142"/>
      <c r="O41" s="142"/>
      <c r="P41" s="142"/>
      <c r="Q41" s="142"/>
      <c r="R41" s="142"/>
      <c r="S41" s="142"/>
      <c r="T41" s="142"/>
      <c r="U41" s="142"/>
      <c r="V41" s="142"/>
      <c r="W41" s="142"/>
      <c r="X41" s="142"/>
      <c r="Y41" s="142"/>
      <c r="Z41" s="142"/>
      <c r="AA41" s="142"/>
      <c r="AB41" s="142"/>
      <c r="AC41" s="142"/>
      <c r="AD41" s="142"/>
      <c r="AE41" s="142"/>
      <c r="AF41" s="142"/>
      <c r="AG41" s="142"/>
      <c r="AH41" s="142"/>
      <c r="AI41" s="142"/>
      <c r="AJ41" s="142"/>
      <c r="AK41" s="142"/>
      <c r="AL41" s="142"/>
      <c r="AM41" s="142"/>
      <c r="AN41" s="142"/>
      <c r="AO41" s="142"/>
      <c r="AP41" s="142"/>
      <c r="AQ41" s="142"/>
      <c r="AR41" s="142"/>
      <c r="AS41" s="142"/>
      <c r="AT41" s="142"/>
      <c r="AU41" s="142"/>
      <c r="AV41" s="142"/>
      <c r="AW41" s="142"/>
    </row>
    <row r="42" spans="1:49">
      <c r="A42" s="160" t="s">
        <v>238</v>
      </c>
      <c r="C42" s="108" t="s">
        <v>240</v>
      </c>
      <c r="D42" s="108"/>
      <c r="E42" s="868" t="s">
        <v>809</v>
      </c>
      <c r="F42" s="154"/>
      <c r="G42" s="155">
        <f>DEK!J180</f>
        <v>1600848</v>
      </c>
      <c r="I42" s="112"/>
      <c r="K42" s="142"/>
      <c r="L42" s="142"/>
      <c r="M42" s="142"/>
      <c r="N42" s="142"/>
      <c r="O42" s="142"/>
      <c r="P42" s="142"/>
      <c r="Q42" s="142"/>
      <c r="R42" s="142"/>
      <c r="S42" s="142"/>
      <c r="T42" s="142"/>
      <c r="U42" s="142"/>
      <c r="V42" s="142"/>
      <c r="W42" s="142"/>
      <c r="X42" s="142"/>
      <c r="Y42" s="142"/>
      <c r="Z42" s="142"/>
      <c r="AA42" s="142"/>
      <c r="AB42" s="142"/>
      <c r="AC42" s="142"/>
      <c r="AD42" s="142"/>
      <c r="AE42" s="142"/>
      <c r="AF42" s="142"/>
      <c r="AG42" s="142"/>
      <c r="AH42" s="142"/>
      <c r="AI42" s="142"/>
      <c r="AJ42" s="142"/>
      <c r="AK42" s="142"/>
      <c r="AL42" s="142"/>
      <c r="AM42" s="142"/>
      <c r="AN42" s="142"/>
      <c r="AO42" s="142"/>
      <c r="AP42" s="142"/>
      <c r="AQ42" s="142"/>
      <c r="AR42" s="142"/>
      <c r="AS42" s="142"/>
      <c r="AT42" s="142"/>
      <c r="AU42" s="142"/>
      <c r="AV42" s="142"/>
      <c r="AW42" s="142"/>
    </row>
    <row r="43" spans="1:49">
      <c r="A43" s="160" t="s">
        <v>323</v>
      </c>
      <c r="B43" s="167"/>
      <c r="C43" s="112" t="s">
        <v>277</v>
      </c>
      <c r="D43" s="112"/>
      <c r="E43" s="868" t="s">
        <v>799</v>
      </c>
      <c r="F43" s="154"/>
      <c r="G43" s="169">
        <f>IF(G42=0,0,G42/G21)</f>
        <v>6.1074408091399184E-2</v>
      </c>
      <c r="I43" s="157">
        <f>G43</f>
        <v>6.1074408091399184E-2</v>
      </c>
      <c r="K43" s="142"/>
      <c r="L43" s="142"/>
      <c r="M43" s="142"/>
      <c r="N43" s="142"/>
      <c r="O43" s="142"/>
      <c r="P43" s="142"/>
      <c r="Q43" s="142"/>
      <c r="R43" s="142"/>
      <c r="S43" s="142"/>
      <c r="T43" s="142"/>
      <c r="U43" s="142"/>
      <c r="V43" s="142"/>
      <c r="W43" s="142"/>
      <c r="X43" s="142"/>
      <c r="Y43" s="142"/>
      <c r="Z43" s="142"/>
      <c r="AA43" s="142"/>
      <c r="AB43" s="142"/>
      <c r="AC43" s="142"/>
      <c r="AD43" s="142"/>
      <c r="AE43" s="142"/>
      <c r="AF43" s="142"/>
      <c r="AG43" s="142"/>
      <c r="AH43" s="142"/>
      <c r="AI43" s="142"/>
      <c r="AJ43" s="142"/>
      <c r="AK43" s="142"/>
      <c r="AL43" s="142"/>
      <c r="AM43" s="142"/>
      <c r="AN43" s="142"/>
      <c r="AO43" s="142"/>
      <c r="AP43" s="142"/>
      <c r="AQ43" s="142"/>
      <c r="AR43" s="142"/>
      <c r="AS43" s="142"/>
      <c r="AT43" s="142"/>
      <c r="AU43" s="142"/>
      <c r="AV43" s="142"/>
      <c r="AW43" s="142"/>
    </row>
    <row r="44" spans="1:49">
      <c r="A44" s="160"/>
      <c r="C44" s="108"/>
      <c r="D44" s="108"/>
      <c r="E44" s="868"/>
      <c r="F44" s="154"/>
      <c r="G44" s="112"/>
      <c r="I44" s="112"/>
      <c r="K44" s="142"/>
      <c r="L44" s="142"/>
      <c r="M44" s="142"/>
      <c r="N44" s="142"/>
      <c r="O44" s="142"/>
      <c r="P44" s="142"/>
      <c r="Q44" s="142"/>
      <c r="R44" s="142"/>
      <c r="S44" s="142"/>
      <c r="T44" s="142"/>
      <c r="U44" s="142"/>
      <c r="V44" s="142"/>
      <c r="W44" s="142"/>
      <c r="X44" s="142"/>
      <c r="Y44" s="142"/>
      <c r="Z44" s="142"/>
      <c r="AA44" s="142"/>
      <c r="AB44" s="142"/>
      <c r="AC44" s="142"/>
      <c r="AD44" s="142"/>
      <c r="AE44" s="142"/>
      <c r="AF44" s="142"/>
      <c r="AG44" s="142"/>
      <c r="AH44" s="142"/>
      <c r="AI44" s="142"/>
      <c r="AJ44" s="142"/>
      <c r="AK44" s="142"/>
      <c r="AL44" s="142"/>
      <c r="AM44" s="142"/>
      <c r="AN44" s="142"/>
      <c r="AO44" s="142"/>
      <c r="AP44" s="142"/>
      <c r="AQ44" s="142"/>
      <c r="AR44" s="142"/>
      <c r="AS44" s="142"/>
      <c r="AT44" s="142"/>
      <c r="AU44" s="142"/>
      <c r="AV44" s="142"/>
      <c r="AW44" s="142"/>
    </row>
    <row r="45" spans="1:49" ht="15.75">
      <c r="A45" s="162" t="s">
        <v>324</v>
      </c>
      <c r="B45" s="163"/>
      <c r="C45" s="151" t="s">
        <v>278</v>
      </c>
      <c r="D45" s="151"/>
      <c r="E45" s="867" t="s">
        <v>419</v>
      </c>
      <c r="F45" s="148"/>
      <c r="G45" s="164"/>
      <c r="I45" s="165">
        <f>I39+I43</f>
        <v>9.1303744079794524E-2</v>
      </c>
      <c r="K45" s="142"/>
      <c r="L45" s="142"/>
      <c r="M45" s="142"/>
      <c r="N45" s="142"/>
      <c r="O45" s="142"/>
      <c r="P45" s="142"/>
      <c r="Q45" s="142"/>
      <c r="R45" s="142"/>
      <c r="S45" s="142"/>
      <c r="T45" s="142"/>
      <c r="U45" s="142"/>
      <c r="V45" s="142"/>
      <c r="W45" s="142"/>
      <c r="X45" s="142"/>
      <c r="Y45" s="142"/>
      <c r="Z45" s="142"/>
      <c r="AA45" s="142"/>
      <c r="AB45" s="142"/>
      <c r="AC45" s="142"/>
      <c r="AD45" s="142"/>
      <c r="AE45" s="142"/>
      <c r="AF45" s="142"/>
      <c r="AG45" s="142"/>
      <c r="AH45" s="142"/>
      <c r="AI45" s="142"/>
      <c r="AJ45" s="142"/>
      <c r="AK45" s="142"/>
      <c r="AL45" s="142"/>
      <c r="AM45" s="142"/>
      <c r="AN45" s="142"/>
      <c r="AO45" s="142"/>
      <c r="AP45" s="142"/>
      <c r="AQ45" s="142"/>
      <c r="AR45" s="142"/>
      <c r="AS45" s="142"/>
      <c r="AT45" s="142"/>
      <c r="AU45" s="142"/>
      <c r="AV45" s="142"/>
      <c r="AW45" s="142"/>
    </row>
    <row r="46" spans="1:49">
      <c r="K46" s="142"/>
      <c r="L46" s="142"/>
      <c r="M46" s="142"/>
      <c r="N46" s="142"/>
      <c r="O46" s="142"/>
      <c r="P46" s="142"/>
      <c r="Q46" s="142"/>
      <c r="R46" s="142"/>
      <c r="S46" s="142"/>
      <c r="T46" s="142"/>
      <c r="U46" s="142"/>
      <c r="V46" s="142"/>
      <c r="W46" s="142"/>
      <c r="X46" s="142"/>
      <c r="Y46" s="142"/>
      <c r="Z46" s="142"/>
      <c r="AA46" s="142"/>
      <c r="AB46" s="142"/>
      <c r="AC46" s="142"/>
      <c r="AD46" s="142"/>
      <c r="AE46" s="142"/>
      <c r="AF46" s="142"/>
      <c r="AG46" s="142"/>
      <c r="AH46" s="142"/>
      <c r="AI46" s="142"/>
      <c r="AJ46" s="142"/>
      <c r="AK46" s="142"/>
      <c r="AL46" s="142"/>
      <c r="AM46" s="142"/>
      <c r="AN46" s="142"/>
      <c r="AO46" s="142"/>
      <c r="AP46" s="142"/>
      <c r="AQ46" s="142"/>
      <c r="AR46" s="142"/>
      <c r="AS46" s="142"/>
      <c r="AT46" s="142"/>
      <c r="AU46" s="142"/>
      <c r="AV46" s="142"/>
      <c r="AW46" s="142"/>
    </row>
    <row r="47" spans="1:49">
      <c r="A47" s="172"/>
      <c r="B47" s="142"/>
      <c r="C47" s="166"/>
      <c r="D47" s="166"/>
      <c r="E47" s="114"/>
      <c r="F47" s="114"/>
      <c r="G47" s="112"/>
      <c r="H47" s="107"/>
      <c r="I47" s="107"/>
      <c r="J47" s="156"/>
      <c r="K47" s="142"/>
      <c r="L47" s="142"/>
      <c r="M47" s="142"/>
      <c r="N47" s="142"/>
      <c r="O47" s="142"/>
      <c r="P47" s="142"/>
      <c r="Q47" s="142"/>
      <c r="R47" s="142"/>
      <c r="S47" s="142"/>
      <c r="T47" s="142"/>
      <c r="U47" s="142"/>
      <c r="V47" s="142"/>
      <c r="W47" s="142"/>
      <c r="X47" s="142"/>
      <c r="Y47" s="142"/>
      <c r="Z47" s="142"/>
      <c r="AA47" s="142"/>
      <c r="AB47" s="142"/>
      <c r="AC47" s="142"/>
      <c r="AD47" s="142"/>
      <c r="AE47" s="142"/>
      <c r="AF47" s="142"/>
      <c r="AG47" s="142"/>
      <c r="AH47" s="142"/>
      <c r="AI47" s="142"/>
      <c r="AJ47" s="142"/>
      <c r="AK47" s="142"/>
      <c r="AL47" s="142"/>
      <c r="AM47" s="142"/>
      <c r="AN47" s="142"/>
      <c r="AO47" s="142"/>
      <c r="AP47" s="142"/>
      <c r="AQ47" s="142"/>
      <c r="AR47" s="142"/>
      <c r="AS47" s="142"/>
      <c r="AT47" s="142"/>
      <c r="AU47" s="142"/>
      <c r="AV47" s="142"/>
      <c r="AW47" s="142"/>
    </row>
    <row r="48" spans="1:49">
      <c r="A48" s="143"/>
      <c r="C48" s="107"/>
      <c r="D48" s="107"/>
      <c r="E48" s="107"/>
      <c r="F48" s="107"/>
      <c r="G48" s="112"/>
      <c r="H48" s="107"/>
      <c r="I48" s="107"/>
      <c r="J48" s="107"/>
      <c r="K48" s="142"/>
      <c r="L48" s="142"/>
      <c r="M48" s="142"/>
      <c r="N48" s="142"/>
      <c r="O48" s="142"/>
      <c r="P48" s="142"/>
      <c r="Q48" s="142"/>
      <c r="R48" s="142"/>
      <c r="S48" s="142"/>
      <c r="T48" s="142"/>
      <c r="U48" s="142"/>
      <c r="V48" s="142"/>
      <c r="W48" s="142"/>
      <c r="X48" s="142"/>
      <c r="Y48" s="142"/>
      <c r="Z48" s="142"/>
      <c r="AA48" s="142"/>
      <c r="AB48" s="142"/>
      <c r="AC48" s="142"/>
      <c r="AD48" s="142"/>
      <c r="AE48" s="142"/>
      <c r="AF48" s="142"/>
      <c r="AG48" s="142"/>
      <c r="AH48" s="142"/>
      <c r="AI48" s="142"/>
      <c r="AJ48" s="142"/>
      <c r="AK48" s="142"/>
      <c r="AL48" s="142"/>
      <c r="AM48" s="142"/>
      <c r="AN48" s="142"/>
      <c r="AO48" s="142"/>
      <c r="AP48" s="142"/>
      <c r="AQ48" s="142"/>
      <c r="AR48" s="142"/>
      <c r="AS48" s="142"/>
      <c r="AT48" s="142"/>
      <c r="AU48" s="142"/>
      <c r="AV48" s="142"/>
      <c r="AW48" s="142"/>
    </row>
    <row r="49" spans="11:49">
      <c r="X49" s="77" t="s">
        <v>369</v>
      </c>
    </row>
    <row r="50" spans="11:49">
      <c r="X50" s="77" t="s">
        <v>421</v>
      </c>
    </row>
    <row r="51" spans="11:49">
      <c r="X51" s="173" t="s">
        <v>241</v>
      </c>
    </row>
    <row r="52" spans="11:49">
      <c r="K52" s="143"/>
      <c r="M52" s="107"/>
      <c r="N52" s="107"/>
      <c r="O52" s="107"/>
      <c r="P52" s="107"/>
      <c r="Q52" s="112"/>
      <c r="R52" s="107"/>
      <c r="S52" s="107"/>
      <c r="T52" s="107"/>
      <c r="U52" s="107"/>
      <c r="W52" s="112"/>
      <c r="X52" s="173" t="str">
        <f>I4</f>
        <v>For the 12 months ended: 12/31/2015</v>
      </c>
      <c r="Y52" s="146"/>
      <c r="Z52" s="140"/>
      <c r="AA52" s="146"/>
      <c r="AB52" s="147"/>
      <c r="AC52" s="142"/>
      <c r="AD52" s="142"/>
      <c r="AE52" s="142"/>
      <c r="AF52" s="142"/>
      <c r="AG52" s="142"/>
      <c r="AH52" s="142"/>
      <c r="AI52" s="142"/>
      <c r="AJ52" s="142"/>
      <c r="AK52" s="142"/>
      <c r="AL52" s="142"/>
      <c r="AM52" s="142"/>
      <c r="AN52" s="142"/>
      <c r="AO52" s="142"/>
      <c r="AP52" s="142"/>
      <c r="AQ52" s="142"/>
      <c r="AR52" s="142"/>
      <c r="AS52" s="142"/>
      <c r="AT52" s="142"/>
      <c r="AU52" s="142"/>
      <c r="AV52" s="142"/>
      <c r="AW52" s="142"/>
    </row>
    <row r="53" spans="11:49">
      <c r="K53" s="143"/>
      <c r="M53" s="108"/>
      <c r="N53" s="107"/>
      <c r="O53" s="107"/>
      <c r="P53" s="107"/>
      <c r="Q53" s="112"/>
      <c r="R53" s="107"/>
      <c r="S53" s="107"/>
      <c r="T53" s="107"/>
      <c r="U53" s="107"/>
      <c r="W53" s="112"/>
      <c r="Y53" s="146"/>
      <c r="Z53" s="140"/>
      <c r="AA53" s="146"/>
      <c r="AB53" s="147"/>
      <c r="AC53" s="142"/>
      <c r="AD53" s="142"/>
      <c r="AE53" s="142"/>
      <c r="AF53" s="142"/>
      <c r="AG53" s="142"/>
      <c r="AH53" s="142"/>
      <c r="AI53" s="142"/>
      <c r="AJ53" s="142"/>
      <c r="AK53" s="142"/>
      <c r="AL53" s="142"/>
      <c r="AM53" s="142"/>
      <c r="AN53" s="142"/>
      <c r="AO53" s="142"/>
      <c r="AP53" s="142"/>
      <c r="AQ53" s="142"/>
      <c r="AR53" s="142"/>
      <c r="AS53" s="142"/>
      <c r="AT53" s="142"/>
      <c r="AU53" s="142"/>
      <c r="AV53" s="142"/>
      <c r="AW53" s="142"/>
    </row>
    <row r="54" spans="11:49">
      <c r="K54" s="224" t="str">
        <f>A6</f>
        <v>Rate Formula Template</v>
      </c>
      <c r="L54" s="283"/>
      <c r="M54" s="283"/>
      <c r="N54" s="223"/>
      <c r="O54" s="224"/>
      <c r="P54" s="224"/>
      <c r="Q54" s="283"/>
      <c r="R54" s="224"/>
      <c r="S54" s="224"/>
      <c r="T54" s="224"/>
      <c r="U54" s="224"/>
      <c r="V54" s="283"/>
      <c r="W54" s="222"/>
      <c r="X54" s="283"/>
      <c r="Y54" s="146"/>
      <c r="Z54" s="140"/>
      <c r="AA54" s="146"/>
      <c r="AB54" s="147"/>
      <c r="AC54" s="142"/>
      <c r="AD54" s="142"/>
      <c r="AE54" s="142"/>
      <c r="AF54" s="142"/>
      <c r="AG54" s="142"/>
      <c r="AH54" s="142"/>
      <c r="AI54" s="142"/>
      <c r="AJ54" s="142"/>
      <c r="AK54" s="142"/>
      <c r="AL54" s="142"/>
      <c r="AM54" s="142"/>
      <c r="AN54" s="142"/>
      <c r="AO54" s="142"/>
      <c r="AP54" s="142"/>
      <c r="AQ54" s="142"/>
      <c r="AR54" s="142"/>
      <c r="AS54" s="142"/>
      <c r="AT54" s="142"/>
      <c r="AU54" s="142"/>
      <c r="AV54" s="142"/>
      <c r="AW54" s="142"/>
    </row>
    <row r="55" spans="11:49">
      <c r="K55" s="224" t="str">
        <f>A7</f>
        <v>Utilizing Attachment H-22A Data</v>
      </c>
      <c r="L55" s="283"/>
      <c r="M55" s="223"/>
      <c r="N55" s="223"/>
      <c r="O55" s="224"/>
      <c r="P55" s="224"/>
      <c r="Q55" s="283"/>
      <c r="R55" s="224"/>
      <c r="S55" s="224"/>
      <c r="T55" s="224"/>
      <c r="U55" s="224"/>
      <c r="V55" s="222"/>
      <c r="W55" s="222"/>
      <c r="X55" s="283"/>
      <c r="Y55" s="146"/>
      <c r="Z55" s="140"/>
      <c r="AA55" s="146"/>
      <c r="AB55" s="147"/>
      <c r="AC55" s="142"/>
      <c r="AD55" s="142"/>
      <c r="AE55" s="142"/>
      <c r="AF55" s="142"/>
      <c r="AG55" s="142"/>
      <c r="AH55" s="142"/>
      <c r="AI55" s="142"/>
      <c r="AJ55" s="142"/>
      <c r="AK55" s="142"/>
      <c r="AL55" s="142"/>
      <c r="AM55" s="142"/>
      <c r="AN55" s="142"/>
      <c r="AO55" s="142"/>
      <c r="AP55" s="142"/>
      <c r="AQ55" s="142"/>
      <c r="AR55" s="142"/>
      <c r="AS55" s="142"/>
      <c r="AT55" s="142"/>
      <c r="AU55" s="142"/>
      <c r="AV55" s="142"/>
      <c r="AW55" s="142"/>
    </row>
    <row r="56" spans="11:49" ht="14.25" customHeight="1">
      <c r="K56" s="282"/>
      <c r="M56" s="107"/>
      <c r="N56" s="107"/>
      <c r="O56" s="107"/>
      <c r="P56" s="107"/>
      <c r="R56" s="224"/>
      <c r="S56" s="107"/>
      <c r="T56" s="107"/>
      <c r="U56" s="107"/>
      <c r="W56" s="112"/>
      <c r="X56" s="107"/>
      <c r="Y56" s="146"/>
      <c r="Z56" s="140"/>
      <c r="AA56" s="146"/>
      <c r="AB56" s="147"/>
      <c r="AC56" s="142"/>
      <c r="AD56" s="142"/>
      <c r="AE56" s="142"/>
      <c r="AF56" s="142"/>
      <c r="AG56" s="142"/>
      <c r="AH56" s="142"/>
      <c r="AI56" s="142"/>
      <c r="AJ56" s="142"/>
      <c r="AK56" s="142"/>
      <c r="AL56" s="142"/>
      <c r="AM56" s="142"/>
      <c r="AN56" s="142"/>
      <c r="AO56" s="142"/>
      <c r="AP56" s="142"/>
      <c r="AQ56" s="142"/>
      <c r="AR56" s="142"/>
      <c r="AS56" s="142"/>
      <c r="AT56" s="142"/>
      <c r="AU56" s="142"/>
      <c r="AV56" s="142"/>
      <c r="AW56" s="142"/>
    </row>
    <row r="57" spans="11:49">
      <c r="K57" s="224" t="str">
        <f>A9</f>
        <v>Duke Energy Kentucky</v>
      </c>
      <c r="L57" s="283"/>
      <c r="M57" s="283"/>
      <c r="N57" s="283"/>
      <c r="O57" s="224"/>
      <c r="P57" s="224"/>
      <c r="Q57" s="283"/>
      <c r="R57" s="224"/>
      <c r="S57" s="224"/>
      <c r="T57" s="224"/>
      <c r="U57" s="224"/>
      <c r="V57" s="224"/>
      <c r="W57" s="222"/>
      <c r="X57" s="222"/>
      <c r="Y57" s="146"/>
      <c r="Z57" s="140"/>
      <c r="AA57" s="146"/>
      <c r="AB57" s="147"/>
      <c r="AC57" s="142"/>
      <c r="AD57" s="142"/>
      <c r="AE57" s="142"/>
      <c r="AF57" s="142"/>
      <c r="AG57" s="142"/>
      <c r="AH57" s="142"/>
      <c r="AI57" s="142"/>
      <c r="AJ57" s="142"/>
      <c r="AK57" s="142"/>
      <c r="AL57" s="142"/>
      <c r="AM57" s="142"/>
      <c r="AN57" s="142"/>
      <c r="AO57" s="142"/>
      <c r="AP57" s="142"/>
      <c r="AQ57" s="142"/>
      <c r="AR57" s="142"/>
      <c r="AS57" s="142"/>
      <c r="AT57" s="142"/>
      <c r="AU57" s="142"/>
      <c r="AV57" s="142"/>
      <c r="AW57" s="142"/>
    </row>
    <row r="58" spans="11:49">
      <c r="K58" s="224" t="str">
        <f>A10</f>
        <v>RTEP - Transmission Enhancement Charges</v>
      </c>
      <c r="L58" s="283"/>
      <c r="M58" s="283"/>
      <c r="N58" s="283"/>
      <c r="O58" s="223"/>
      <c r="P58" s="223"/>
      <c r="Q58" s="223"/>
      <c r="R58" s="223"/>
      <c r="S58" s="223"/>
      <c r="T58" s="223"/>
      <c r="U58" s="223"/>
      <c r="V58" s="223"/>
      <c r="W58" s="223"/>
      <c r="X58" s="223"/>
      <c r="Y58" s="146"/>
      <c r="Z58" s="140"/>
      <c r="AA58" s="146"/>
      <c r="AB58" s="147"/>
      <c r="AC58" s="142"/>
      <c r="AD58" s="142"/>
      <c r="AE58" s="142"/>
      <c r="AF58" s="142"/>
      <c r="AG58" s="142"/>
      <c r="AH58" s="142"/>
      <c r="AI58" s="142"/>
      <c r="AJ58" s="142"/>
      <c r="AK58" s="142"/>
      <c r="AL58" s="142"/>
      <c r="AM58" s="142"/>
      <c r="AN58" s="142"/>
      <c r="AO58" s="142"/>
      <c r="AP58" s="142"/>
      <c r="AQ58" s="142"/>
      <c r="AR58" s="142"/>
      <c r="AS58" s="142"/>
      <c r="AT58" s="142"/>
      <c r="AU58" s="142"/>
      <c r="AV58" s="142"/>
      <c r="AW58" s="142"/>
    </row>
    <row r="59" spans="11:49">
      <c r="K59" s="143"/>
      <c r="O59" s="108"/>
      <c r="P59" s="108"/>
      <c r="Q59" s="108"/>
      <c r="R59" s="108"/>
      <c r="S59" s="108"/>
      <c r="T59" s="108"/>
      <c r="U59" s="108"/>
      <c r="V59" s="108"/>
      <c r="W59" s="108"/>
      <c r="X59" s="108"/>
      <c r="Y59" s="146"/>
      <c r="Z59" s="140"/>
      <c r="AA59" s="146"/>
      <c r="AB59" s="147"/>
      <c r="AC59" s="142"/>
      <c r="AD59" s="142"/>
      <c r="AE59" s="142"/>
      <c r="AF59" s="142"/>
      <c r="AG59" s="142"/>
      <c r="AH59" s="142"/>
      <c r="AI59" s="142"/>
      <c r="AJ59" s="142"/>
      <c r="AK59" s="142"/>
      <c r="AL59" s="142"/>
      <c r="AM59" s="142"/>
      <c r="AN59" s="142"/>
      <c r="AO59" s="142"/>
      <c r="AP59" s="142"/>
      <c r="AQ59" s="142"/>
      <c r="AR59" s="142"/>
      <c r="AS59" s="142"/>
      <c r="AT59" s="142"/>
      <c r="AU59" s="142"/>
      <c r="AV59" s="142"/>
      <c r="AW59" s="142"/>
    </row>
    <row r="60" spans="11:49" ht="15.75">
      <c r="K60" s="284" t="s">
        <v>333</v>
      </c>
      <c r="L60" s="283"/>
      <c r="M60" s="224"/>
      <c r="N60" s="224"/>
      <c r="O60" s="283"/>
      <c r="P60" s="284"/>
      <c r="Q60" s="283"/>
      <c r="R60" s="223"/>
      <c r="S60" s="223"/>
      <c r="T60" s="223"/>
      <c r="U60" s="223"/>
      <c r="V60" s="223"/>
      <c r="W60" s="222"/>
      <c r="X60" s="222"/>
      <c r="Y60" s="146"/>
      <c r="Z60" s="140"/>
      <c r="AA60" s="146"/>
      <c r="AB60" s="147"/>
      <c r="AC60" s="142"/>
      <c r="AD60" s="142"/>
      <c r="AE60" s="142"/>
      <c r="AF60" s="142"/>
      <c r="AG60" s="142"/>
      <c r="AH60" s="142"/>
      <c r="AI60" s="142"/>
      <c r="AJ60" s="142"/>
      <c r="AK60" s="142"/>
      <c r="AL60" s="142"/>
      <c r="AM60" s="142"/>
      <c r="AN60" s="142"/>
      <c r="AO60" s="142"/>
      <c r="AP60" s="142"/>
      <c r="AQ60" s="142"/>
      <c r="AR60" s="142"/>
      <c r="AS60" s="142"/>
      <c r="AT60" s="142"/>
      <c r="AU60" s="142"/>
      <c r="AV60" s="142"/>
      <c r="AW60" s="142"/>
    </row>
    <row r="61" spans="11:49" ht="15.75">
      <c r="K61" s="143"/>
      <c r="M61" s="107"/>
      <c r="N61" s="107"/>
      <c r="O61" s="151"/>
      <c r="P61" s="151"/>
      <c r="R61" s="111"/>
      <c r="S61" s="111"/>
      <c r="T61" s="111"/>
      <c r="U61" s="111"/>
      <c r="V61" s="111"/>
      <c r="W61" s="112"/>
      <c r="X61" s="112"/>
      <c r="Y61" s="146"/>
      <c r="Z61" s="140"/>
      <c r="AA61" s="146"/>
      <c r="AB61" s="147"/>
      <c r="AC61" s="142"/>
      <c r="AD61" s="142"/>
      <c r="AE61" s="142"/>
      <c r="AF61" s="142"/>
      <c r="AG61" s="142"/>
      <c r="AH61" s="142"/>
      <c r="AI61" s="142"/>
      <c r="AJ61" s="142"/>
      <c r="AK61" s="142"/>
      <c r="AL61" s="142"/>
      <c r="AM61" s="142"/>
      <c r="AN61" s="142"/>
      <c r="AO61" s="142"/>
      <c r="AP61" s="142"/>
      <c r="AQ61" s="142"/>
      <c r="AR61" s="142"/>
      <c r="AS61" s="142"/>
      <c r="AT61" s="142"/>
      <c r="AU61" s="142"/>
      <c r="AV61" s="142"/>
      <c r="AW61" s="142"/>
    </row>
    <row r="62" spans="11:49" ht="15.75">
      <c r="K62" s="143"/>
      <c r="M62" s="174">
        <v>-1</v>
      </c>
      <c r="N62" s="174">
        <v>-2</v>
      </c>
      <c r="O62" s="174">
        <v>-3</v>
      </c>
      <c r="P62" s="174">
        <v>-4</v>
      </c>
      <c r="Q62" s="174">
        <v>-5</v>
      </c>
      <c r="R62" s="174">
        <v>-6</v>
      </c>
      <c r="S62" s="174">
        <v>-7</v>
      </c>
      <c r="T62" s="174">
        <v>-8</v>
      </c>
      <c r="U62" s="174">
        <v>-9</v>
      </c>
      <c r="V62" s="174">
        <v>-10</v>
      </c>
      <c r="W62" s="174">
        <v>-11</v>
      </c>
      <c r="X62" s="174">
        <v>-12</v>
      </c>
      <c r="Y62" s="146"/>
      <c r="Z62" s="140"/>
      <c r="AA62" s="146"/>
      <c r="AB62" s="147"/>
      <c r="AC62" s="142"/>
      <c r="AD62" s="142"/>
      <c r="AE62" s="142"/>
      <c r="AF62" s="142"/>
      <c r="AG62" s="142"/>
      <c r="AH62" s="142"/>
      <c r="AI62" s="142"/>
      <c r="AJ62" s="142"/>
      <c r="AK62" s="142"/>
      <c r="AL62" s="142"/>
      <c r="AM62" s="142"/>
      <c r="AN62" s="142"/>
      <c r="AO62" s="142"/>
      <c r="AP62" s="142"/>
      <c r="AQ62" s="142"/>
      <c r="AR62" s="142"/>
      <c r="AS62" s="142"/>
      <c r="AT62" s="142"/>
      <c r="AU62" s="142"/>
      <c r="AV62" s="142"/>
      <c r="AW62" s="142"/>
    </row>
    <row r="63" spans="11:49" ht="63">
      <c r="K63" s="175" t="s">
        <v>279</v>
      </c>
      <c r="L63" s="176"/>
      <c r="M63" s="176" t="s">
        <v>249</v>
      </c>
      <c r="N63" s="177" t="s">
        <v>418</v>
      </c>
      <c r="O63" s="178" t="s">
        <v>281</v>
      </c>
      <c r="P63" s="178" t="s">
        <v>274</v>
      </c>
      <c r="Q63" s="179" t="s">
        <v>282</v>
      </c>
      <c r="R63" s="178" t="s">
        <v>283</v>
      </c>
      <c r="S63" s="178" t="s">
        <v>278</v>
      </c>
      <c r="T63" s="179" t="s">
        <v>284</v>
      </c>
      <c r="U63" s="178" t="s">
        <v>285</v>
      </c>
      <c r="V63" s="180" t="s">
        <v>286</v>
      </c>
      <c r="W63" s="181" t="s">
        <v>287</v>
      </c>
      <c r="X63" s="180" t="s">
        <v>288</v>
      </c>
      <c r="Y63" s="159"/>
      <c r="Z63" s="140"/>
      <c r="AA63" s="146"/>
      <c r="AB63" s="147"/>
      <c r="AC63" s="142"/>
      <c r="AD63" s="142"/>
      <c r="AE63" s="142"/>
      <c r="AF63" s="142"/>
      <c r="AG63" s="142"/>
      <c r="AH63" s="142"/>
      <c r="AI63" s="142"/>
      <c r="AJ63" s="142"/>
      <c r="AK63" s="142"/>
      <c r="AL63" s="142"/>
      <c r="AM63" s="142"/>
      <c r="AN63" s="142"/>
      <c r="AO63" s="142"/>
      <c r="AP63" s="142"/>
      <c r="AQ63" s="142"/>
      <c r="AR63" s="142"/>
      <c r="AS63" s="142"/>
      <c r="AT63" s="142"/>
      <c r="AU63" s="142"/>
      <c r="AV63" s="142"/>
      <c r="AW63" s="142"/>
    </row>
    <row r="64" spans="11:49" ht="46.5" customHeight="1">
      <c r="K64" s="182"/>
      <c r="L64" s="183"/>
      <c r="M64" s="183"/>
      <c r="N64" s="183"/>
      <c r="O64" s="184" t="s">
        <v>22</v>
      </c>
      <c r="P64" s="870" t="s">
        <v>794</v>
      </c>
      <c r="Q64" s="185" t="s">
        <v>289</v>
      </c>
      <c r="R64" s="870" t="s">
        <v>23</v>
      </c>
      <c r="S64" s="870" t="s">
        <v>795</v>
      </c>
      <c r="T64" s="185" t="s">
        <v>290</v>
      </c>
      <c r="U64" s="870" t="s">
        <v>291</v>
      </c>
      <c r="V64" s="185" t="s">
        <v>292</v>
      </c>
      <c r="W64" s="186" t="s">
        <v>242</v>
      </c>
      <c r="X64" s="187" t="s">
        <v>293</v>
      </c>
      <c r="Y64" s="146"/>
      <c r="Z64" s="140"/>
      <c r="AA64" s="146"/>
      <c r="AB64" s="147"/>
      <c r="AC64" s="142"/>
      <c r="AD64" s="142"/>
      <c r="AE64" s="142"/>
      <c r="AF64" s="142"/>
      <c r="AG64" s="142"/>
      <c r="AH64" s="142"/>
      <c r="AI64" s="142"/>
      <c r="AJ64" s="142"/>
      <c r="AK64" s="142"/>
      <c r="AL64" s="142"/>
      <c r="AM64" s="142"/>
      <c r="AN64" s="142"/>
      <c r="AO64" s="142"/>
      <c r="AP64" s="142"/>
      <c r="AQ64" s="142"/>
      <c r="AR64" s="142"/>
      <c r="AS64" s="142"/>
      <c r="AT64" s="142"/>
      <c r="AU64" s="142"/>
      <c r="AV64" s="142"/>
      <c r="AW64" s="142"/>
    </row>
    <row r="65" spans="11:49">
      <c r="K65" s="188"/>
      <c r="L65" s="111"/>
      <c r="M65" s="111"/>
      <c r="N65" s="111"/>
      <c r="O65" s="111"/>
      <c r="P65" s="111"/>
      <c r="Q65" s="189"/>
      <c r="R65" s="111"/>
      <c r="S65" s="111"/>
      <c r="T65" s="189"/>
      <c r="U65" s="111"/>
      <c r="V65" s="189"/>
      <c r="W65" s="112"/>
      <c r="X65" s="190"/>
      <c r="Y65" s="146"/>
      <c r="Z65" s="140"/>
      <c r="AA65" s="146"/>
      <c r="AB65" s="147"/>
      <c r="AC65" s="142"/>
      <c r="AD65" s="142"/>
      <c r="AE65" s="142"/>
      <c r="AF65" s="142"/>
      <c r="AG65" s="142"/>
      <c r="AH65" s="142"/>
      <c r="AI65" s="142"/>
      <c r="AJ65" s="142"/>
      <c r="AK65" s="142"/>
      <c r="AL65" s="142"/>
      <c r="AM65" s="142"/>
      <c r="AN65" s="142"/>
      <c r="AO65" s="142"/>
      <c r="AP65" s="142"/>
      <c r="AQ65" s="142"/>
      <c r="AR65" s="142"/>
      <c r="AS65" s="142"/>
      <c r="AT65" s="142"/>
      <c r="AU65" s="142"/>
      <c r="AV65" s="142"/>
      <c r="AW65" s="142"/>
    </row>
    <row r="66" spans="11:49">
      <c r="K66" s="498" t="s">
        <v>3</v>
      </c>
      <c r="L66" s="435"/>
      <c r="M66" s="435"/>
      <c r="N66" s="435"/>
      <c r="O66" s="249">
        <v>0</v>
      </c>
      <c r="P66" s="157">
        <f>$I$35</f>
        <v>6.0386985124994137E-2</v>
      </c>
      <c r="Q66" s="193">
        <f>O66*P66</f>
        <v>0</v>
      </c>
      <c r="R66" s="192">
        <v>0</v>
      </c>
      <c r="S66" s="157">
        <f>$I$45</f>
        <v>9.1303744079794524E-2</v>
      </c>
      <c r="T66" s="193">
        <f>R66*S66</f>
        <v>0</v>
      </c>
      <c r="U66" s="194">
        <v>0</v>
      </c>
      <c r="V66" s="193">
        <f>Q66+T66+U66</f>
        <v>0</v>
      </c>
      <c r="W66" s="195">
        <v>0</v>
      </c>
      <c r="X66" s="193">
        <f>V66+W66</f>
        <v>0</v>
      </c>
      <c r="Y66" s="196"/>
      <c r="Z66" s="196"/>
      <c r="AA66" s="196"/>
      <c r="AB66" s="196"/>
      <c r="AC66" s="196"/>
      <c r="AD66" s="196"/>
      <c r="AE66" s="196"/>
    </row>
    <row r="67" spans="11:49">
      <c r="K67" s="498" t="s">
        <v>296</v>
      </c>
      <c r="L67" s="435"/>
      <c r="M67" s="435"/>
      <c r="N67" s="435"/>
      <c r="O67" s="249">
        <v>0</v>
      </c>
      <c r="P67" s="157">
        <f>$I$35</f>
        <v>6.0386985124994137E-2</v>
      </c>
      <c r="Q67" s="193">
        <f>O67*P67</f>
        <v>0</v>
      </c>
      <c r="R67" s="192">
        <v>0</v>
      </c>
      <c r="S67" s="157">
        <f>$I$45</f>
        <v>9.1303744079794524E-2</v>
      </c>
      <c r="T67" s="193">
        <f>R67*S67</f>
        <v>0</v>
      </c>
      <c r="U67" s="194">
        <v>0</v>
      </c>
      <c r="V67" s="193">
        <f>Q67+T67+U67</f>
        <v>0</v>
      </c>
      <c r="W67" s="195">
        <v>0</v>
      </c>
      <c r="X67" s="193">
        <f>V67+W67</f>
        <v>0</v>
      </c>
      <c r="Y67" s="196"/>
      <c r="Z67" s="196"/>
      <c r="AA67" s="196"/>
      <c r="AB67" s="196"/>
      <c r="AC67" s="196"/>
      <c r="AD67" s="196"/>
      <c r="AE67" s="196"/>
    </row>
    <row r="68" spans="11:49">
      <c r="K68" s="498" t="s">
        <v>299</v>
      </c>
      <c r="L68" s="435"/>
      <c r="M68" s="435"/>
      <c r="N68" s="435"/>
      <c r="O68" s="249">
        <v>0</v>
      </c>
      <c r="P68" s="157">
        <f>$I$35</f>
        <v>6.0386985124994137E-2</v>
      </c>
      <c r="Q68" s="193">
        <f>O68*P68</f>
        <v>0</v>
      </c>
      <c r="R68" s="192">
        <v>0</v>
      </c>
      <c r="S68" s="157">
        <f>$I$45</f>
        <v>9.1303744079794524E-2</v>
      </c>
      <c r="T68" s="193">
        <f>R68*S68</f>
        <v>0</v>
      </c>
      <c r="U68" s="194">
        <v>0</v>
      </c>
      <c r="V68" s="193">
        <f>Q68+T68+U68</f>
        <v>0</v>
      </c>
      <c r="W68" s="192">
        <v>0</v>
      </c>
      <c r="X68" s="193">
        <f>V68+W68</f>
        <v>0</v>
      </c>
      <c r="Y68" s="196"/>
      <c r="Z68" s="196"/>
      <c r="AA68" s="196"/>
      <c r="AB68" s="196"/>
      <c r="AC68" s="196"/>
      <c r="AD68" s="196"/>
      <c r="AE68" s="196"/>
    </row>
    <row r="69" spans="11:49">
      <c r="K69" s="191"/>
      <c r="Q69" s="193"/>
      <c r="T69" s="193"/>
      <c r="V69" s="193"/>
      <c r="X69" s="193"/>
      <c r="Y69" s="196"/>
      <c r="Z69" s="196"/>
      <c r="AA69" s="196"/>
      <c r="AB69" s="196"/>
      <c r="AC69" s="196"/>
      <c r="AD69" s="196"/>
      <c r="AE69" s="196"/>
    </row>
    <row r="70" spans="11:49">
      <c r="K70" s="191"/>
      <c r="Q70" s="193"/>
      <c r="T70" s="193"/>
      <c r="V70" s="193"/>
      <c r="X70" s="193"/>
      <c r="Y70" s="196"/>
      <c r="Z70" s="196"/>
      <c r="AA70" s="196"/>
      <c r="AB70" s="196"/>
      <c r="AC70" s="196"/>
      <c r="AD70" s="196"/>
      <c r="AE70" s="196"/>
    </row>
    <row r="71" spans="11:49">
      <c r="K71" s="191"/>
      <c r="Q71" s="193"/>
      <c r="T71" s="193"/>
      <c r="V71" s="193"/>
      <c r="X71" s="193"/>
      <c r="Y71" s="196"/>
      <c r="Z71" s="196"/>
      <c r="AA71" s="196"/>
      <c r="AB71" s="196"/>
      <c r="AC71" s="196"/>
      <c r="AD71" s="196"/>
      <c r="AE71" s="196"/>
    </row>
    <row r="72" spans="11:49">
      <c r="K72" s="191"/>
      <c r="Q72" s="193"/>
      <c r="T72" s="193"/>
      <c r="V72" s="193"/>
      <c r="X72" s="193"/>
      <c r="Y72" s="196"/>
      <c r="Z72" s="196"/>
      <c r="AA72" s="196"/>
      <c r="AB72" s="196"/>
      <c r="AC72" s="196"/>
      <c r="AD72" s="196"/>
      <c r="AE72" s="196"/>
    </row>
    <row r="73" spans="11:49">
      <c r="K73" s="191"/>
      <c r="Q73" s="193"/>
      <c r="T73" s="193"/>
      <c r="V73" s="193"/>
      <c r="X73" s="193"/>
      <c r="Y73" s="196"/>
      <c r="Z73" s="196"/>
      <c r="AA73" s="196"/>
      <c r="AB73" s="196"/>
      <c r="AC73" s="196"/>
      <c r="AD73" s="196"/>
      <c r="AE73" s="196"/>
    </row>
    <row r="74" spans="11:49">
      <c r="K74" s="191"/>
      <c r="M74" s="196"/>
      <c r="N74" s="196"/>
      <c r="O74" s="196"/>
      <c r="P74" s="196"/>
      <c r="Q74" s="197"/>
      <c r="R74" s="196"/>
      <c r="S74" s="196"/>
      <c r="T74" s="197"/>
      <c r="U74" s="196"/>
      <c r="V74" s="197"/>
      <c r="W74" s="196"/>
      <c r="X74" s="197"/>
      <c r="Y74" s="196"/>
      <c r="Z74" s="196"/>
      <c r="AA74" s="196"/>
      <c r="AB74" s="196"/>
      <c r="AC74" s="196"/>
      <c r="AD74" s="196"/>
      <c r="AE74" s="196"/>
    </row>
    <row r="75" spans="11:49">
      <c r="K75" s="191"/>
      <c r="M75" s="196"/>
      <c r="N75" s="196"/>
      <c r="O75" s="196"/>
      <c r="P75" s="196"/>
      <c r="Q75" s="197"/>
      <c r="R75" s="196"/>
      <c r="S75" s="196"/>
      <c r="T75" s="197"/>
      <c r="U75" s="196"/>
      <c r="V75" s="197"/>
      <c r="W75" s="196"/>
      <c r="X75" s="197"/>
      <c r="Y75" s="196"/>
      <c r="Z75" s="196"/>
      <c r="AA75" s="196"/>
      <c r="AB75" s="196"/>
      <c r="AC75" s="196"/>
      <c r="AD75" s="196"/>
      <c r="AE75" s="196"/>
    </row>
    <row r="76" spans="11:49">
      <c r="K76" s="191"/>
      <c r="M76" s="196"/>
      <c r="N76" s="196"/>
      <c r="O76" s="196"/>
      <c r="P76" s="196"/>
      <c r="Q76" s="197"/>
      <c r="R76" s="196"/>
      <c r="S76" s="196"/>
      <c r="T76" s="197"/>
      <c r="U76" s="196"/>
      <c r="V76" s="197"/>
      <c r="W76" s="196"/>
      <c r="X76" s="197"/>
      <c r="Y76" s="196"/>
      <c r="Z76" s="196"/>
      <c r="AA76" s="196"/>
      <c r="AB76" s="196"/>
      <c r="AC76" s="196"/>
      <c r="AD76" s="196"/>
      <c r="AE76" s="196"/>
    </row>
    <row r="77" spans="11:49">
      <c r="K77" s="191"/>
      <c r="M77" s="196"/>
      <c r="N77" s="196"/>
      <c r="O77" s="196"/>
      <c r="P77" s="196"/>
      <c r="Q77" s="197"/>
      <c r="R77" s="196"/>
      <c r="S77" s="196"/>
      <c r="T77" s="197"/>
      <c r="U77" s="196"/>
      <c r="V77" s="197"/>
      <c r="W77" s="196"/>
      <c r="X77" s="197"/>
      <c r="Y77" s="196"/>
      <c r="Z77" s="196"/>
      <c r="AA77" s="196"/>
      <c r="AB77" s="196"/>
      <c r="AC77" s="196"/>
      <c r="AD77" s="196"/>
      <c r="AE77" s="196"/>
    </row>
    <row r="78" spans="11:49">
      <c r="K78" s="191"/>
      <c r="M78" s="196"/>
      <c r="N78" s="196"/>
      <c r="O78" s="196"/>
      <c r="P78" s="196"/>
      <c r="Q78" s="197"/>
      <c r="R78" s="196"/>
      <c r="S78" s="196"/>
      <c r="T78" s="197"/>
      <c r="U78" s="196"/>
      <c r="V78" s="197"/>
      <c r="W78" s="196"/>
      <c r="X78" s="197"/>
      <c r="Y78" s="196"/>
      <c r="Z78" s="196"/>
      <c r="AA78" s="196"/>
      <c r="AB78" s="196"/>
      <c r="AC78" s="196"/>
      <c r="AD78" s="196"/>
      <c r="AE78" s="196"/>
    </row>
    <row r="79" spans="11:49">
      <c r="K79" s="191"/>
      <c r="M79" s="196"/>
      <c r="N79" s="196"/>
      <c r="O79" s="196"/>
      <c r="P79" s="196"/>
      <c r="Q79" s="197"/>
      <c r="R79" s="196"/>
      <c r="S79" s="196"/>
      <c r="T79" s="197"/>
      <c r="U79" s="196"/>
      <c r="V79" s="197"/>
      <c r="W79" s="196"/>
      <c r="X79" s="197"/>
      <c r="Y79" s="196"/>
      <c r="Z79" s="196"/>
      <c r="AA79" s="196"/>
      <c r="AB79" s="196"/>
      <c r="AC79" s="196"/>
      <c r="AD79" s="196"/>
      <c r="AE79" s="196"/>
    </row>
    <row r="80" spans="11:49">
      <c r="K80" s="191"/>
      <c r="M80" s="196"/>
      <c r="N80" s="196"/>
      <c r="O80" s="196"/>
      <c r="P80" s="196"/>
      <c r="Q80" s="197"/>
      <c r="R80" s="196"/>
      <c r="S80" s="196"/>
      <c r="T80" s="197"/>
      <c r="U80" s="196"/>
      <c r="V80" s="197"/>
      <c r="W80" s="196"/>
      <c r="X80" s="197"/>
      <c r="Y80" s="196"/>
      <c r="Z80" s="196"/>
      <c r="AA80" s="196"/>
      <c r="AB80" s="196"/>
      <c r="AC80" s="196"/>
      <c r="AD80" s="196"/>
      <c r="AE80" s="196"/>
    </row>
    <row r="81" spans="11:31">
      <c r="K81" s="191"/>
      <c r="M81" s="196"/>
      <c r="N81" s="196"/>
      <c r="O81" s="196"/>
      <c r="P81" s="196"/>
      <c r="Q81" s="197"/>
      <c r="R81" s="196"/>
      <c r="S81" s="196"/>
      <c r="T81" s="197"/>
      <c r="U81" s="196"/>
      <c r="V81" s="197"/>
      <c r="W81" s="196"/>
      <c r="X81" s="197"/>
      <c r="Y81" s="196"/>
      <c r="Z81" s="196"/>
      <c r="AA81" s="196"/>
      <c r="AB81" s="196"/>
      <c r="AC81" s="196"/>
      <c r="AD81" s="196"/>
      <c r="AE81" s="196"/>
    </row>
    <row r="82" spans="11:31">
      <c r="K82" s="191"/>
      <c r="M82" s="196"/>
      <c r="N82" s="196"/>
      <c r="O82" s="196"/>
      <c r="P82" s="196"/>
      <c r="Q82" s="197"/>
      <c r="R82" s="196"/>
      <c r="S82" s="196"/>
      <c r="T82" s="197"/>
      <c r="U82" s="196"/>
      <c r="V82" s="197"/>
      <c r="W82" s="196"/>
      <c r="X82" s="197"/>
      <c r="Y82" s="196"/>
      <c r="Z82" s="196"/>
      <c r="AA82" s="196"/>
      <c r="AB82" s="196"/>
      <c r="AC82" s="196"/>
      <c r="AD82" s="196"/>
      <c r="AE82" s="196"/>
    </row>
    <row r="83" spans="11:31">
      <c r="K83" s="191"/>
      <c r="M83" s="196"/>
      <c r="N83" s="196"/>
      <c r="O83" s="196"/>
      <c r="P83" s="196"/>
      <c r="Q83" s="197"/>
      <c r="R83" s="196"/>
      <c r="S83" s="196"/>
      <c r="T83" s="197"/>
      <c r="U83" s="196"/>
      <c r="V83" s="197"/>
      <c r="W83" s="196"/>
      <c r="X83" s="197"/>
      <c r="Y83" s="196"/>
      <c r="Z83" s="196"/>
      <c r="AA83" s="196"/>
      <c r="AB83" s="196"/>
      <c r="AC83" s="196"/>
      <c r="AD83" s="196"/>
      <c r="AE83" s="196"/>
    </row>
    <row r="84" spans="11:31">
      <c r="K84" s="191"/>
      <c r="M84" s="196"/>
      <c r="N84" s="196"/>
      <c r="O84" s="196"/>
      <c r="P84" s="196"/>
      <c r="Q84" s="197"/>
      <c r="R84" s="196"/>
      <c r="S84" s="196"/>
      <c r="T84" s="197"/>
      <c r="U84" s="196"/>
      <c r="V84" s="197"/>
      <c r="W84" s="196"/>
      <c r="X84" s="197"/>
      <c r="Y84" s="196"/>
      <c r="Z84" s="196"/>
      <c r="AA84" s="196"/>
      <c r="AB84" s="196"/>
      <c r="AC84" s="196"/>
      <c r="AD84" s="196"/>
      <c r="AE84" s="196"/>
    </row>
    <row r="85" spans="11:31">
      <c r="K85" s="198"/>
      <c r="L85" s="199"/>
      <c r="M85" s="200"/>
      <c r="N85" s="200"/>
      <c r="O85" s="200"/>
      <c r="P85" s="200"/>
      <c r="Q85" s="201"/>
      <c r="R85" s="200"/>
      <c r="S85" s="200"/>
      <c r="T85" s="201"/>
      <c r="U85" s="200"/>
      <c r="V85" s="201"/>
      <c r="W85" s="200"/>
      <c r="X85" s="201"/>
      <c r="Y85" s="196"/>
      <c r="Z85" s="196"/>
      <c r="AA85" s="196"/>
      <c r="AB85" s="196"/>
      <c r="AC85" s="196"/>
      <c r="AD85" s="196"/>
      <c r="AE85" s="196"/>
    </row>
    <row r="86" spans="11:31">
      <c r="K86" s="145" t="s">
        <v>302</v>
      </c>
      <c r="L86" s="167"/>
      <c r="M86" s="108" t="s">
        <v>303</v>
      </c>
      <c r="N86" s="108"/>
      <c r="O86" s="114"/>
      <c r="P86" s="114"/>
      <c r="Q86" s="112"/>
      <c r="R86" s="112"/>
      <c r="S86" s="112"/>
      <c r="T86" s="112"/>
      <c r="U86" s="112"/>
      <c r="V86" s="203">
        <f>SUM(V66:V85)</f>
        <v>0</v>
      </c>
      <c r="W86" s="203">
        <f>SUM(W66:W85)</f>
        <v>0</v>
      </c>
      <c r="X86" s="203">
        <f>SUM(X66:X85)</f>
        <v>0</v>
      </c>
      <c r="Y86" s="196"/>
      <c r="Z86" s="196"/>
      <c r="AA86" s="196"/>
      <c r="AB86" s="196"/>
      <c r="AC86" s="196"/>
      <c r="AD86" s="196"/>
      <c r="AE86" s="196"/>
    </row>
    <row r="87" spans="11:31">
      <c r="K87" s="99"/>
      <c r="L87" s="196"/>
      <c r="M87" s="196"/>
      <c r="N87" s="196"/>
      <c r="O87" s="196"/>
      <c r="P87" s="196"/>
      <c r="Q87" s="196"/>
      <c r="R87" s="196"/>
      <c r="S87" s="196"/>
      <c r="T87" s="196"/>
      <c r="U87" s="196"/>
      <c r="V87" s="196"/>
      <c r="W87" s="196"/>
      <c r="X87" s="196"/>
      <c r="Y87" s="196"/>
      <c r="Z87" s="196"/>
      <c r="AA87" s="196"/>
      <c r="AB87" s="196"/>
      <c r="AC87" s="196"/>
      <c r="AD87" s="196"/>
      <c r="AE87" s="196"/>
    </row>
    <row r="88" spans="11:31">
      <c r="K88" s="202">
        <v>3</v>
      </c>
      <c r="L88" s="196"/>
      <c r="M88" s="874" t="s">
        <v>797</v>
      </c>
      <c r="N88" s="196"/>
      <c r="O88" s="196"/>
      <c r="P88" s="196"/>
      <c r="Q88" s="196"/>
      <c r="R88" s="196"/>
      <c r="S88" s="196"/>
      <c r="T88" s="196"/>
      <c r="U88" s="196"/>
      <c r="V88" s="203"/>
      <c r="W88" s="196"/>
      <c r="X88" s="203">
        <f>X86</f>
        <v>0</v>
      </c>
      <c r="Y88" s="196"/>
      <c r="Z88" s="196"/>
      <c r="AA88" s="196"/>
      <c r="AB88" s="196"/>
      <c r="AC88" s="196"/>
      <c r="AD88" s="196"/>
      <c r="AE88" s="196"/>
    </row>
    <row r="89" spans="11:31">
      <c r="K89" s="196"/>
      <c r="L89" s="196"/>
      <c r="M89" s="196"/>
      <c r="N89" s="196"/>
      <c r="O89" s="196"/>
      <c r="P89" s="196"/>
      <c r="Q89" s="196"/>
      <c r="R89" s="196"/>
      <c r="S89" s="196"/>
      <c r="T89" s="196"/>
      <c r="U89" s="196"/>
      <c r="V89" s="196"/>
      <c r="W89" s="196"/>
      <c r="X89" s="196"/>
      <c r="Y89" s="196"/>
      <c r="Z89" s="196"/>
      <c r="AA89" s="196"/>
      <c r="AB89" s="196"/>
      <c r="AC89" s="196"/>
      <c r="AD89" s="196"/>
      <c r="AE89" s="196"/>
    </row>
    <row r="90" spans="11:31">
      <c r="K90" s="196"/>
      <c r="L90" s="196"/>
      <c r="M90" s="196"/>
      <c r="N90" s="196"/>
      <c r="O90" s="196"/>
      <c r="P90" s="196"/>
      <c r="Q90" s="196"/>
      <c r="R90" s="196"/>
      <c r="S90" s="196"/>
      <c r="T90" s="196"/>
      <c r="U90" s="196"/>
      <c r="V90" s="196"/>
      <c r="W90" s="196"/>
      <c r="X90" s="196"/>
      <c r="Y90" s="196"/>
      <c r="Z90" s="196"/>
      <c r="AA90" s="196"/>
      <c r="AB90" s="196"/>
      <c r="AC90" s="196"/>
      <c r="AD90" s="196"/>
      <c r="AE90" s="196"/>
    </row>
    <row r="91" spans="11:31">
      <c r="K91" s="107" t="s">
        <v>113</v>
      </c>
      <c r="L91" s="196"/>
      <c r="M91" s="196"/>
      <c r="N91" s="196"/>
      <c r="O91" s="196"/>
      <c r="P91" s="196"/>
      <c r="Q91" s="196"/>
      <c r="R91" s="196"/>
      <c r="S91" s="196"/>
      <c r="T91" s="196"/>
      <c r="U91" s="196"/>
      <c r="V91" s="196"/>
      <c r="W91" s="196"/>
      <c r="X91" s="196"/>
      <c r="Y91" s="196"/>
      <c r="Z91" s="196"/>
      <c r="AA91" s="196"/>
      <c r="AB91" s="196"/>
      <c r="AC91" s="196"/>
      <c r="AD91" s="196"/>
      <c r="AE91" s="196"/>
    </row>
    <row r="92" spans="11:31" ht="15.75" thickBot="1">
      <c r="K92" s="204" t="s">
        <v>114</v>
      </c>
      <c r="L92" s="196"/>
      <c r="M92" s="196"/>
      <c r="N92" s="196"/>
      <c r="O92" s="196"/>
      <c r="P92" s="196"/>
      <c r="Q92" s="196"/>
      <c r="R92" s="196"/>
      <c r="S92" s="196"/>
      <c r="T92" s="196"/>
      <c r="U92" s="196"/>
      <c r="V92" s="196"/>
      <c r="W92" s="196"/>
      <c r="X92" s="196"/>
      <c r="Y92" s="196"/>
      <c r="Z92" s="196"/>
      <c r="AA92" s="196"/>
      <c r="AB92" s="196"/>
      <c r="AC92" s="196"/>
      <c r="AD92" s="196"/>
      <c r="AE92" s="196"/>
    </row>
    <row r="93" spans="11:31">
      <c r="K93" s="205" t="s">
        <v>115</v>
      </c>
      <c r="L93" s="110"/>
      <c r="M93" s="1032" t="s">
        <v>387</v>
      </c>
      <c r="N93" s="1032"/>
      <c r="O93" s="1032"/>
      <c r="P93" s="1032"/>
      <c r="Q93" s="1032"/>
      <c r="R93" s="1032"/>
      <c r="S93" s="1032"/>
      <c r="T93" s="1032"/>
      <c r="U93" s="1032"/>
      <c r="V93" s="1032"/>
      <c r="W93" s="1032"/>
      <c r="X93" s="1032"/>
      <c r="Y93" s="196"/>
      <c r="Z93" s="196"/>
      <c r="AA93" s="196"/>
      <c r="AB93" s="196"/>
      <c r="AC93" s="196"/>
      <c r="AD93" s="196"/>
      <c r="AE93" s="196"/>
    </row>
    <row r="94" spans="11:31">
      <c r="K94" s="205" t="s">
        <v>116</v>
      </c>
      <c r="L94" s="110"/>
      <c r="M94" s="1032" t="s">
        <v>388</v>
      </c>
      <c r="N94" s="1032"/>
      <c r="O94" s="1032"/>
      <c r="P94" s="1032"/>
      <c r="Q94" s="1032"/>
      <c r="R94" s="1032"/>
      <c r="S94" s="1032"/>
      <c r="T94" s="1032"/>
      <c r="U94" s="1032"/>
      <c r="V94" s="1032"/>
      <c r="W94" s="1032"/>
      <c r="X94" s="1032"/>
      <c r="Y94" s="196"/>
      <c r="Z94" s="196"/>
      <c r="AA94" s="196"/>
      <c r="AB94" s="196"/>
      <c r="AC94" s="196"/>
      <c r="AD94" s="196"/>
      <c r="AE94" s="196"/>
    </row>
    <row r="95" spans="11:31" ht="27.75" customHeight="1">
      <c r="K95" s="206" t="s">
        <v>117</v>
      </c>
      <c r="L95" s="110"/>
      <c r="M95" s="1033" t="s">
        <v>304</v>
      </c>
      <c r="N95" s="1033"/>
      <c r="O95" s="1033"/>
      <c r="P95" s="1033"/>
      <c r="Q95" s="1033"/>
      <c r="R95" s="1033"/>
      <c r="S95" s="1033"/>
      <c r="T95" s="1033"/>
      <c r="U95" s="1033"/>
      <c r="V95" s="1033"/>
      <c r="W95" s="1033"/>
      <c r="X95" s="1033"/>
      <c r="Y95" s="196"/>
      <c r="Z95" s="196"/>
      <c r="AA95" s="196"/>
      <c r="AB95" s="196"/>
      <c r="AC95" s="196"/>
      <c r="AD95" s="196"/>
      <c r="AE95" s="196"/>
    </row>
    <row r="96" spans="11:31" ht="15" customHeight="1">
      <c r="K96" s="206" t="s">
        <v>118</v>
      </c>
      <c r="L96" s="110"/>
      <c r="M96" s="1033" t="s">
        <v>305</v>
      </c>
      <c r="N96" s="1033"/>
      <c r="O96" s="1033"/>
      <c r="P96" s="1033"/>
      <c r="Q96" s="1033"/>
      <c r="R96" s="1033"/>
      <c r="S96" s="1033"/>
      <c r="T96" s="1033"/>
      <c r="U96" s="1033"/>
      <c r="V96" s="1033"/>
      <c r="W96" s="1033"/>
      <c r="X96" s="1033"/>
      <c r="Y96" s="196"/>
      <c r="Z96" s="196"/>
      <c r="AA96" s="196"/>
      <c r="AB96" s="196"/>
      <c r="AC96" s="196"/>
      <c r="AD96" s="196"/>
      <c r="AE96" s="196"/>
    </row>
    <row r="97" spans="3:31">
      <c r="K97" s="205" t="s">
        <v>119</v>
      </c>
      <c r="L97" s="110"/>
      <c r="M97" s="1032" t="s">
        <v>389</v>
      </c>
      <c r="N97" s="1032"/>
      <c r="O97" s="1032"/>
      <c r="P97" s="1032"/>
      <c r="Q97" s="1032"/>
      <c r="R97" s="1032"/>
      <c r="S97" s="1032"/>
      <c r="T97" s="1032"/>
      <c r="U97" s="1032"/>
      <c r="V97" s="1032"/>
      <c r="W97" s="1032"/>
      <c r="X97" s="1032"/>
      <c r="Y97" s="196"/>
      <c r="Z97" s="196"/>
      <c r="AA97" s="196"/>
      <c r="AB97" s="196"/>
      <c r="AC97" s="196"/>
      <c r="AD97" s="196"/>
      <c r="AE97" s="196"/>
    </row>
    <row r="98" spans="3:31">
      <c r="K98" s="205" t="s">
        <v>120</v>
      </c>
      <c r="L98" s="110"/>
      <c r="M98" s="1032" t="s">
        <v>306</v>
      </c>
      <c r="N98" s="1032"/>
      <c r="O98" s="1032"/>
      <c r="P98" s="1032"/>
      <c r="Q98" s="1032"/>
      <c r="R98" s="1032"/>
      <c r="S98" s="1032"/>
      <c r="T98" s="1032"/>
      <c r="U98" s="1032"/>
      <c r="V98" s="1032"/>
      <c r="W98" s="1032"/>
      <c r="X98" s="1032"/>
      <c r="Y98" s="196"/>
      <c r="Z98" s="196"/>
      <c r="AA98" s="196"/>
      <c r="AB98" s="196"/>
      <c r="AC98" s="196"/>
      <c r="AD98" s="196"/>
      <c r="AE98" s="196"/>
    </row>
    <row r="99" spans="3:31">
      <c r="K99" s="205" t="s">
        <v>121</v>
      </c>
      <c r="L99" s="110"/>
      <c r="M99" s="1031" t="s">
        <v>796</v>
      </c>
      <c r="N99" s="1032"/>
      <c r="O99" s="1032"/>
      <c r="P99" s="1032"/>
      <c r="Q99" s="1032"/>
      <c r="R99" s="1032"/>
      <c r="S99" s="1032"/>
      <c r="T99" s="1032"/>
      <c r="U99" s="1032"/>
      <c r="V99" s="1032"/>
      <c r="W99" s="1032"/>
      <c r="X99" s="1032"/>
      <c r="Y99" s="196"/>
      <c r="Z99" s="196"/>
      <c r="AA99" s="196"/>
      <c r="AB99" s="196"/>
      <c r="AC99" s="196"/>
      <c r="AD99" s="196"/>
      <c r="AE99" s="196"/>
    </row>
    <row r="100" spans="3:31">
      <c r="K100" s="418" t="s">
        <v>123</v>
      </c>
      <c r="L100" s="142"/>
      <c r="M100" s="1031" t="s">
        <v>416</v>
      </c>
      <c r="N100" s="1031"/>
      <c r="O100" s="1031"/>
      <c r="P100" s="1031"/>
      <c r="Q100" s="1031"/>
      <c r="R100" s="1031"/>
      <c r="S100" s="1031"/>
      <c r="T100" s="1031"/>
      <c r="U100" s="1031"/>
      <c r="V100" s="1031"/>
      <c r="W100" s="1031"/>
      <c r="X100" s="1031"/>
      <c r="Y100" s="196"/>
      <c r="Z100" s="196"/>
      <c r="AA100" s="196"/>
      <c r="AB100" s="196"/>
      <c r="AC100" s="196"/>
      <c r="AD100" s="196"/>
      <c r="AE100" s="196"/>
    </row>
    <row r="101" spans="3:31" ht="15.75">
      <c r="K101" s="170"/>
      <c r="L101" s="207"/>
      <c r="M101" s="208"/>
      <c r="N101" s="166"/>
      <c r="O101" s="114"/>
      <c r="P101" s="114"/>
      <c r="Q101" s="112"/>
      <c r="R101" s="107"/>
      <c r="S101" s="107"/>
      <c r="T101" s="156"/>
      <c r="U101" s="107"/>
      <c r="W101" s="112"/>
      <c r="X101" s="171"/>
      <c r="Y101" s="196"/>
      <c r="Z101" s="196"/>
      <c r="AA101" s="196"/>
      <c r="AB101" s="196"/>
      <c r="AC101" s="196"/>
      <c r="AD101" s="196"/>
      <c r="AE101" s="196"/>
    </row>
    <row r="102" spans="3:31" ht="15.75">
      <c r="K102" s="170"/>
      <c r="L102" s="207"/>
      <c r="M102" s="208"/>
      <c r="N102" s="166"/>
      <c r="O102" s="114"/>
      <c r="P102" s="114"/>
      <c r="Q102" s="112"/>
      <c r="R102" s="107"/>
      <c r="S102" s="107"/>
      <c r="T102" s="156"/>
      <c r="U102" s="107"/>
      <c r="W102" s="112"/>
      <c r="X102" s="158"/>
      <c r="Y102" s="196"/>
      <c r="Z102" s="196"/>
      <c r="AA102" s="196"/>
      <c r="AB102" s="196"/>
      <c r="AC102" s="196"/>
      <c r="AD102" s="196"/>
      <c r="AE102" s="196"/>
    </row>
    <row r="103" spans="3:31">
      <c r="M103" s="196"/>
      <c r="N103" s="196"/>
      <c r="O103" s="196"/>
      <c r="P103" s="196"/>
      <c r="Q103" s="196"/>
      <c r="R103" s="196"/>
      <c r="S103" s="196"/>
      <c r="T103" s="196"/>
      <c r="U103" s="196"/>
      <c r="V103" s="196"/>
      <c r="W103" s="196"/>
      <c r="X103" s="196"/>
      <c r="Y103" s="196"/>
      <c r="Z103" s="196"/>
      <c r="AA103" s="196"/>
      <c r="AB103" s="196"/>
      <c r="AC103" s="196"/>
      <c r="AD103" s="196"/>
      <c r="AE103" s="196"/>
    </row>
    <row r="104" spans="3:31">
      <c r="M104" s="196"/>
      <c r="N104" s="196"/>
      <c r="O104" s="196"/>
      <c r="P104" s="196"/>
      <c r="Q104" s="196"/>
      <c r="R104" s="196"/>
      <c r="S104" s="196"/>
      <c r="T104" s="196"/>
      <c r="U104" s="196"/>
      <c r="V104" s="196"/>
      <c r="W104" s="196"/>
      <c r="X104" s="196"/>
      <c r="Y104" s="196"/>
      <c r="Z104" s="196"/>
      <c r="AA104" s="196"/>
      <c r="AB104" s="196"/>
      <c r="AC104" s="196"/>
      <c r="AD104" s="196"/>
      <c r="AE104" s="196"/>
    </row>
    <row r="105" spans="3:31">
      <c r="M105" s="196"/>
      <c r="N105" s="196"/>
      <c r="O105" s="196"/>
      <c r="P105" s="196"/>
      <c r="Q105" s="196"/>
      <c r="R105" s="196"/>
      <c r="S105" s="196"/>
      <c r="T105" s="196"/>
      <c r="U105" s="196"/>
      <c r="V105" s="196"/>
      <c r="W105" s="196"/>
      <c r="X105" s="196"/>
      <c r="Y105" s="196"/>
      <c r="Z105" s="196"/>
      <c r="AA105" s="196"/>
      <c r="AB105" s="196"/>
      <c r="AC105" s="196"/>
      <c r="AD105" s="196"/>
      <c r="AE105" s="196"/>
    </row>
    <row r="106" spans="3:31">
      <c r="M106" s="196"/>
      <c r="N106" s="196"/>
      <c r="O106" s="196"/>
      <c r="P106" s="196"/>
      <c r="Q106" s="196"/>
      <c r="R106" s="196"/>
      <c r="S106" s="196"/>
      <c r="T106" s="196"/>
      <c r="U106" s="196"/>
      <c r="V106" s="196"/>
      <c r="W106" s="196"/>
      <c r="X106" s="196"/>
      <c r="Y106" s="196"/>
      <c r="Z106" s="196"/>
      <c r="AA106" s="196"/>
      <c r="AB106" s="196"/>
      <c r="AC106" s="196"/>
      <c r="AD106" s="196"/>
      <c r="AE106" s="196"/>
    </row>
    <row r="107" spans="3:31">
      <c r="M107" s="196"/>
      <c r="N107" s="196"/>
      <c r="O107" s="196"/>
      <c r="P107" s="196"/>
      <c r="Q107" s="196"/>
      <c r="R107" s="196"/>
      <c r="S107" s="196"/>
      <c r="T107" s="196"/>
      <c r="U107" s="196"/>
      <c r="V107" s="196"/>
      <c r="W107" s="196"/>
      <c r="X107" s="196"/>
      <c r="Y107" s="196"/>
      <c r="Z107" s="196"/>
      <c r="AA107" s="196"/>
      <c r="AB107" s="196"/>
      <c r="AC107" s="196"/>
      <c r="AD107" s="196"/>
      <c r="AE107" s="196"/>
    </row>
    <row r="108" spans="3:31">
      <c r="C108" s="196"/>
      <c r="D108" s="196"/>
      <c r="E108" s="196"/>
      <c r="F108" s="196"/>
      <c r="G108" s="196"/>
      <c r="H108" s="196"/>
      <c r="I108" s="196"/>
      <c r="J108" s="196"/>
    </row>
    <row r="109" spans="3:31">
      <c r="C109" s="196"/>
      <c r="D109" s="196"/>
      <c r="E109" s="196"/>
      <c r="F109" s="196"/>
      <c r="G109" s="196"/>
      <c r="H109" s="196"/>
      <c r="I109" s="196"/>
      <c r="J109" s="196"/>
    </row>
    <row r="110" spans="3:31">
      <c r="C110" s="196"/>
      <c r="D110" s="196"/>
      <c r="E110" s="196"/>
      <c r="F110" s="196"/>
      <c r="G110" s="196"/>
      <c r="H110" s="196"/>
      <c r="I110" s="196"/>
      <c r="J110" s="196"/>
    </row>
    <row r="111" spans="3:31">
      <c r="C111" s="196"/>
      <c r="D111" s="196"/>
      <c r="E111" s="196"/>
      <c r="F111" s="196"/>
      <c r="G111" s="196"/>
      <c r="H111" s="196"/>
      <c r="I111" s="196"/>
      <c r="J111" s="196"/>
    </row>
    <row r="112" spans="3:31">
      <c r="C112" s="196"/>
      <c r="D112" s="196"/>
      <c r="E112" s="196"/>
      <c r="F112" s="196"/>
      <c r="G112" s="196"/>
      <c r="H112" s="196"/>
      <c r="I112" s="196"/>
      <c r="J112" s="196"/>
    </row>
    <row r="113" spans="3:10">
      <c r="C113" s="196"/>
      <c r="D113" s="196"/>
      <c r="E113" s="196"/>
      <c r="F113" s="196"/>
      <c r="G113" s="196"/>
      <c r="H113" s="196"/>
      <c r="I113" s="196"/>
      <c r="J113" s="196"/>
    </row>
    <row r="114" spans="3:10">
      <c r="C114" s="196"/>
      <c r="D114" s="196"/>
      <c r="E114" s="196"/>
      <c r="F114" s="196"/>
      <c r="G114" s="196"/>
      <c r="H114" s="196"/>
      <c r="I114" s="196"/>
      <c r="J114" s="196"/>
    </row>
    <row r="115" spans="3:10">
      <c r="C115" s="196"/>
      <c r="D115" s="196"/>
      <c r="E115" s="196"/>
      <c r="F115" s="196"/>
      <c r="G115" s="196"/>
      <c r="H115" s="196"/>
      <c r="I115" s="196"/>
      <c r="J115" s="196"/>
    </row>
    <row r="116" spans="3:10">
      <c r="C116" s="196"/>
      <c r="D116" s="196"/>
      <c r="E116" s="196"/>
      <c r="F116" s="196"/>
      <c r="G116" s="196"/>
      <c r="H116" s="196"/>
      <c r="I116" s="196"/>
      <c r="J116" s="196"/>
    </row>
    <row r="117" spans="3:10">
      <c r="C117" s="196"/>
      <c r="D117" s="196"/>
      <c r="E117" s="196"/>
      <c r="F117" s="196"/>
      <c r="G117" s="196"/>
      <c r="H117" s="196"/>
      <c r="I117" s="196"/>
      <c r="J117" s="196"/>
    </row>
    <row r="118" spans="3:10">
      <c r="C118" s="196"/>
      <c r="D118" s="196"/>
      <c r="E118" s="196"/>
      <c r="F118" s="196"/>
      <c r="G118" s="196"/>
      <c r="H118" s="196"/>
      <c r="I118" s="196"/>
      <c r="J118" s="196"/>
    </row>
    <row r="119" spans="3:10">
      <c r="C119" s="196"/>
      <c r="D119" s="196"/>
      <c r="E119" s="196"/>
      <c r="F119" s="196"/>
      <c r="G119" s="196"/>
      <c r="H119" s="196"/>
      <c r="I119" s="196"/>
      <c r="J119" s="196"/>
    </row>
    <row r="120" spans="3:10">
      <c r="C120" s="196"/>
      <c r="D120" s="196"/>
      <c r="E120" s="196"/>
      <c r="F120" s="196"/>
      <c r="G120" s="196"/>
      <c r="H120" s="196"/>
      <c r="I120" s="196"/>
      <c r="J120" s="196"/>
    </row>
    <row r="121" spans="3:10">
      <c r="C121" s="196"/>
      <c r="D121" s="196"/>
      <c r="E121" s="196"/>
      <c r="F121" s="196"/>
      <c r="G121" s="196"/>
      <c r="H121" s="196"/>
      <c r="I121" s="196"/>
      <c r="J121" s="196"/>
    </row>
    <row r="122" spans="3:10">
      <c r="C122" s="196"/>
      <c r="D122" s="196"/>
      <c r="E122" s="196"/>
      <c r="F122" s="196"/>
      <c r="G122" s="196"/>
      <c r="H122" s="196"/>
      <c r="I122" s="196"/>
      <c r="J122" s="196"/>
    </row>
    <row r="123" spans="3:10">
      <c r="C123" s="196"/>
      <c r="D123" s="196"/>
      <c r="E123" s="196"/>
      <c r="F123" s="196"/>
      <c r="G123" s="196"/>
      <c r="H123" s="196"/>
      <c r="I123" s="196"/>
      <c r="J123" s="196"/>
    </row>
    <row r="124" spans="3:10">
      <c r="C124" s="196"/>
      <c r="D124" s="196"/>
      <c r="E124" s="196"/>
      <c r="F124" s="196"/>
      <c r="G124" s="196"/>
      <c r="H124" s="196"/>
      <c r="I124" s="196"/>
      <c r="J124" s="196"/>
    </row>
    <row r="125" spans="3:10">
      <c r="C125" s="196"/>
      <c r="D125" s="196"/>
      <c r="E125" s="196"/>
      <c r="F125" s="196"/>
      <c r="G125" s="196"/>
      <c r="H125" s="196"/>
      <c r="I125" s="196"/>
      <c r="J125" s="196"/>
    </row>
    <row r="126" spans="3:10">
      <c r="C126" s="196"/>
      <c r="D126" s="196"/>
      <c r="E126" s="196"/>
      <c r="F126" s="196"/>
      <c r="G126" s="196"/>
      <c r="H126" s="196"/>
      <c r="I126" s="196"/>
      <c r="J126" s="196"/>
    </row>
    <row r="127" spans="3:10">
      <c r="C127" s="196"/>
      <c r="D127" s="196"/>
      <c r="E127" s="196"/>
      <c r="F127" s="196"/>
      <c r="G127" s="196"/>
      <c r="H127" s="196"/>
      <c r="I127" s="196"/>
      <c r="J127" s="196"/>
    </row>
    <row r="128" spans="3:10">
      <c r="C128" s="196"/>
      <c r="D128" s="196"/>
      <c r="E128" s="196"/>
      <c r="F128" s="196"/>
      <c r="G128" s="196"/>
      <c r="H128" s="196"/>
      <c r="I128" s="196"/>
      <c r="J128" s="196"/>
    </row>
    <row r="129" spans="3:10">
      <c r="C129" s="196"/>
      <c r="D129" s="196"/>
      <c r="E129" s="196"/>
      <c r="F129" s="196"/>
      <c r="G129" s="196"/>
      <c r="H129" s="196"/>
      <c r="I129" s="196"/>
      <c r="J129" s="196"/>
    </row>
    <row r="130" spans="3:10">
      <c r="C130" s="196"/>
      <c r="D130" s="196"/>
      <c r="E130" s="196"/>
      <c r="F130" s="196"/>
      <c r="G130" s="196"/>
      <c r="H130" s="196"/>
      <c r="I130" s="196"/>
      <c r="J130" s="196"/>
    </row>
    <row r="131" spans="3:10">
      <c r="C131" s="196"/>
      <c r="D131" s="196"/>
      <c r="E131" s="196"/>
      <c r="F131" s="196"/>
      <c r="G131" s="196"/>
      <c r="H131" s="196"/>
      <c r="I131" s="196"/>
      <c r="J131" s="196"/>
    </row>
    <row r="132" spans="3:10">
      <c r="C132" s="196"/>
      <c r="D132" s="196"/>
      <c r="E132" s="196"/>
      <c r="F132" s="196"/>
      <c r="G132" s="196"/>
      <c r="H132" s="196"/>
      <c r="I132" s="196"/>
      <c r="J132" s="196"/>
    </row>
    <row r="133" spans="3:10">
      <c r="C133" s="196"/>
      <c r="D133" s="196"/>
      <c r="E133" s="196"/>
      <c r="F133" s="196"/>
      <c r="G133" s="196"/>
      <c r="H133" s="196"/>
      <c r="I133" s="196"/>
      <c r="J133" s="196"/>
    </row>
    <row r="134" spans="3:10">
      <c r="C134" s="196"/>
      <c r="D134" s="196"/>
      <c r="E134" s="196"/>
      <c r="F134" s="196"/>
      <c r="G134" s="196"/>
      <c r="H134" s="196"/>
      <c r="I134" s="196"/>
      <c r="J134" s="196"/>
    </row>
    <row r="135" spans="3:10">
      <c r="C135" s="196"/>
      <c r="D135" s="196"/>
      <c r="E135" s="196"/>
      <c r="F135" s="196"/>
      <c r="G135" s="196"/>
      <c r="H135" s="196"/>
      <c r="I135" s="196"/>
      <c r="J135" s="196"/>
    </row>
    <row r="136" spans="3:10">
      <c r="C136" s="196"/>
      <c r="D136" s="196"/>
      <c r="E136" s="196"/>
      <c r="F136" s="196"/>
      <c r="G136" s="196"/>
      <c r="H136" s="196"/>
      <c r="I136" s="196"/>
      <c r="J136" s="196"/>
    </row>
    <row r="137" spans="3:10">
      <c r="C137" s="196"/>
      <c r="D137" s="196"/>
      <c r="E137" s="196"/>
      <c r="F137" s="196"/>
      <c r="G137" s="196"/>
      <c r="H137" s="196"/>
      <c r="I137" s="196"/>
      <c r="J137" s="196"/>
    </row>
    <row r="138" spans="3:10">
      <c r="C138" s="196"/>
      <c r="D138" s="196"/>
      <c r="E138" s="196"/>
      <c r="F138" s="196"/>
      <c r="G138" s="196"/>
      <c r="H138" s="196"/>
      <c r="I138" s="196"/>
      <c r="J138" s="196"/>
    </row>
    <row r="139" spans="3:10">
      <c r="C139" s="196"/>
      <c r="D139" s="196"/>
      <c r="E139" s="196"/>
      <c r="F139" s="196"/>
      <c r="G139" s="196"/>
      <c r="H139" s="196"/>
      <c r="I139" s="196"/>
      <c r="J139" s="196"/>
    </row>
    <row r="140" spans="3:10">
      <c r="C140" s="196"/>
      <c r="D140" s="196"/>
      <c r="E140" s="196"/>
      <c r="F140" s="196"/>
      <c r="G140" s="196"/>
      <c r="H140" s="196"/>
      <c r="I140" s="196"/>
      <c r="J140" s="196"/>
    </row>
    <row r="141" spans="3:10">
      <c r="C141" s="196"/>
      <c r="D141" s="196"/>
      <c r="E141" s="196"/>
      <c r="F141" s="196"/>
      <c r="G141" s="196"/>
      <c r="H141" s="196"/>
      <c r="I141" s="196"/>
      <c r="J141" s="196"/>
    </row>
    <row r="142" spans="3:10">
      <c r="C142" s="196"/>
      <c r="D142" s="196"/>
      <c r="E142" s="196"/>
      <c r="F142" s="196"/>
      <c r="G142" s="196"/>
      <c r="H142" s="196"/>
      <c r="I142" s="196"/>
      <c r="J142" s="196"/>
    </row>
    <row r="143" spans="3:10">
      <c r="C143" s="196"/>
      <c r="D143" s="196"/>
      <c r="E143" s="196"/>
      <c r="F143" s="196"/>
      <c r="G143" s="196"/>
      <c r="H143" s="196"/>
      <c r="I143" s="196"/>
      <c r="J143" s="196"/>
    </row>
    <row r="144" spans="3:10">
      <c r="C144" s="196"/>
      <c r="D144" s="196"/>
      <c r="E144" s="196"/>
      <c r="F144" s="196"/>
      <c r="G144" s="196"/>
      <c r="H144" s="196"/>
      <c r="I144" s="196"/>
      <c r="J144" s="196"/>
    </row>
    <row r="145" spans="3:10">
      <c r="C145" s="196"/>
      <c r="D145" s="196"/>
      <c r="E145" s="196"/>
      <c r="F145" s="196"/>
      <c r="G145" s="196"/>
      <c r="H145" s="196"/>
      <c r="I145" s="196"/>
      <c r="J145" s="196"/>
    </row>
    <row r="146" spans="3:10">
      <c r="C146" s="196"/>
      <c r="D146" s="196"/>
      <c r="E146" s="196"/>
      <c r="F146" s="196"/>
      <c r="G146" s="196"/>
      <c r="H146" s="196"/>
      <c r="I146" s="196"/>
      <c r="J146" s="196"/>
    </row>
    <row r="147" spans="3:10">
      <c r="C147" s="196"/>
      <c r="D147" s="196"/>
      <c r="E147" s="196"/>
      <c r="F147" s="196"/>
      <c r="G147" s="196"/>
      <c r="H147" s="196"/>
      <c r="I147" s="196"/>
      <c r="J147" s="196"/>
    </row>
    <row r="148" spans="3:10">
      <c r="C148" s="196"/>
      <c r="D148" s="196"/>
      <c r="E148" s="196"/>
      <c r="F148" s="196"/>
      <c r="G148" s="196"/>
      <c r="H148" s="196"/>
      <c r="I148" s="196"/>
      <c r="J148" s="196"/>
    </row>
    <row r="149" spans="3:10">
      <c r="C149" s="196"/>
      <c r="D149" s="196"/>
      <c r="E149" s="196"/>
      <c r="F149" s="196"/>
      <c r="G149" s="196"/>
      <c r="H149" s="196"/>
      <c r="I149" s="196"/>
      <c r="J149" s="196"/>
    </row>
    <row r="150" spans="3:10">
      <c r="C150" s="196"/>
      <c r="D150" s="196"/>
      <c r="E150" s="196"/>
      <c r="F150" s="196"/>
      <c r="G150" s="196"/>
      <c r="H150" s="196"/>
      <c r="I150" s="196"/>
      <c r="J150" s="196"/>
    </row>
    <row r="151" spans="3:10">
      <c r="C151" s="196"/>
      <c r="D151" s="196"/>
      <c r="E151" s="196"/>
      <c r="F151" s="196"/>
      <c r="G151" s="196"/>
      <c r="H151" s="196"/>
      <c r="I151" s="196"/>
      <c r="J151" s="196"/>
    </row>
    <row r="152" spans="3:10">
      <c r="C152" s="196"/>
      <c r="D152" s="196"/>
      <c r="E152" s="196"/>
      <c r="F152" s="196"/>
      <c r="G152" s="196"/>
      <c r="H152" s="196"/>
      <c r="I152" s="196"/>
      <c r="J152" s="196"/>
    </row>
    <row r="153" spans="3:10">
      <c r="C153" s="196"/>
      <c r="D153" s="196"/>
      <c r="E153" s="196"/>
      <c r="F153" s="196"/>
      <c r="G153" s="196"/>
      <c r="H153" s="196"/>
      <c r="I153" s="196"/>
      <c r="J153" s="196"/>
    </row>
    <row r="154" spans="3:10">
      <c r="C154" s="196"/>
      <c r="D154" s="196"/>
      <c r="E154" s="196"/>
      <c r="F154" s="196"/>
      <c r="G154" s="196"/>
      <c r="H154" s="196"/>
      <c r="I154" s="196"/>
      <c r="J154" s="196"/>
    </row>
    <row r="155" spans="3:10">
      <c r="C155" s="196"/>
      <c r="D155" s="196"/>
      <c r="E155" s="196"/>
      <c r="F155" s="196"/>
      <c r="G155" s="196"/>
      <c r="H155" s="196"/>
      <c r="I155" s="196"/>
      <c r="J155" s="196"/>
    </row>
    <row r="156" spans="3:10">
      <c r="C156" s="196"/>
      <c r="D156" s="196"/>
      <c r="E156" s="196"/>
      <c r="F156" s="196"/>
      <c r="G156" s="196"/>
      <c r="H156" s="196"/>
      <c r="I156" s="196"/>
      <c r="J156" s="196"/>
    </row>
    <row r="157" spans="3:10">
      <c r="C157" s="196"/>
      <c r="D157" s="196"/>
      <c r="E157" s="196"/>
      <c r="F157" s="196"/>
      <c r="G157" s="196"/>
      <c r="H157" s="196"/>
      <c r="I157" s="196"/>
      <c r="J157" s="196"/>
    </row>
    <row r="158" spans="3:10">
      <c r="C158" s="196"/>
      <c r="D158" s="196"/>
      <c r="E158" s="196"/>
      <c r="F158" s="196"/>
      <c r="G158" s="196"/>
      <c r="H158" s="196"/>
      <c r="I158" s="196"/>
      <c r="J158" s="196"/>
    </row>
    <row r="159" spans="3:10">
      <c r="C159" s="196"/>
      <c r="D159" s="196"/>
      <c r="E159" s="196"/>
      <c r="F159" s="196"/>
      <c r="G159" s="196"/>
      <c r="H159" s="196"/>
      <c r="I159" s="196"/>
      <c r="J159" s="196"/>
    </row>
    <row r="160" spans="3:10">
      <c r="C160" s="196"/>
      <c r="D160" s="196"/>
      <c r="E160" s="196"/>
      <c r="F160" s="196"/>
      <c r="G160" s="196"/>
      <c r="H160" s="196"/>
      <c r="I160" s="196"/>
      <c r="J160" s="196"/>
    </row>
    <row r="161" spans="3:10">
      <c r="C161" s="196"/>
      <c r="D161" s="196"/>
      <c r="E161" s="196"/>
      <c r="F161" s="196"/>
      <c r="G161" s="196"/>
      <c r="H161" s="196"/>
      <c r="I161" s="196"/>
      <c r="J161" s="196"/>
    </row>
    <row r="162" spans="3:10">
      <c r="C162" s="196"/>
      <c r="D162" s="196"/>
      <c r="E162" s="196"/>
      <c r="F162" s="196"/>
      <c r="G162" s="196"/>
      <c r="H162" s="196"/>
      <c r="I162" s="196"/>
      <c r="J162" s="196"/>
    </row>
    <row r="163" spans="3:10">
      <c r="C163" s="196"/>
      <c r="D163" s="196"/>
      <c r="E163" s="196"/>
      <c r="F163" s="196"/>
      <c r="G163" s="196"/>
      <c r="H163" s="196"/>
      <c r="I163" s="196"/>
      <c r="J163" s="196"/>
    </row>
    <row r="164" spans="3:10">
      <c r="C164" s="196"/>
      <c r="D164" s="196"/>
      <c r="E164" s="196"/>
      <c r="F164" s="196"/>
      <c r="G164" s="196"/>
      <c r="H164" s="196"/>
      <c r="I164" s="196"/>
      <c r="J164" s="196"/>
    </row>
    <row r="165" spans="3:10">
      <c r="C165" s="196"/>
      <c r="D165" s="196"/>
      <c r="E165" s="196"/>
      <c r="F165" s="196"/>
      <c r="G165" s="196"/>
      <c r="H165" s="196"/>
      <c r="I165" s="196"/>
      <c r="J165" s="196"/>
    </row>
    <row r="166" spans="3:10">
      <c r="C166" s="196"/>
      <c r="D166" s="196"/>
      <c r="E166" s="196"/>
      <c r="F166" s="196"/>
      <c r="G166" s="196"/>
      <c r="H166" s="196"/>
      <c r="I166" s="196"/>
      <c r="J166" s="196"/>
    </row>
    <row r="167" spans="3:10">
      <c r="C167" s="196"/>
      <c r="D167" s="196"/>
      <c r="E167" s="196"/>
      <c r="F167" s="196"/>
      <c r="G167" s="196"/>
      <c r="H167" s="196"/>
      <c r="I167" s="196"/>
      <c r="J167" s="196"/>
    </row>
    <row r="168" spans="3:10">
      <c r="C168" s="196"/>
      <c r="D168" s="196"/>
      <c r="E168" s="196"/>
      <c r="F168" s="196"/>
      <c r="G168" s="196"/>
      <c r="H168" s="196"/>
      <c r="I168" s="196"/>
      <c r="J168" s="196"/>
    </row>
    <row r="169" spans="3:10">
      <c r="C169" s="196"/>
      <c r="D169" s="196"/>
      <c r="E169" s="196"/>
      <c r="F169" s="196"/>
      <c r="G169" s="196"/>
      <c r="H169" s="196"/>
      <c r="I169" s="196"/>
      <c r="J169" s="196"/>
    </row>
    <row r="170" spans="3:10">
      <c r="C170" s="196"/>
      <c r="D170" s="196"/>
      <c r="E170" s="196"/>
      <c r="F170" s="196"/>
      <c r="G170" s="196"/>
      <c r="H170" s="196"/>
      <c r="I170" s="196"/>
      <c r="J170" s="196"/>
    </row>
    <row r="171" spans="3:10">
      <c r="C171" s="196"/>
      <c r="D171" s="196"/>
      <c r="E171" s="196"/>
      <c r="F171" s="196"/>
      <c r="G171" s="196"/>
      <c r="H171" s="196"/>
      <c r="I171" s="196"/>
      <c r="J171" s="196"/>
    </row>
    <row r="172" spans="3:10">
      <c r="C172" s="196"/>
      <c r="D172" s="196"/>
      <c r="E172" s="196"/>
      <c r="F172" s="196"/>
      <c r="G172" s="196"/>
      <c r="H172" s="196"/>
      <c r="I172" s="196"/>
      <c r="J172" s="196"/>
    </row>
    <row r="173" spans="3:10">
      <c r="C173" s="196"/>
      <c r="D173" s="196"/>
      <c r="E173" s="196"/>
      <c r="F173" s="196"/>
      <c r="G173" s="196"/>
      <c r="H173" s="196"/>
      <c r="I173" s="196"/>
      <c r="J173" s="196"/>
    </row>
    <row r="174" spans="3:10">
      <c r="C174" s="196"/>
      <c r="D174" s="196"/>
      <c r="E174" s="196"/>
      <c r="F174" s="196"/>
      <c r="G174" s="196"/>
      <c r="H174" s="196"/>
      <c r="I174" s="196"/>
      <c r="J174" s="196"/>
    </row>
    <row r="175" spans="3:10">
      <c r="C175" s="196"/>
      <c r="D175" s="196"/>
      <c r="E175" s="196"/>
      <c r="F175" s="196"/>
      <c r="G175" s="196"/>
      <c r="H175" s="196"/>
      <c r="I175" s="196"/>
      <c r="J175" s="196"/>
    </row>
    <row r="176" spans="3:10">
      <c r="C176" s="196"/>
      <c r="D176" s="196"/>
      <c r="E176" s="196"/>
      <c r="F176" s="196"/>
      <c r="G176" s="196"/>
      <c r="H176" s="196"/>
      <c r="I176" s="196"/>
      <c r="J176" s="196"/>
    </row>
    <row r="177" spans="3:10">
      <c r="C177" s="196"/>
      <c r="D177" s="196"/>
      <c r="E177" s="196"/>
      <c r="F177" s="196"/>
      <c r="G177" s="196"/>
      <c r="H177" s="196"/>
      <c r="I177" s="196"/>
      <c r="J177" s="196"/>
    </row>
    <row r="178" spans="3:10">
      <c r="C178" s="196"/>
      <c r="D178" s="196"/>
      <c r="E178" s="196"/>
      <c r="F178" s="196"/>
      <c r="G178" s="196"/>
      <c r="H178" s="196"/>
      <c r="I178" s="196"/>
      <c r="J178" s="196"/>
    </row>
    <row r="179" spans="3:10">
      <c r="C179" s="196"/>
      <c r="D179" s="196"/>
      <c r="E179" s="196"/>
      <c r="F179" s="196"/>
      <c r="G179" s="196"/>
      <c r="H179" s="196"/>
      <c r="I179" s="196"/>
      <c r="J179" s="196"/>
    </row>
    <row r="180" spans="3:10">
      <c r="C180" s="196"/>
      <c r="D180" s="196"/>
      <c r="E180" s="196"/>
      <c r="F180" s="196"/>
      <c r="G180" s="196"/>
      <c r="H180" s="196"/>
      <c r="I180" s="196"/>
      <c r="J180" s="196"/>
    </row>
    <row r="181" spans="3:10">
      <c r="C181" s="196"/>
      <c r="D181" s="196"/>
      <c r="E181" s="196"/>
      <c r="F181" s="196"/>
      <c r="G181" s="196"/>
      <c r="H181" s="196"/>
      <c r="I181" s="196"/>
      <c r="J181" s="196"/>
    </row>
    <row r="182" spans="3:10">
      <c r="C182" s="196"/>
      <c r="D182" s="196"/>
      <c r="E182" s="196"/>
      <c r="F182" s="196"/>
      <c r="G182" s="196"/>
      <c r="H182" s="196"/>
      <c r="I182" s="196"/>
      <c r="J182" s="196"/>
    </row>
    <row r="183" spans="3:10">
      <c r="C183" s="196"/>
      <c r="D183" s="196"/>
      <c r="E183" s="196"/>
      <c r="F183" s="196"/>
      <c r="G183" s="196"/>
      <c r="H183" s="196"/>
      <c r="I183" s="196"/>
      <c r="J183" s="196"/>
    </row>
    <row r="184" spans="3:10">
      <c r="C184" s="196"/>
      <c r="D184" s="196"/>
      <c r="E184" s="196"/>
      <c r="F184" s="196"/>
      <c r="G184" s="196"/>
      <c r="H184" s="196"/>
      <c r="I184" s="196"/>
      <c r="J184" s="196"/>
    </row>
    <row r="185" spans="3:10">
      <c r="C185" s="196"/>
      <c r="D185" s="196"/>
      <c r="E185" s="196"/>
      <c r="F185" s="196"/>
      <c r="G185" s="196"/>
      <c r="H185" s="196"/>
      <c r="I185" s="196"/>
      <c r="J185" s="196"/>
    </row>
    <row r="186" spans="3:10">
      <c r="C186" s="196"/>
      <c r="D186" s="196"/>
      <c r="E186" s="196"/>
      <c r="F186" s="196"/>
      <c r="G186" s="196"/>
      <c r="H186" s="196"/>
      <c r="I186" s="196"/>
      <c r="J186" s="196"/>
    </row>
    <row r="187" spans="3:10">
      <c r="C187" s="196"/>
      <c r="D187" s="196"/>
      <c r="E187" s="196"/>
      <c r="F187" s="196"/>
      <c r="G187" s="196"/>
      <c r="H187" s="196"/>
      <c r="I187" s="196"/>
      <c r="J187" s="196"/>
    </row>
    <row r="188" spans="3:10">
      <c r="C188" s="196"/>
      <c r="D188" s="196"/>
      <c r="E188" s="196"/>
      <c r="F188" s="196"/>
      <c r="G188" s="196"/>
      <c r="H188" s="196"/>
      <c r="I188" s="196"/>
      <c r="J188" s="196"/>
    </row>
    <row r="189" spans="3:10">
      <c r="C189" s="196"/>
      <c r="D189" s="196"/>
      <c r="E189" s="196"/>
      <c r="F189" s="196"/>
      <c r="G189" s="196"/>
      <c r="H189" s="196"/>
      <c r="I189" s="196"/>
      <c r="J189" s="196"/>
    </row>
    <row r="190" spans="3:10">
      <c r="C190" s="196"/>
      <c r="D190" s="196"/>
      <c r="E190" s="196"/>
      <c r="F190" s="196"/>
      <c r="G190" s="196"/>
      <c r="H190" s="196"/>
      <c r="I190" s="196"/>
      <c r="J190" s="196"/>
    </row>
    <row r="191" spans="3:10">
      <c r="C191" s="196"/>
      <c r="D191" s="196"/>
      <c r="E191" s="196"/>
      <c r="F191" s="196"/>
      <c r="G191" s="196"/>
      <c r="H191" s="196"/>
      <c r="I191" s="196"/>
      <c r="J191" s="196"/>
    </row>
    <row r="192" spans="3:10">
      <c r="C192" s="196"/>
      <c r="D192" s="196"/>
      <c r="E192" s="196"/>
      <c r="F192" s="196"/>
      <c r="G192" s="196"/>
      <c r="H192" s="196"/>
      <c r="I192" s="196"/>
      <c r="J192" s="196"/>
    </row>
    <row r="193" spans="3:10">
      <c r="C193" s="196"/>
      <c r="D193" s="196"/>
      <c r="E193" s="196"/>
      <c r="F193" s="196"/>
      <c r="G193" s="196"/>
      <c r="H193" s="196"/>
      <c r="I193" s="196"/>
      <c r="J193" s="196"/>
    </row>
    <row r="194" spans="3:10">
      <c r="C194" s="196"/>
      <c r="D194" s="196"/>
      <c r="E194" s="196"/>
      <c r="F194" s="196"/>
      <c r="G194" s="196"/>
      <c r="H194" s="196"/>
      <c r="I194" s="196"/>
      <c r="J194" s="196"/>
    </row>
    <row r="195" spans="3:10">
      <c r="C195" s="196"/>
      <c r="D195" s="196"/>
      <c r="E195" s="196"/>
      <c r="F195" s="196"/>
      <c r="G195" s="196"/>
      <c r="H195" s="196"/>
      <c r="I195" s="196"/>
      <c r="J195" s="196"/>
    </row>
    <row r="196" spans="3:10">
      <c r="C196" s="196"/>
      <c r="D196" s="196"/>
      <c r="E196" s="196"/>
      <c r="F196" s="196"/>
      <c r="G196" s="196"/>
      <c r="H196" s="196"/>
      <c r="I196" s="196"/>
      <c r="J196" s="196"/>
    </row>
    <row r="197" spans="3:10">
      <c r="C197" s="196"/>
      <c r="D197" s="196"/>
      <c r="E197" s="196"/>
      <c r="F197" s="196"/>
      <c r="G197" s="196"/>
      <c r="H197" s="196"/>
      <c r="I197" s="196"/>
      <c r="J197" s="196"/>
    </row>
    <row r="198" spans="3:10">
      <c r="C198" s="196"/>
      <c r="D198" s="196"/>
      <c r="E198" s="196"/>
      <c r="F198" s="196"/>
      <c r="G198" s="196"/>
      <c r="H198" s="196"/>
      <c r="I198" s="196"/>
      <c r="J198" s="196"/>
    </row>
    <row r="199" spans="3:10">
      <c r="C199" s="196"/>
      <c r="D199" s="196"/>
      <c r="E199" s="196"/>
      <c r="F199" s="196"/>
      <c r="G199" s="196"/>
      <c r="H199" s="196"/>
      <c r="I199" s="196"/>
      <c r="J199" s="196"/>
    </row>
    <row r="200" spans="3:10">
      <c r="C200" s="196"/>
      <c r="D200" s="196"/>
      <c r="E200" s="196"/>
      <c r="F200" s="196"/>
      <c r="G200" s="196"/>
      <c r="H200" s="196"/>
      <c r="I200" s="196"/>
      <c r="J200" s="196"/>
    </row>
    <row r="201" spans="3:10">
      <c r="C201" s="196"/>
      <c r="D201" s="196"/>
      <c r="E201" s="196"/>
      <c r="F201" s="196"/>
      <c r="G201" s="196"/>
      <c r="H201" s="196"/>
      <c r="I201" s="196"/>
      <c r="J201" s="196"/>
    </row>
    <row r="202" spans="3:10">
      <c r="C202" s="196"/>
      <c r="D202" s="196"/>
      <c r="E202" s="196"/>
      <c r="F202" s="196"/>
      <c r="G202" s="196"/>
      <c r="H202" s="196"/>
      <c r="I202" s="196"/>
      <c r="J202" s="196"/>
    </row>
    <row r="203" spans="3:10">
      <c r="C203" s="196"/>
      <c r="D203" s="196"/>
      <c r="E203" s="196"/>
      <c r="F203" s="196"/>
      <c r="G203" s="196"/>
      <c r="H203" s="196"/>
      <c r="I203" s="196"/>
      <c r="J203" s="196"/>
    </row>
    <row r="204" spans="3:10">
      <c r="C204" s="196"/>
      <c r="D204" s="196"/>
      <c r="E204" s="196"/>
      <c r="F204" s="196"/>
      <c r="G204" s="196"/>
      <c r="H204" s="196"/>
      <c r="I204" s="196"/>
      <c r="J204" s="196"/>
    </row>
    <row r="205" spans="3:10">
      <c r="C205" s="196"/>
      <c r="D205" s="196"/>
      <c r="E205" s="196"/>
      <c r="F205" s="196"/>
      <c r="G205" s="196"/>
      <c r="H205" s="196"/>
      <c r="I205" s="196"/>
      <c r="J205" s="196"/>
    </row>
    <row r="206" spans="3:10">
      <c r="C206" s="196"/>
      <c r="D206" s="196"/>
      <c r="E206" s="196"/>
      <c r="F206" s="196"/>
      <c r="G206" s="196"/>
      <c r="H206" s="196"/>
      <c r="I206" s="196"/>
      <c r="J206" s="196"/>
    </row>
    <row r="207" spans="3:10">
      <c r="C207" s="196"/>
      <c r="D207" s="196"/>
      <c r="E207" s="196"/>
      <c r="F207" s="196"/>
      <c r="G207" s="196"/>
      <c r="H207" s="196"/>
      <c r="I207" s="196"/>
      <c r="J207" s="196"/>
    </row>
    <row r="208" spans="3:10">
      <c r="C208" s="196"/>
      <c r="D208" s="196"/>
      <c r="E208" s="196"/>
      <c r="F208" s="196"/>
      <c r="G208" s="196"/>
      <c r="H208" s="196"/>
      <c r="I208" s="196"/>
      <c r="J208" s="196"/>
    </row>
    <row r="209" spans="3:10">
      <c r="C209" s="196"/>
      <c r="D209" s="196"/>
      <c r="E209" s="196"/>
      <c r="F209" s="196"/>
      <c r="G209" s="196"/>
      <c r="H209" s="196"/>
      <c r="I209" s="196"/>
      <c r="J209" s="196"/>
    </row>
    <row r="210" spans="3:10">
      <c r="C210" s="196"/>
      <c r="D210" s="196"/>
      <c r="E210" s="196"/>
      <c r="F210" s="196"/>
      <c r="G210" s="196"/>
      <c r="H210" s="196"/>
      <c r="I210" s="196"/>
      <c r="J210" s="196"/>
    </row>
    <row r="211" spans="3:10">
      <c r="C211" s="196"/>
      <c r="D211" s="196"/>
      <c r="E211" s="196"/>
      <c r="F211" s="196"/>
      <c r="G211" s="196"/>
      <c r="H211" s="196"/>
      <c r="I211" s="196"/>
      <c r="J211" s="196"/>
    </row>
    <row r="212" spans="3:10">
      <c r="C212" s="196"/>
      <c r="D212" s="196"/>
      <c r="E212" s="196"/>
      <c r="F212" s="196"/>
      <c r="G212" s="196"/>
      <c r="H212" s="196"/>
      <c r="I212" s="196"/>
      <c r="J212" s="196"/>
    </row>
    <row r="213" spans="3:10">
      <c r="C213" s="196"/>
      <c r="D213" s="196"/>
      <c r="E213" s="196"/>
      <c r="F213" s="196"/>
      <c r="G213" s="196"/>
      <c r="H213" s="196"/>
      <c r="I213" s="196"/>
      <c r="J213" s="196"/>
    </row>
    <row r="214" spans="3:10">
      <c r="C214" s="196"/>
      <c r="D214" s="196"/>
      <c r="E214" s="196"/>
      <c r="F214" s="196"/>
      <c r="G214" s="196"/>
      <c r="H214" s="196"/>
      <c r="I214" s="196"/>
      <c r="J214" s="196"/>
    </row>
    <row r="215" spans="3:10">
      <c r="C215" s="196"/>
      <c r="D215" s="196"/>
      <c r="E215" s="196"/>
      <c r="F215" s="196"/>
      <c r="G215" s="196"/>
      <c r="H215" s="196"/>
      <c r="I215" s="196"/>
      <c r="J215" s="196"/>
    </row>
    <row r="216" spans="3:10">
      <c r="C216" s="196"/>
      <c r="D216" s="196"/>
      <c r="E216" s="196"/>
      <c r="F216" s="196"/>
      <c r="G216" s="196"/>
      <c r="H216" s="196"/>
      <c r="I216" s="196"/>
      <c r="J216" s="196"/>
    </row>
    <row r="217" spans="3:10">
      <c r="C217" s="196"/>
      <c r="D217" s="196"/>
      <c r="E217" s="196"/>
      <c r="F217" s="196"/>
      <c r="G217" s="196"/>
      <c r="H217" s="196"/>
      <c r="I217" s="196"/>
      <c r="J217" s="196"/>
    </row>
    <row r="218" spans="3:10">
      <c r="C218" s="196"/>
      <c r="D218" s="196"/>
      <c r="E218" s="196"/>
      <c r="F218" s="196"/>
      <c r="G218" s="196"/>
      <c r="H218" s="196"/>
      <c r="I218" s="196"/>
      <c r="J218" s="196"/>
    </row>
    <row r="219" spans="3:10">
      <c r="C219" s="196"/>
      <c r="D219" s="196"/>
      <c r="E219" s="196"/>
      <c r="F219" s="196"/>
      <c r="G219" s="196"/>
      <c r="H219" s="196"/>
      <c r="I219" s="196"/>
      <c r="J219" s="196"/>
    </row>
    <row r="220" spans="3:10">
      <c r="C220" s="196"/>
      <c r="D220" s="196"/>
      <c r="E220" s="196"/>
      <c r="F220" s="196"/>
      <c r="G220" s="196"/>
      <c r="H220" s="196"/>
      <c r="I220" s="196"/>
      <c r="J220" s="196"/>
    </row>
    <row r="221" spans="3:10">
      <c r="C221" s="196"/>
      <c r="D221" s="196"/>
      <c r="E221" s="196"/>
      <c r="F221" s="196"/>
      <c r="G221" s="196"/>
      <c r="H221" s="196"/>
      <c r="I221" s="196"/>
      <c r="J221" s="196"/>
    </row>
    <row r="222" spans="3:10">
      <c r="C222" s="196"/>
      <c r="D222" s="196"/>
      <c r="E222" s="196"/>
      <c r="F222" s="196"/>
      <c r="G222" s="196"/>
      <c r="H222" s="196"/>
      <c r="I222" s="196"/>
      <c r="J222" s="196"/>
    </row>
    <row r="223" spans="3:10">
      <c r="C223" s="196"/>
      <c r="D223" s="196"/>
      <c r="E223" s="196"/>
      <c r="F223" s="196"/>
      <c r="G223" s="196"/>
      <c r="H223" s="196"/>
      <c r="I223" s="196"/>
      <c r="J223" s="196"/>
    </row>
    <row r="224" spans="3:10">
      <c r="C224" s="196"/>
      <c r="D224" s="196"/>
      <c r="E224" s="196"/>
      <c r="F224" s="196"/>
      <c r="G224" s="196"/>
      <c r="H224" s="196"/>
      <c r="I224" s="196"/>
      <c r="J224" s="196"/>
    </row>
    <row r="225" spans="3:10">
      <c r="C225" s="196"/>
      <c r="D225" s="196"/>
      <c r="E225" s="196"/>
      <c r="F225" s="196"/>
      <c r="G225" s="196"/>
      <c r="H225" s="196"/>
      <c r="I225" s="196"/>
      <c r="J225" s="196"/>
    </row>
    <row r="226" spans="3:10">
      <c r="C226" s="196"/>
      <c r="D226" s="196"/>
      <c r="E226" s="196"/>
      <c r="F226" s="196"/>
      <c r="G226" s="196"/>
      <c r="H226" s="196"/>
      <c r="I226" s="196"/>
      <c r="J226" s="196"/>
    </row>
    <row r="227" spans="3:10">
      <c r="C227" s="196"/>
      <c r="D227" s="196"/>
      <c r="E227" s="196"/>
      <c r="F227" s="196"/>
      <c r="G227" s="196"/>
      <c r="H227" s="196"/>
      <c r="I227" s="196"/>
      <c r="J227" s="196"/>
    </row>
    <row r="228" spans="3:10">
      <c r="C228" s="196"/>
      <c r="D228" s="196"/>
      <c r="E228" s="196"/>
      <c r="F228" s="196"/>
      <c r="G228" s="196"/>
      <c r="H228" s="196"/>
      <c r="I228" s="196"/>
      <c r="J228" s="196"/>
    </row>
    <row r="229" spans="3:10">
      <c r="C229" s="196"/>
      <c r="D229" s="196"/>
      <c r="E229" s="196"/>
      <c r="F229" s="196"/>
      <c r="G229" s="196"/>
      <c r="H229" s="196"/>
      <c r="I229" s="196"/>
      <c r="J229" s="196"/>
    </row>
    <row r="230" spans="3:10">
      <c r="C230" s="196"/>
      <c r="D230" s="196"/>
      <c r="E230" s="196"/>
      <c r="F230" s="196"/>
      <c r="G230" s="196"/>
      <c r="H230" s="196"/>
      <c r="I230" s="196"/>
      <c r="J230" s="196"/>
    </row>
    <row r="231" spans="3:10">
      <c r="C231" s="196"/>
      <c r="D231" s="196"/>
      <c r="E231" s="196"/>
      <c r="F231" s="196"/>
      <c r="G231" s="196"/>
      <c r="H231" s="196"/>
      <c r="I231" s="196"/>
      <c r="J231" s="196"/>
    </row>
    <row r="232" spans="3:10">
      <c r="C232" s="196"/>
      <c r="D232" s="196"/>
      <c r="E232" s="196"/>
      <c r="F232" s="196"/>
      <c r="G232" s="196"/>
      <c r="H232" s="196"/>
      <c r="I232" s="196"/>
      <c r="J232" s="196"/>
    </row>
    <row r="233" spans="3:10">
      <c r="C233" s="196"/>
      <c r="D233" s="196"/>
      <c r="E233" s="196"/>
      <c r="F233" s="196"/>
      <c r="G233" s="196"/>
      <c r="H233" s="196"/>
      <c r="I233" s="196"/>
      <c r="J233" s="196"/>
    </row>
    <row r="234" spans="3:10">
      <c r="C234" s="196"/>
      <c r="D234" s="196"/>
      <c r="E234" s="196"/>
      <c r="F234" s="196"/>
      <c r="G234" s="196"/>
      <c r="H234" s="196"/>
      <c r="I234" s="196"/>
      <c r="J234" s="196"/>
    </row>
    <row r="235" spans="3:10">
      <c r="C235" s="196"/>
      <c r="D235" s="196"/>
      <c r="E235" s="196"/>
      <c r="F235" s="196"/>
      <c r="G235" s="196"/>
      <c r="H235" s="196"/>
      <c r="I235" s="196"/>
      <c r="J235" s="196"/>
    </row>
    <row r="236" spans="3:10">
      <c r="C236" s="196"/>
      <c r="D236" s="196"/>
      <c r="E236" s="196"/>
      <c r="F236" s="196"/>
      <c r="G236" s="196"/>
      <c r="H236" s="196"/>
      <c r="I236" s="196"/>
      <c r="J236" s="196"/>
    </row>
    <row r="237" spans="3:10">
      <c r="C237" s="196"/>
      <c r="D237" s="196"/>
      <c r="E237" s="196"/>
      <c r="F237" s="196"/>
      <c r="G237" s="196"/>
      <c r="H237" s="196"/>
      <c r="I237" s="196"/>
      <c r="J237" s="196"/>
    </row>
    <row r="238" spans="3:10">
      <c r="C238" s="196"/>
      <c r="D238" s="196"/>
      <c r="E238" s="196"/>
      <c r="F238" s="196"/>
      <c r="G238" s="196"/>
      <c r="H238" s="196"/>
      <c r="I238" s="196"/>
      <c r="J238" s="196"/>
    </row>
    <row r="239" spans="3:10">
      <c r="C239" s="196"/>
      <c r="D239" s="196"/>
      <c r="E239" s="196"/>
      <c r="F239" s="196"/>
      <c r="G239" s="196"/>
      <c r="H239" s="196"/>
      <c r="I239" s="196"/>
      <c r="J239" s="196"/>
    </row>
    <row r="240" spans="3:10">
      <c r="C240" s="196"/>
      <c r="D240" s="196"/>
      <c r="E240" s="196"/>
      <c r="F240" s="196"/>
      <c r="G240" s="196"/>
      <c r="H240" s="196"/>
      <c r="I240" s="196"/>
      <c r="J240" s="196"/>
    </row>
    <row r="241" spans="3:10">
      <c r="C241" s="196"/>
      <c r="D241" s="196"/>
      <c r="E241" s="196"/>
      <c r="F241" s="196"/>
      <c r="G241" s="196"/>
      <c r="H241" s="196"/>
      <c r="I241" s="196"/>
      <c r="J241" s="196"/>
    </row>
    <row r="242" spans="3:10">
      <c r="C242" s="196"/>
      <c r="D242" s="196"/>
      <c r="E242" s="196"/>
      <c r="F242" s="196"/>
      <c r="G242" s="196"/>
      <c r="H242" s="196"/>
      <c r="I242" s="196"/>
      <c r="J242" s="196"/>
    </row>
    <row r="243" spans="3:10">
      <c r="C243" s="196"/>
      <c r="D243" s="196"/>
      <c r="E243" s="196"/>
      <c r="F243" s="196"/>
      <c r="G243" s="196"/>
      <c r="H243" s="196"/>
      <c r="I243" s="196"/>
      <c r="J243" s="196"/>
    </row>
    <row r="244" spans="3:10">
      <c r="C244" s="196"/>
      <c r="D244" s="196"/>
      <c r="E244" s="196"/>
      <c r="F244" s="196"/>
      <c r="G244" s="196"/>
      <c r="H244" s="196"/>
      <c r="I244" s="196"/>
      <c r="J244" s="196"/>
    </row>
    <row r="245" spans="3:10">
      <c r="C245" s="196"/>
      <c r="D245" s="196"/>
      <c r="E245" s="196"/>
      <c r="F245" s="196"/>
      <c r="G245" s="196"/>
      <c r="H245" s="196"/>
      <c r="I245" s="196"/>
      <c r="J245" s="196"/>
    </row>
    <row r="246" spans="3:10">
      <c r="C246" s="196"/>
      <c r="D246" s="196"/>
      <c r="E246" s="196"/>
      <c r="F246" s="196"/>
      <c r="G246" s="196"/>
      <c r="H246" s="196"/>
      <c r="I246" s="196"/>
      <c r="J246" s="196"/>
    </row>
    <row r="247" spans="3:10">
      <c r="C247" s="196"/>
      <c r="D247" s="196"/>
      <c r="E247" s="196"/>
      <c r="F247" s="196"/>
      <c r="G247" s="196"/>
      <c r="H247" s="196"/>
      <c r="I247" s="196"/>
      <c r="J247" s="196"/>
    </row>
    <row r="248" spans="3:10">
      <c r="C248" s="196"/>
      <c r="D248" s="196"/>
      <c r="E248" s="196"/>
      <c r="F248" s="196"/>
      <c r="G248" s="196"/>
      <c r="H248" s="196"/>
      <c r="I248" s="196"/>
      <c r="J248" s="196"/>
    </row>
    <row r="249" spans="3:10">
      <c r="C249" s="196"/>
      <c r="D249" s="196"/>
      <c r="E249" s="196"/>
      <c r="F249" s="196"/>
      <c r="G249" s="196"/>
      <c r="H249" s="196"/>
      <c r="I249" s="196"/>
      <c r="J249" s="196"/>
    </row>
    <row r="250" spans="3:10">
      <c r="C250" s="196"/>
      <c r="D250" s="196"/>
      <c r="E250" s="196"/>
      <c r="F250" s="196"/>
      <c r="G250" s="196"/>
      <c r="H250" s="196"/>
      <c r="I250" s="196"/>
      <c r="J250" s="196"/>
    </row>
    <row r="251" spans="3:10">
      <c r="C251" s="196"/>
      <c r="D251" s="196"/>
      <c r="E251" s="196"/>
      <c r="F251" s="196"/>
      <c r="G251" s="196"/>
      <c r="H251" s="196"/>
      <c r="I251" s="196"/>
      <c r="J251" s="196"/>
    </row>
    <row r="252" spans="3:10">
      <c r="C252" s="196"/>
      <c r="D252" s="196"/>
      <c r="E252" s="196"/>
      <c r="F252" s="196"/>
      <c r="G252" s="196"/>
      <c r="H252" s="196"/>
      <c r="I252" s="196"/>
      <c r="J252" s="196"/>
    </row>
    <row r="253" spans="3:10">
      <c r="C253" s="196"/>
      <c r="D253" s="196"/>
      <c r="E253" s="196"/>
      <c r="F253" s="196"/>
      <c r="G253" s="196"/>
      <c r="H253" s="196"/>
      <c r="I253" s="196"/>
      <c r="J253" s="196"/>
    </row>
    <row r="254" spans="3:10">
      <c r="C254" s="196"/>
      <c r="D254" s="196"/>
      <c r="E254" s="196"/>
      <c r="F254" s="196"/>
      <c r="G254" s="196"/>
      <c r="H254" s="196"/>
      <c r="I254" s="196"/>
      <c r="J254" s="196"/>
    </row>
    <row r="255" spans="3:10">
      <c r="C255" s="196"/>
      <c r="D255" s="196"/>
      <c r="E255" s="196"/>
      <c r="F255" s="196"/>
      <c r="G255" s="196"/>
      <c r="H255" s="196"/>
      <c r="I255" s="196"/>
      <c r="J255" s="196"/>
    </row>
    <row r="256" spans="3:10">
      <c r="C256" s="196"/>
      <c r="D256" s="196"/>
      <c r="E256" s="196"/>
      <c r="F256" s="196"/>
      <c r="G256" s="196"/>
      <c r="H256" s="196"/>
      <c r="I256" s="196"/>
      <c r="J256" s="196"/>
    </row>
    <row r="257" spans="3:10">
      <c r="C257" s="196"/>
      <c r="D257" s="196"/>
      <c r="E257" s="196"/>
      <c r="F257" s="196"/>
      <c r="G257" s="196"/>
      <c r="H257" s="196"/>
      <c r="I257" s="196"/>
      <c r="J257" s="196"/>
    </row>
    <row r="258" spans="3:10">
      <c r="C258" s="196"/>
      <c r="D258" s="196"/>
      <c r="E258" s="196"/>
      <c r="F258" s="196"/>
      <c r="G258" s="196"/>
      <c r="H258" s="196"/>
      <c r="I258" s="196"/>
      <c r="J258" s="196"/>
    </row>
    <row r="259" spans="3:10">
      <c r="C259" s="196"/>
      <c r="D259" s="196"/>
      <c r="E259" s="196"/>
      <c r="F259" s="196"/>
      <c r="G259" s="196"/>
      <c r="H259" s="196"/>
      <c r="I259" s="196"/>
      <c r="J259" s="196"/>
    </row>
    <row r="260" spans="3:10">
      <c r="C260" s="196"/>
      <c r="D260" s="196"/>
      <c r="E260" s="196"/>
      <c r="F260" s="196"/>
      <c r="G260" s="196"/>
      <c r="H260" s="196"/>
      <c r="I260" s="196"/>
      <c r="J260" s="196"/>
    </row>
    <row r="261" spans="3:10">
      <c r="C261" s="196"/>
      <c r="D261" s="196"/>
      <c r="E261" s="196"/>
      <c r="F261" s="196"/>
      <c r="G261" s="196"/>
      <c r="H261" s="196"/>
      <c r="I261" s="196"/>
      <c r="J261" s="196"/>
    </row>
    <row r="262" spans="3:10">
      <c r="C262" s="196"/>
      <c r="D262" s="196"/>
      <c r="E262" s="196"/>
      <c r="F262" s="196"/>
      <c r="G262" s="196"/>
      <c r="H262" s="196"/>
      <c r="I262" s="196"/>
      <c r="J262" s="196"/>
    </row>
    <row r="263" spans="3:10">
      <c r="C263" s="196"/>
      <c r="D263" s="196"/>
      <c r="E263" s="196"/>
      <c r="F263" s="196"/>
      <c r="G263" s="196"/>
      <c r="H263" s="196"/>
      <c r="I263" s="196"/>
      <c r="J263" s="196"/>
    </row>
    <row r="264" spans="3:10">
      <c r="C264" s="196"/>
      <c r="D264" s="196"/>
      <c r="E264" s="196"/>
      <c r="F264" s="196"/>
      <c r="G264" s="196"/>
      <c r="H264" s="196"/>
      <c r="I264" s="196"/>
      <c r="J264" s="196"/>
    </row>
    <row r="265" spans="3:10">
      <c r="C265" s="196"/>
      <c r="D265" s="196"/>
      <c r="E265" s="196"/>
      <c r="F265" s="196"/>
      <c r="G265" s="196"/>
      <c r="H265" s="196"/>
      <c r="I265" s="196"/>
      <c r="J265" s="196"/>
    </row>
    <row r="266" spans="3:10">
      <c r="C266" s="196"/>
      <c r="D266" s="196"/>
      <c r="E266" s="196"/>
      <c r="F266" s="196"/>
      <c r="G266" s="196"/>
      <c r="H266" s="196"/>
      <c r="I266" s="196"/>
      <c r="J266" s="196"/>
    </row>
    <row r="267" spans="3:10">
      <c r="C267" s="196"/>
      <c r="D267" s="196"/>
      <c r="E267" s="196"/>
      <c r="F267" s="196"/>
      <c r="G267" s="196"/>
      <c r="H267" s="196"/>
      <c r="I267" s="196"/>
      <c r="J267" s="196"/>
    </row>
    <row r="268" spans="3:10">
      <c r="C268" s="196"/>
      <c r="D268" s="196"/>
      <c r="E268" s="196"/>
      <c r="F268" s="196"/>
      <c r="G268" s="196"/>
      <c r="H268" s="196"/>
      <c r="I268" s="196"/>
      <c r="J268" s="196"/>
    </row>
    <row r="269" spans="3:10">
      <c r="C269" s="196"/>
      <c r="D269" s="196"/>
      <c r="E269" s="196"/>
      <c r="F269" s="196"/>
      <c r="G269" s="196"/>
      <c r="H269" s="196"/>
      <c r="I269" s="196"/>
      <c r="J269" s="196"/>
    </row>
    <row r="270" spans="3:10">
      <c r="C270" s="196"/>
      <c r="D270" s="196"/>
      <c r="E270" s="196"/>
      <c r="F270" s="196"/>
      <c r="G270" s="196"/>
      <c r="H270" s="196"/>
      <c r="I270" s="196"/>
      <c r="J270" s="196"/>
    </row>
    <row r="271" spans="3:10">
      <c r="C271" s="196"/>
      <c r="D271" s="196"/>
      <c r="E271" s="196"/>
      <c r="F271" s="196"/>
      <c r="G271" s="196"/>
      <c r="H271" s="196"/>
      <c r="I271" s="196"/>
      <c r="J271" s="196"/>
    </row>
    <row r="272" spans="3:10">
      <c r="C272" s="196"/>
      <c r="D272" s="196"/>
      <c r="E272" s="196"/>
      <c r="F272" s="196"/>
      <c r="G272" s="196"/>
      <c r="H272" s="196"/>
      <c r="I272" s="196"/>
      <c r="J272" s="196"/>
    </row>
    <row r="273" spans="3:10">
      <c r="C273" s="196"/>
      <c r="D273" s="196"/>
      <c r="E273" s="196"/>
      <c r="F273" s="196"/>
      <c r="G273" s="196"/>
      <c r="H273" s="196"/>
      <c r="I273" s="196"/>
      <c r="J273" s="196"/>
    </row>
    <row r="274" spans="3:10">
      <c r="C274" s="196"/>
      <c r="D274" s="196"/>
      <c r="E274" s="196"/>
      <c r="F274" s="196"/>
      <c r="G274" s="196"/>
      <c r="H274" s="196"/>
      <c r="I274" s="196"/>
      <c r="J274" s="196"/>
    </row>
    <row r="275" spans="3:10">
      <c r="C275" s="196"/>
      <c r="D275" s="196"/>
      <c r="E275" s="196"/>
      <c r="F275" s="196"/>
      <c r="G275" s="196"/>
      <c r="H275" s="196"/>
      <c r="I275" s="196"/>
      <c r="J275" s="196"/>
    </row>
    <row r="276" spans="3:10">
      <c r="C276" s="196"/>
      <c r="D276" s="196"/>
      <c r="E276" s="196"/>
      <c r="F276" s="196"/>
      <c r="G276" s="196"/>
      <c r="H276" s="196"/>
      <c r="I276" s="196"/>
      <c r="J276" s="196"/>
    </row>
    <row r="277" spans="3:10">
      <c r="C277" s="196"/>
      <c r="D277" s="196"/>
      <c r="E277" s="196"/>
      <c r="F277" s="196"/>
      <c r="G277" s="196"/>
      <c r="H277" s="196"/>
      <c r="I277" s="196"/>
      <c r="J277" s="196"/>
    </row>
    <row r="278" spans="3:10">
      <c r="C278" s="196"/>
      <c r="D278" s="196"/>
      <c r="E278" s="196"/>
      <c r="F278" s="196"/>
      <c r="G278" s="196"/>
      <c r="H278" s="196"/>
      <c r="I278" s="196"/>
      <c r="J278" s="196"/>
    </row>
    <row r="279" spans="3:10">
      <c r="C279" s="196"/>
      <c r="D279" s="196"/>
      <c r="E279" s="196"/>
      <c r="F279" s="196"/>
      <c r="G279" s="196"/>
      <c r="H279" s="196"/>
      <c r="I279" s="196"/>
      <c r="J279" s="196"/>
    </row>
    <row r="280" spans="3:10">
      <c r="C280" s="196"/>
      <c r="D280" s="196"/>
      <c r="E280" s="196"/>
      <c r="F280" s="196"/>
      <c r="G280" s="196"/>
      <c r="H280" s="196"/>
      <c r="I280" s="196"/>
      <c r="J280" s="196"/>
    </row>
    <row r="281" spans="3:10">
      <c r="C281" s="196"/>
      <c r="D281" s="196"/>
      <c r="E281" s="196"/>
      <c r="F281" s="196"/>
      <c r="G281" s="196"/>
      <c r="H281" s="196"/>
      <c r="I281" s="196"/>
      <c r="J281" s="196"/>
    </row>
    <row r="282" spans="3:10">
      <c r="C282" s="196"/>
      <c r="D282" s="196"/>
      <c r="E282" s="196"/>
      <c r="F282" s="196"/>
      <c r="G282" s="196"/>
      <c r="H282" s="196"/>
      <c r="I282" s="196"/>
      <c r="J282" s="196"/>
    </row>
    <row r="283" spans="3:10">
      <c r="C283" s="196"/>
      <c r="D283" s="196"/>
      <c r="E283" s="196"/>
      <c r="F283" s="196"/>
      <c r="G283" s="196"/>
      <c r="H283" s="196"/>
      <c r="I283" s="196"/>
      <c r="J283" s="196"/>
    </row>
    <row r="284" spans="3:10">
      <c r="C284" s="196"/>
      <c r="D284" s="196"/>
      <c r="E284" s="196"/>
      <c r="F284" s="196"/>
      <c r="G284" s="196"/>
      <c r="H284" s="196"/>
      <c r="I284" s="196"/>
      <c r="J284" s="196"/>
    </row>
    <row r="285" spans="3:10">
      <c r="C285" s="196"/>
      <c r="D285" s="196"/>
      <c r="E285" s="196"/>
      <c r="F285" s="196"/>
      <c r="G285" s="196"/>
      <c r="H285" s="196"/>
      <c r="I285" s="196"/>
      <c r="J285" s="196"/>
    </row>
    <row r="286" spans="3:10">
      <c r="C286" s="196"/>
      <c r="D286" s="196"/>
      <c r="E286" s="196"/>
      <c r="F286" s="196"/>
      <c r="G286" s="196"/>
      <c r="H286" s="196"/>
      <c r="I286" s="196"/>
      <c r="J286" s="196"/>
    </row>
    <row r="287" spans="3:10">
      <c r="C287" s="196"/>
      <c r="D287" s="196"/>
      <c r="E287" s="196"/>
      <c r="F287" s="196"/>
      <c r="G287" s="196"/>
      <c r="H287" s="196"/>
      <c r="I287" s="196"/>
      <c r="J287" s="196"/>
    </row>
    <row r="288" spans="3:10">
      <c r="C288" s="196"/>
      <c r="D288" s="196"/>
      <c r="E288" s="196"/>
      <c r="F288" s="196"/>
      <c r="G288" s="196"/>
      <c r="H288" s="196"/>
      <c r="I288" s="196"/>
      <c r="J288" s="196"/>
    </row>
    <row r="289" spans="3:10">
      <c r="C289" s="196"/>
      <c r="D289" s="196"/>
      <c r="E289" s="196"/>
      <c r="F289" s="196"/>
      <c r="G289" s="196"/>
      <c r="H289" s="196"/>
      <c r="I289" s="196"/>
      <c r="J289" s="196"/>
    </row>
    <row r="290" spans="3:10">
      <c r="C290" s="196"/>
      <c r="D290" s="196"/>
      <c r="E290" s="196"/>
      <c r="F290" s="196"/>
      <c r="G290" s="196"/>
      <c r="H290" s="196"/>
      <c r="I290" s="196"/>
      <c r="J290" s="196"/>
    </row>
    <row r="291" spans="3:10">
      <c r="C291" s="196"/>
      <c r="D291" s="196"/>
      <c r="E291" s="196"/>
      <c r="F291" s="196"/>
      <c r="G291" s="196"/>
      <c r="H291" s="196"/>
      <c r="I291" s="196"/>
      <c r="J291" s="196"/>
    </row>
    <row r="292" spans="3:10">
      <c r="C292" s="196"/>
      <c r="D292" s="196"/>
      <c r="E292" s="196"/>
      <c r="F292" s="196"/>
      <c r="G292" s="196"/>
      <c r="H292" s="196"/>
      <c r="I292" s="196"/>
      <c r="J292" s="196"/>
    </row>
    <row r="293" spans="3:10">
      <c r="C293" s="196"/>
      <c r="D293" s="196"/>
      <c r="E293" s="196"/>
      <c r="F293" s="196"/>
      <c r="G293" s="196"/>
      <c r="H293" s="196"/>
      <c r="I293" s="196"/>
      <c r="J293" s="196"/>
    </row>
    <row r="294" spans="3:10">
      <c r="C294" s="196"/>
      <c r="D294" s="196"/>
      <c r="E294" s="196"/>
      <c r="F294" s="196"/>
      <c r="G294" s="196"/>
      <c r="H294" s="196"/>
      <c r="I294" s="196"/>
      <c r="J294" s="196"/>
    </row>
    <row r="295" spans="3:10">
      <c r="C295" s="196"/>
      <c r="D295" s="196"/>
      <c r="E295" s="196"/>
      <c r="F295" s="196"/>
      <c r="G295" s="196"/>
      <c r="H295" s="196"/>
      <c r="I295" s="196"/>
      <c r="J295" s="196"/>
    </row>
    <row r="296" spans="3:10">
      <c r="C296" s="196"/>
      <c r="D296" s="196"/>
      <c r="E296" s="196"/>
      <c r="F296" s="196"/>
      <c r="G296" s="196"/>
      <c r="H296" s="196"/>
      <c r="I296" s="196"/>
      <c r="J296" s="196"/>
    </row>
    <row r="297" spans="3:10">
      <c r="C297" s="196"/>
      <c r="D297" s="196"/>
      <c r="E297" s="196"/>
      <c r="F297" s="196"/>
      <c r="G297" s="196"/>
      <c r="H297" s="196"/>
      <c r="I297" s="196"/>
      <c r="J297" s="196"/>
    </row>
    <row r="298" spans="3:10">
      <c r="C298" s="196"/>
      <c r="D298" s="196"/>
      <c r="E298" s="196"/>
      <c r="F298" s="196"/>
      <c r="G298" s="196"/>
      <c r="H298" s="196"/>
      <c r="I298" s="196"/>
      <c r="J298" s="196"/>
    </row>
  </sheetData>
  <mergeCells count="8">
    <mergeCell ref="M100:X100"/>
    <mergeCell ref="M99:X99"/>
    <mergeCell ref="M93:X93"/>
    <mergeCell ref="M94:X94"/>
    <mergeCell ref="M95:X95"/>
    <mergeCell ref="M96:X96"/>
    <mergeCell ref="M97:X97"/>
    <mergeCell ref="M98:X98"/>
  </mergeCells>
  <printOptions horizontalCentered="1"/>
  <pageMargins left="0.75" right="0.75" top="0.75" bottom="0.5" header="0.5" footer="0.5"/>
  <pageSetup scale="58" orientation="landscape" horizontalDpi="300" verticalDpi="300" r:id="rId1"/>
  <headerFooter alignWithMargins="0"/>
  <rowBreaks count="1" manualBreakCount="1">
    <brk id="48" min="10" max="2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>
    <tabColor rgb="FFFF3300"/>
    <pageSetUpPr fitToPage="1"/>
  </sheetPr>
  <dimension ref="A1:BC298"/>
  <sheetViews>
    <sheetView zoomScale="75" zoomScaleNormal="75" workbookViewId="0">
      <selection activeCell="A2" sqref="A2"/>
    </sheetView>
  </sheetViews>
  <sheetFormatPr defaultRowHeight="15"/>
  <cols>
    <col min="1" max="1" width="6" style="138" customWidth="1"/>
    <col min="2" max="2" width="1.44140625" style="138" customWidth="1"/>
    <col min="3" max="3" width="51.77734375" style="138" customWidth="1"/>
    <col min="4" max="4" width="1.21875" style="138" customWidth="1"/>
    <col min="5" max="5" width="37.109375" style="138" customWidth="1"/>
    <col min="6" max="6" width="1.6640625" style="138" customWidth="1"/>
    <col min="7" max="7" width="14.109375" style="138" customWidth="1"/>
    <col min="8" max="8" width="1.21875" style="138" customWidth="1"/>
    <col min="9" max="9" width="12.77734375" style="138" customWidth="1"/>
    <col min="10" max="10" width="4.77734375" style="138" customWidth="1"/>
    <col min="11" max="11" width="4.88671875" style="138" customWidth="1"/>
    <col min="12" max="12" width="1.21875" style="138" customWidth="1"/>
    <col min="13" max="13" width="24.6640625" style="138" customWidth="1"/>
    <col min="14" max="14" width="8.77734375" style="138"/>
    <col min="15" max="15" width="13.77734375" style="138" customWidth="1"/>
    <col min="16" max="16" width="17" style="138" bestFit="1" customWidth="1"/>
    <col min="17" max="17" width="12.77734375" style="138" customWidth="1"/>
    <col min="18" max="18" width="12.88671875" style="138" customWidth="1"/>
    <col min="19" max="19" width="15.6640625" style="138" customWidth="1"/>
    <col min="20" max="20" width="12.77734375" style="138" customWidth="1"/>
    <col min="21" max="21" width="11.77734375" style="138" customWidth="1"/>
    <col min="22" max="22" width="15.44140625" style="138" customWidth="1"/>
    <col min="23" max="23" width="12.6640625" style="138" customWidth="1"/>
    <col min="24" max="24" width="15.44140625" style="138" customWidth="1"/>
    <col min="25" max="246" width="8.77734375" style="138"/>
    <col min="247" max="247" width="6" style="138" customWidth="1"/>
    <col min="248" max="248" width="1.44140625" style="138" customWidth="1"/>
    <col min="249" max="249" width="39.109375" style="138" customWidth="1"/>
    <col min="250" max="250" width="12" style="138" customWidth="1"/>
    <col min="251" max="251" width="14.44140625" style="138" customWidth="1"/>
    <col min="252" max="252" width="11.88671875" style="138" customWidth="1"/>
    <col min="253" max="253" width="14.109375" style="138" customWidth="1"/>
    <col min="254" max="254" width="13.88671875" style="138" customWidth="1"/>
    <col min="255" max="256" width="12.77734375" style="138" customWidth="1"/>
    <col min="257" max="257" width="13.5546875" style="138" customWidth="1"/>
    <col min="258" max="258" width="15.33203125" style="138" customWidth="1"/>
    <col min="259" max="259" width="12.77734375" style="138" customWidth="1"/>
    <col min="260" max="260" width="13.88671875" style="138" customWidth="1"/>
    <col min="261" max="261" width="1.88671875" style="138" customWidth="1"/>
    <col min="262" max="262" width="13" style="138" customWidth="1"/>
    <col min="263" max="502" width="8.77734375" style="138"/>
    <col min="503" max="503" width="6" style="138" customWidth="1"/>
    <col min="504" max="504" width="1.44140625" style="138" customWidth="1"/>
    <col min="505" max="505" width="39.109375" style="138" customWidth="1"/>
    <col min="506" max="506" width="12" style="138" customWidth="1"/>
    <col min="507" max="507" width="14.44140625" style="138" customWidth="1"/>
    <col min="508" max="508" width="11.88671875" style="138" customWidth="1"/>
    <col min="509" max="509" width="14.109375" style="138" customWidth="1"/>
    <col min="510" max="510" width="13.88671875" style="138" customWidth="1"/>
    <col min="511" max="512" width="12.77734375" style="138" customWidth="1"/>
    <col min="513" max="513" width="13.5546875" style="138" customWidth="1"/>
    <col min="514" max="514" width="15.33203125" style="138" customWidth="1"/>
    <col min="515" max="515" width="12.77734375" style="138" customWidth="1"/>
    <col min="516" max="516" width="13.88671875" style="138" customWidth="1"/>
    <col min="517" max="517" width="1.88671875" style="138" customWidth="1"/>
    <col min="518" max="518" width="13" style="138" customWidth="1"/>
    <col min="519" max="758" width="8.77734375" style="138"/>
    <col min="759" max="759" width="6" style="138" customWidth="1"/>
    <col min="760" max="760" width="1.44140625" style="138" customWidth="1"/>
    <col min="761" max="761" width="39.109375" style="138" customWidth="1"/>
    <col min="762" max="762" width="12" style="138" customWidth="1"/>
    <col min="763" max="763" width="14.44140625" style="138" customWidth="1"/>
    <col min="764" max="764" width="11.88671875" style="138" customWidth="1"/>
    <col min="765" max="765" width="14.109375" style="138" customWidth="1"/>
    <col min="766" max="766" width="13.88671875" style="138" customWidth="1"/>
    <col min="767" max="768" width="12.77734375" style="138" customWidth="1"/>
    <col min="769" max="769" width="13.5546875" style="138" customWidth="1"/>
    <col min="770" max="770" width="15.33203125" style="138" customWidth="1"/>
    <col min="771" max="771" width="12.77734375" style="138" customWidth="1"/>
    <col min="772" max="772" width="13.88671875" style="138" customWidth="1"/>
    <col min="773" max="773" width="1.88671875" style="138" customWidth="1"/>
    <col min="774" max="774" width="13" style="138" customWidth="1"/>
    <col min="775" max="1014" width="8.77734375" style="138"/>
    <col min="1015" max="1015" width="6" style="138" customWidth="1"/>
    <col min="1016" max="1016" width="1.44140625" style="138" customWidth="1"/>
    <col min="1017" max="1017" width="39.109375" style="138" customWidth="1"/>
    <col min="1018" max="1018" width="12" style="138" customWidth="1"/>
    <col min="1019" max="1019" width="14.44140625" style="138" customWidth="1"/>
    <col min="1020" max="1020" width="11.88671875" style="138" customWidth="1"/>
    <col min="1021" max="1021" width="14.109375" style="138" customWidth="1"/>
    <col min="1022" max="1022" width="13.88671875" style="138" customWidth="1"/>
    <col min="1023" max="1024" width="12.77734375" style="138" customWidth="1"/>
    <col min="1025" max="1025" width="13.5546875" style="138" customWidth="1"/>
    <col min="1026" max="1026" width="15.33203125" style="138" customWidth="1"/>
    <col min="1027" max="1027" width="12.77734375" style="138" customWidth="1"/>
    <col min="1028" max="1028" width="13.88671875" style="138" customWidth="1"/>
    <col min="1029" max="1029" width="1.88671875" style="138" customWidth="1"/>
    <col min="1030" max="1030" width="13" style="138" customWidth="1"/>
    <col min="1031" max="1270" width="8.77734375" style="138"/>
    <col min="1271" max="1271" width="6" style="138" customWidth="1"/>
    <col min="1272" max="1272" width="1.44140625" style="138" customWidth="1"/>
    <col min="1273" max="1273" width="39.109375" style="138" customWidth="1"/>
    <col min="1274" max="1274" width="12" style="138" customWidth="1"/>
    <col min="1275" max="1275" width="14.44140625" style="138" customWidth="1"/>
    <col min="1276" max="1276" width="11.88671875" style="138" customWidth="1"/>
    <col min="1277" max="1277" width="14.109375" style="138" customWidth="1"/>
    <col min="1278" max="1278" width="13.88671875" style="138" customWidth="1"/>
    <col min="1279" max="1280" width="12.77734375" style="138" customWidth="1"/>
    <col min="1281" max="1281" width="13.5546875" style="138" customWidth="1"/>
    <col min="1282" max="1282" width="15.33203125" style="138" customWidth="1"/>
    <col min="1283" max="1283" width="12.77734375" style="138" customWidth="1"/>
    <col min="1284" max="1284" width="13.88671875" style="138" customWidth="1"/>
    <col min="1285" max="1285" width="1.88671875" style="138" customWidth="1"/>
    <col min="1286" max="1286" width="13" style="138" customWidth="1"/>
    <col min="1287" max="1526" width="8.77734375" style="138"/>
    <col min="1527" max="1527" width="6" style="138" customWidth="1"/>
    <col min="1528" max="1528" width="1.44140625" style="138" customWidth="1"/>
    <col min="1529" max="1529" width="39.109375" style="138" customWidth="1"/>
    <col min="1530" max="1530" width="12" style="138" customWidth="1"/>
    <col min="1531" max="1531" width="14.44140625" style="138" customWidth="1"/>
    <col min="1532" max="1532" width="11.88671875" style="138" customWidth="1"/>
    <col min="1533" max="1533" width="14.109375" style="138" customWidth="1"/>
    <col min="1534" max="1534" width="13.88671875" style="138" customWidth="1"/>
    <col min="1535" max="1536" width="12.77734375" style="138" customWidth="1"/>
    <col min="1537" max="1537" width="13.5546875" style="138" customWidth="1"/>
    <col min="1538" max="1538" width="15.33203125" style="138" customWidth="1"/>
    <col min="1539" max="1539" width="12.77734375" style="138" customWidth="1"/>
    <col min="1540" max="1540" width="13.88671875" style="138" customWidth="1"/>
    <col min="1541" max="1541" width="1.88671875" style="138" customWidth="1"/>
    <col min="1542" max="1542" width="13" style="138" customWidth="1"/>
    <col min="1543" max="1782" width="8.77734375" style="138"/>
    <col min="1783" max="1783" width="6" style="138" customWidth="1"/>
    <col min="1784" max="1784" width="1.44140625" style="138" customWidth="1"/>
    <col min="1785" max="1785" width="39.109375" style="138" customWidth="1"/>
    <col min="1786" max="1786" width="12" style="138" customWidth="1"/>
    <col min="1787" max="1787" width="14.44140625" style="138" customWidth="1"/>
    <col min="1788" max="1788" width="11.88671875" style="138" customWidth="1"/>
    <col min="1789" max="1789" width="14.109375" style="138" customWidth="1"/>
    <col min="1790" max="1790" width="13.88671875" style="138" customWidth="1"/>
    <col min="1791" max="1792" width="12.77734375" style="138" customWidth="1"/>
    <col min="1793" max="1793" width="13.5546875" style="138" customWidth="1"/>
    <col min="1794" max="1794" width="15.33203125" style="138" customWidth="1"/>
    <col min="1795" max="1795" width="12.77734375" style="138" customWidth="1"/>
    <col min="1796" max="1796" width="13.88671875" style="138" customWidth="1"/>
    <col min="1797" max="1797" width="1.88671875" style="138" customWidth="1"/>
    <col min="1798" max="1798" width="13" style="138" customWidth="1"/>
    <col min="1799" max="2038" width="8.77734375" style="138"/>
    <col min="2039" max="2039" width="6" style="138" customWidth="1"/>
    <col min="2040" max="2040" width="1.44140625" style="138" customWidth="1"/>
    <col min="2041" max="2041" width="39.109375" style="138" customWidth="1"/>
    <col min="2042" max="2042" width="12" style="138" customWidth="1"/>
    <col min="2043" max="2043" width="14.44140625" style="138" customWidth="1"/>
    <col min="2044" max="2044" width="11.88671875" style="138" customWidth="1"/>
    <col min="2045" max="2045" width="14.109375" style="138" customWidth="1"/>
    <col min="2046" max="2046" width="13.88671875" style="138" customWidth="1"/>
    <col min="2047" max="2048" width="12.77734375" style="138" customWidth="1"/>
    <col min="2049" max="2049" width="13.5546875" style="138" customWidth="1"/>
    <col min="2050" max="2050" width="15.33203125" style="138" customWidth="1"/>
    <col min="2051" max="2051" width="12.77734375" style="138" customWidth="1"/>
    <col min="2052" max="2052" width="13.88671875" style="138" customWidth="1"/>
    <col min="2053" max="2053" width="1.88671875" style="138" customWidth="1"/>
    <col min="2054" max="2054" width="13" style="138" customWidth="1"/>
    <col min="2055" max="2294" width="8.77734375" style="138"/>
    <col min="2295" max="2295" width="6" style="138" customWidth="1"/>
    <col min="2296" max="2296" width="1.44140625" style="138" customWidth="1"/>
    <col min="2297" max="2297" width="39.109375" style="138" customWidth="1"/>
    <col min="2298" max="2298" width="12" style="138" customWidth="1"/>
    <col min="2299" max="2299" width="14.44140625" style="138" customWidth="1"/>
    <col min="2300" max="2300" width="11.88671875" style="138" customWidth="1"/>
    <col min="2301" max="2301" width="14.109375" style="138" customWidth="1"/>
    <col min="2302" max="2302" width="13.88671875" style="138" customWidth="1"/>
    <col min="2303" max="2304" width="12.77734375" style="138" customWidth="1"/>
    <col min="2305" max="2305" width="13.5546875" style="138" customWidth="1"/>
    <col min="2306" max="2306" width="15.33203125" style="138" customWidth="1"/>
    <col min="2307" max="2307" width="12.77734375" style="138" customWidth="1"/>
    <col min="2308" max="2308" width="13.88671875" style="138" customWidth="1"/>
    <col min="2309" max="2309" width="1.88671875" style="138" customWidth="1"/>
    <col min="2310" max="2310" width="13" style="138" customWidth="1"/>
    <col min="2311" max="2550" width="8.77734375" style="138"/>
    <col min="2551" max="2551" width="6" style="138" customWidth="1"/>
    <col min="2552" max="2552" width="1.44140625" style="138" customWidth="1"/>
    <col min="2553" max="2553" width="39.109375" style="138" customWidth="1"/>
    <col min="2554" max="2554" width="12" style="138" customWidth="1"/>
    <col min="2555" max="2555" width="14.44140625" style="138" customWidth="1"/>
    <col min="2556" max="2556" width="11.88671875" style="138" customWidth="1"/>
    <col min="2557" max="2557" width="14.109375" style="138" customWidth="1"/>
    <col min="2558" max="2558" width="13.88671875" style="138" customWidth="1"/>
    <col min="2559" max="2560" width="12.77734375" style="138" customWidth="1"/>
    <col min="2561" max="2561" width="13.5546875" style="138" customWidth="1"/>
    <col min="2562" max="2562" width="15.33203125" style="138" customWidth="1"/>
    <col min="2563" max="2563" width="12.77734375" style="138" customWidth="1"/>
    <col min="2564" max="2564" width="13.88671875" style="138" customWidth="1"/>
    <col min="2565" max="2565" width="1.88671875" style="138" customWidth="1"/>
    <col min="2566" max="2566" width="13" style="138" customWidth="1"/>
    <col min="2567" max="2806" width="8.77734375" style="138"/>
    <col min="2807" max="2807" width="6" style="138" customWidth="1"/>
    <col min="2808" max="2808" width="1.44140625" style="138" customWidth="1"/>
    <col min="2809" max="2809" width="39.109375" style="138" customWidth="1"/>
    <col min="2810" max="2810" width="12" style="138" customWidth="1"/>
    <col min="2811" max="2811" width="14.44140625" style="138" customWidth="1"/>
    <col min="2812" max="2812" width="11.88671875" style="138" customWidth="1"/>
    <col min="2813" max="2813" width="14.109375" style="138" customWidth="1"/>
    <col min="2814" max="2814" width="13.88671875" style="138" customWidth="1"/>
    <col min="2815" max="2816" width="12.77734375" style="138" customWidth="1"/>
    <col min="2817" max="2817" width="13.5546875" style="138" customWidth="1"/>
    <col min="2818" max="2818" width="15.33203125" style="138" customWidth="1"/>
    <col min="2819" max="2819" width="12.77734375" style="138" customWidth="1"/>
    <col min="2820" max="2820" width="13.88671875" style="138" customWidth="1"/>
    <col min="2821" max="2821" width="1.88671875" style="138" customWidth="1"/>
    <col min="2822" max="2822" width="13" style="138" customWidth="1"/>
    <col min="2823" max="3062" width="8.77734375" style="138"/>
    <col min="3063" max="3063" width="6" style="138" customWidth="1"/>
    <col min="3064" max="3064" width="1.44140625" style="138" customWidth="1"/>
    <col min="3065" max="3065" width="39.109375" style="138" customWidth="1"/>
    <col min="3066" max="3066" width="12" style="138" customWidth="1"/>
    <col min="3067" max="3067" width="14.44140625" style="138" customWidth="1"/>
    <col min="3068" max="3068" width="11.88671875" style="138" customWidth="1"/>
    <col min="3069" max="3069" width="14.109375" style="138" customWidth="1"/>
    <col min="3070" max="3070" width="13.88671875" style="138" customWidth="1"/>
    <col min="3071" max="3072" width="12.77734375" style="138" customWidth="1"/>
    <col min="3073" max="3073" width="13.5546875" style="138" customWidth="1"/>
    <col min="3074" max="3074" width="15.33203125" style="138" customWidth="1"/>
    <col min="3075" max="3075" width="12.77734375" style="138" customWidth="1"/>
    <col min="3076" max="3076" width="13.88671875" style="138" customWidth="1"/>
    <col min="3077" max="3077" width="1.88671875" style="138" customWidth="1"/>
    <col min="3078" max="3078" width="13" style="138" customWidth="1"/>
    <col min="3079" max="3318" width="8.77734375" style="138"/>
    <col min="3319" max="3319" width="6" style="138" customWidth="1"/>
    <col min="3320" max="3320" width="1.44140625" style="138" customWidth="1"/>
    <col min="3321" max="3321" width="39.109375" style="138" customWidth="1"/>
    <col min="3322" max="3322" width="12" style="138" customWidth="1"/>
    <col min="3323" max="3323" width="14.44140625" style="138" customWidth="1"/>
    <col min="3324" max="3324" width="11.88671875" style="138" customWidth="1"/>
    <col min="3325" max="3325" width="14.109375" style="138" customWidth="1"/>
    <col min="3326" max="3326" width="13.88671875" style="138" customWidth="1"/>
    <col min="3327" max="3328" width="12.77734375" style="138" customWidth="1"/>
    <col min="3329" max="3329" width="13.5546875" style="138" customWidth="1"/>
    <col min="3330" max="3330" width="15.33203125" style="138" customWidth="1"/>
    <col min="3331" max="3331" width="12.77734375" style="138" customWidth="1"/>
    <col min="3332" max="3332" width="13.88671875" style="138" customWidth="1"/>
    <col min="3333" max="3333" width="1.88671875" style="138" customWidth="1"/>
    <col min="3334" max="3334" width="13" style="138" customWidth="1"/>
    <col min="3335" max="3574" width="8.77734375" style="138"/>
    <col min="3575" max="3575" width="6" style="138" customWidth="1"/>
    <col min="3576" max="3576" width="1.44140625" style="138" customWidth="1"/>
    <col min="3577" max="3577" width="39.109375" style="138" customWidth="1"/>
    <col min="3578" max="3578" width="12" style="138" customWidth="1"/>
    <col min="3579" max="3579" width="14.44140625" style="138" customWidth="1"/>
    <col min="3580" max="3580" width="11.88671875" style="138" customWidth="1"/>
    <col min="3581" max="3581" width="14.109375" style="138" customWidth="1"/>
    <col min="3582" max="3582" width="13.88671875" style="138" customWidth="1"/>
    <col min="3583" max="3584" width="12.77734375" style="138" customWidth="1"/>
    <col min="3585" max="3585" width="13.5546875" style="138" customWidth="1"/>
    <col min="3586" max="3586" width="15.33203125" style="138" customWidth="1"/>
    <col min="3587" max="3587" width="12.77734375" style="138" customWidth="1"/>
    <col min="3588" max="3588" width="13.88671875" style="138" customWidth="1"/>
    <col min="3589" max="3589" width="1.88671875" style="138" customWidth="1"/>
    <col min="3590" max="3590" width="13" style="138" customWidth="1"/>
    <col min="3591" max="3830" width="8.77734375" style="138"/>
    <col min="3831" max="3831" width="6" style="138" customWidth="1"/>
    <col min="3832" max="3832" width="1.44140625" style="138" customWidth="1"/>
    <col min="3833" max="3833" width="39.109375" style="138" customWidth="1"/>
    <col min="3834" max="3834" width="12" style="138" customWidth="1"/>
    <col min="3835" max="3835" width="14.44140625" style="138" customWidth="1"/>
    <col min="3836" max="3836" width="11.88671875" style="138" customWidth="1"/>
    <col min="3837" max="3837" width="14.109375" style="138" customWidth="1"/>
    <col min="3838" max="3838" width="13.88671875" style="138" customWidth="1"/>
    <col min="3839" max="3840" width="12.77734375" style="138" customWidth="1"/>
    <col min="3841" max="3841" width="13.5546875" style="138" customWidth="1"/>
    <col min="3842" max="3842" width="15.33203125" style="138" customWidth="1"/>
    <col min="3843" max="3843" width="12.77734375" style="138" customWidth="1"/>
    <col min="3844" max="3844" width="13.88671875" style="138" customWidth="1"/>
    <col min="3845" max="3845" width="1.88671875" style="138" customWidth="1"/>
    <col min="3846" max="3846" width="13" style="138" customWidth="1"/>
    <col min="3847" max="4086" width="8.77734375" style="138"/>
    <col min="4087" max="4087" width="6" style="138" customWidth="1"/>
    <col min="4088" max="4088" width="1.44140625" style="138" customWidth="1"/>
    <col min="4089" max="4089" width="39.109375" style="138" customWidth="1"/>
    <col min="4090" max="4090" width="12" style="138" customWidth="1"/>
    <col min="4091" max="4091" width="14.44140625" style="138" customWidth="1"/>
    <col min="4092" max="4092" width="11.88671875" style="138" customWidth="1"/>
    <col min="4093" max="4093" width="14.109375" style="138" customWidth="1"/>
    <col min="4094" max="4094" width="13.88671875" style="138" customWidth="1"/>
    <col min="4095" max="4096" width="12.77734375" style="138" customWidth="1"/>
    <col min="4097" max="4097" width="13.5546875" style="138" customWidth="1"/>
    <col min="4098" max="4098" width="15.33203125" style="138" customWidth="1"/>
    <col min="4099" max="4099" width="12.77734375" style="138" customWidth="1"/>
    <col min="4100" max="4100" width="13.88671875" style="138" customWidth="1"/>
    <col min="4101" max="4101" width="1.88671875" style="138" customWidth="1"/>
    <col min="4102" max="4102" width="13" style="138" customWidth="1"/>
    <col min="4103" max="4342" width="8.77734375" style="138"/>
    <col min="4343" max="4343" width="6" style="138" customWidth="1"/>
    <col min="4344" max="4344" width="1.44140625" style="138" customWidth="1"/>
    <col min="4345" max="4345" width="39.109375" style="138" customWidth="1"/>
    <col min="4346" max="4346" width="12" style="138" customWidth="1"/>
    <col min="4347" max="4347" width="14.44140625" style="138" customWidth="1"/>
    <col min="4348" max="4348" width="11.88671875" style="138" customWidth="1"/>
    <col min="4349" max="4349" width="14.109375" style="138" customWidth="1"/>
    <col min="4350" max="4350" width="13.88671875" style="138" customWidth="1"/>
    <col min="4351" max="4352" width="12.77734375" style="138" customWidth="1"/>
    <col min="4353" max="4353" width="13.5546875" style="138" customWidth="1"/>
    <col min="4354" max="4354" width="15.33203125" style="138" customWidth="1"/>
    <col min="4355" max="4355" width="12.77734375" style="138" customWidth="1"/>
    <col min="4356" max="4356" width="13.88671875" style="138" customWidth="1"/>
    <col min="4357" max="4357" width="1.88671875" style="138" customWidth="1"/>
    <col min="4358" max="4358" width="13" style="138" customWidth="1"/>
    <col min="4359" max="4598" width="8.77734375" style="138"/>
    <col min="4599" max="4599" width="6" style="138" customWidth="1"/>
    <col min="4600" max="4600" width="1.44140625" style="138" customWidth="1"/>
    <col min="4601" max="4601" width="39.109375" style="138" customWidth="1"/>
    <col min="4602" max="4602" width="12" style="138" customWidth="1"/>
    <col min="4603" max="4603" width="14.44140625" style="138" customWidth="1"/>
    <col min="4604" max="4604" width="11.88671875" style="138" customWidth="1"/>
    <col min="4605" max="4605" width="14.109375" style="138" customWidth="1"/>
    <col min="4606" max="4606" width="13.88671875" style="138" customWidth="1"/>
    <col min="4607" max="4608" width="12.77734375" style="138" customWidth="1"/>
    <col min="4609" max="4609" width="13.5546875" style="138" customWidth="1"/>
    <col min="4610" max="4610" width="15.33203125" style="138" customWidth="1"/>
    <col min="4611" max="4611" width="12.77734375" style="138" customWidth="1"/>
    <col min="4612" max="4612" width="13.88671875" style="138" customWidth="1"/>
    <col min="4613" max="4613" width="1.88671875" style="138" customWidth="1"/>
    <col min="4614" max="4614" width="13" style="138" customWidth="1"/>
    <col min="4615" max="4854" width="8.77734375" style="138"/>
    <col min="4855" max="4855" width="6" style="138" customWidth="1"/>
    <col min="4856" max="4856" width="1.44140625" style="138" customWidth="1"/>
    <col min="4857" max="4857" width="39.109375" style="138" customWidth="1"/>
    <col min="4858" max="4858" width="12" style="138" customWidth="1"/>
    <col min="4859" max="4859" width="14.44140625" style="138" customWidth="1"/>
    <col min="4860" max="4860" width="11.88671875" style="138" customWidth="1"/>
    <col min="4861" max="4861" width="14.109375" style="138" customWidth="1"/>
    <col min="4862" max="4862" width="13.88671875" style="138" customWidth="1"/>
    <col min="4863" max="4864" width="12.77734375" style="138" customWidth="1"/>
    <col min="4865" max="4865" width="13.5546875" style="138" customWidth="1"/>
    <col min="4866" max="4866" width="15.33203125" style="138" customWidth="1"/>
    <col min="4867" max="4867" width="12.77734375" style="138" customWidth="1"/>
    <col min="4868" max="4868" width="13.88671875" style="138" customWidth="1"/>
    <col min="4869" max="4869" width="1.88671875" style="138" customWidth="1"/>
    <col min="4870" max="4870" width="13" style="138" customWidth="1"/>
    <col min="4871" max="5110" width="8.77734375" style="138"/>
    <col min="5111" max="5111" width="6" style="138" customWidth="1"/>
    <col min="5112" max="5112" width="1.44140625" style="138" customWidth="1"/>
    <col min="5113" max="5113" width="39.109375" style="138" customWidth="1"/>
    <col min="5114" max="5114" width="12" style="138" customWidth="1"/>
    <col min="5115" max="5115" width="14.44140625" style="138" customWidth="1"/>
    <col min="5116" max="5116" width="11.88671875" style="138" customWidth="1"/>
    <col min="5117" max="5117" width="14.109375" style="138" customWidth="1"/>
    <col min="5118" max="5118" width="13.88671875" style="138" customWidth="1"/>
    <col min="5119" max="5120" width="12.77734375" style="138" customWidth="1"/>
    <col min="5121" max="5121" width="13.5546875" style="138" customWidth="1"/>
    <col min="5122" max="5122" width="15.33203125" style="138" customWidth="1"/>
    <col min="5123" max="5123" width="12.77734375" style="138" customWidth="1"/>
    <col min="5124" max="5124" width="13.88671875" style="138" customWidth="1"/>
    <col min="5125" max="5125" width="1.88671875" style="138" customWidth="1"/>
    <col min="5126" max="5126" width="13" style="138" customWidth="1"/>
    <col min="5127" max="5366" width="8.77734375" style="138"/>
    <col min="5367" max="5367" width="6" style="138" customWidth="1"/>
    <col min="5368" max="5368" width="1.44140625" style="138" customWidth="1"/>
    <col min="5369" max="5369" width="39.109375" style="138" customWidth="1"/>
    <col min="5370" max="5370" width="12" style="138" customWidth="1"/>
    <col min="5371" max="5371" width="14.44140625" style="138" customWidth="1"/>
    <col min="5372" max="5372" width="11.88671875" style="138" customWidth="1"/>
    <col min="5373" max="5373" width="14.109375" style="138" customWidth="1"/>
    <col min="5374" max="5374" width="13.88671875" style="138" customWidth="1"/>
    <col min="5375" max="5376" width="12.77734375" style="138" customWidth="1"/>
    <col min="5377" max="5377" width="13.5546875" style="138" customWidth="1"/>
    <col min="5378" max="5378" width="15.33203125" style="138" customWidth="1"/>
    <col min="5379" max="5379" width="12.77734375" style="138" customWidth="1"/>
    <col min="5380" max="5380" width="13.88671875" style="138" customWidth="1"/>
    <col min="5381" max="5381" width="1.88671875" style="138" customWidth="1"/>
    <col min="5382" max="5382" width="13" style="138" customWidth="1"/>
    <col min="5383" max="5622" width="8.77734375" style="138"/>
    <col min="5623" max="5623" width="6" style="138" customWidth="1"/>
    <col min="5624" max="5624" width="1.44140625" style="138" customWidth="1"/>
    <col min="5625" max="5625" width="39.109375" style="138" customWidth="1"/>
    <col min="5626" max="5626" width="12" style="138" customWidth="1"/>
    <col min="5627" max="5627" width="14.44140625" style="138" customWidth="1"/>
    <col min="5628" max="5628" width="11.88671875" style="138" customWidth="1"/>
    <col min="5629" max="5629" width="14.109375" style="138" customWidth="1"/>
    <col min="5630" max="5630" width="13.88671875" style="138" customWidth="1"/>
    <col min="5631" max="5632" width="12.77734375" style="138" customWidth="1"/>
    <col min="5633" max="5633" width="13.5546875" style="138" customWidth="1"/>
    <col min="5634" max="5634" width="15.33203125" style="138" customWidth="1"/>
    <col min="5635" max="5635" width="12.77734375" style="138" customWidth="1"/>
    <col min="5636" max="5636" width="13.88671875" style="138" customWidth="1"/>
    <col min="5637" max="5637" width="1.88671875" style="138" customWidth="1"/>
    <col min="5638" max="5638" width="13" style="138" customWidth="1"/>
    <col min="5639" max="5878" width="8.77734375" style="138"/>
    <col min="5879" max="5879" width="6" style="138" customWidth="1"/>
    <col min="5880" max="5880" width="1.44140625" style="138" customWidth="1"/>
    <col min="5881" max="5881" width="39.109375" style="138" customWidth="1"/>
    <col min="5882" max="5882" width="12" style="138" customWidth="1"/>
    <col min="5883" max="5883" width="14.44140625" style="138" customWidth="1"/>
    <col min="5884" max="5884" width="11.88671875" style="138" customWidth="1"/>
    <col min="5885" max="5885" width="14.109375" style="138" customWidth="1"/>
    <col min="5886" max="5886" width="13.88671875" style="138" customWidth="1"/>
    <col min="5887" max="5888" width="12.77734375" style="138" customWidth="1"/>
    <col min="5889" max="5889" width="13.5546875" style="138" customWidth="1"/>
    <col min="5890" max="5890" width="15.33203125" style="138" customWidth="1"/>
    <col min="5891" max="5891" width="12.77734375" style="138" customWidth="1"/>
    <col min="5892" max="5892" width="13.88671875" style="138" customWidth="1"/>
    <col min="5893" max="5893" width="1.88671875" style="138" customWidth="1"/>
    <col min="5894" max="5894" width="13" style="138" customWidth="1"/>
    <col min="5895" max="6134" width="8.77734375" style="138"/>
    <col min="6135" max="6135" width="6" style="138" customWidth="1"/>
    <col min="6136" max="6136" width="1.44140625" style="138" customWidth="1"/>
    <col min="6137" max="6137" width="39.109375" style="138" customWidth="1"/>
    <col min="6138" max="6138" width="12" style="138" customWidth="1"/>
    <col min="6139" max="6139" width="14.44140625" style="138" customWidth="1"/>
    <col min="6140" max="6140" width="11.88671875" style="138" customWidth="1"/>
    <col min="6141" max="6141" width="14.109375" style="138" customWidth="1"/>
    <col min="6142" max="6142" width="13.88671875" style="138" customWidth="1"/>
    <col min="6143" max="6144" width="12.77734375" style="138" customWidth="1"/>
    <col min="6145" max="6145" width="13.5546875" style="138" customWidth="1"/>
    <col min="6146" max="6146" width="15.33203125" style="138" customWidth="1"/>
    <col min="6147" max="6147" width="12.77734375" style="138" customWidth="1"/>
    <col min="6148" max="6148" width="13.88671875" style="138" customWidth="1"/>
    <col min="6149" max="6149" width="1.88671875" style="138" customWidth="1"/>
    <col min="6150" max="6150" width="13" style="138" customWidth="1"/>
    <col min="6151" max="6390" width="8.77734375" style="138"/>
    <col min="6391" max="6391" width="6" style="138" customWidth="1"/>
    <col min="6392" max="6392" width="1.44140625" style="138" customWidth="1"/>
    <col min="6393" max="6393" width="39.109375" style="138" customWidth="1"/>
    <col min="6394" max="6394" width="12" style="138" customWidth="1"/>
    <col min="6395" max="6395" width="14.44140625" style="138" customWidth="1"/>
    <col min="6396" max="6396" width="11.88671875" style="138" customWidth="1"/>
    <col min="6397" max="6397" width="14.109375" style="138" customWidth="1"/>
    <col min="6398" max="6398" width="13.88671875" style="138" customWidth="1"/>
    <col min="6399" max="6400" width="12.77734375" style="138" customWidth="1"/>
    <col min="6401" max="6401" width="13.5546875" style="138" customWidth="1"/>
    <col min="6402" max="6402" width="15.33203125" style="138" customWidth="1"/>
    <col min="6403" max="6403" width="12.77734375" style="138" customWidth="1"/>
    <col min="6404" max="6404" width="13.88671875" style="138" customWidth="1"/>
    <col min="6405" max="6405" width="1.88671875" style="138" customWidth="1"/>
    <col min="6406" max="6406" width="13" style="138" customWidth="1"/>
    <col min="6407" max="6646" width="8.77734375" style="138"/>
    <col min="6647" max="6647" width="6" style="138" customWidth="1"/>
    <col min="6648" max="6648" width="1.44140625" style="138" customWidth="1"/>
    <col min="6649" max="6649" width="39.109375" style="138" customWidth="1"/>
    <col min="6650" max="6650" width="12" style="138" customWidth="1"/>
    <col min="6651" max="6651" width="14.44140625" style="138" customWidth="1"/>
    <col min="6652" max="6652" width="11.88671875" style="138" customWidth="1"/>
    <col min="6653" max="6653" width="14.109375" style="138" customWidth="1"/>
    <col min="6654" max="6654" width="13.88671875" style="138" customWidth="1"/>
    <col min="6655" max="6656" width="12.77734375" style="138" customWidth="1"/>
    <col min="6657" max="6657" width="13.5546875" style="138" customWidth="1"/>
    <col min="6658" max="6658" width="15.33203125" style="138" customWidth="1"/>
    <col min="6659" max="6659" width="12.77734375" style="138" customWidth="1"/>
    <col min="6660" max="6660" width="13.88671875" style="138" customWidth="1"/>
    <col min="6661" max="6661" width="1.88671875" style="138" customWidth="1"/>
    <col min="6662" max="6662" width="13" style="138" customWidth="1"/>
    <col min="6663" max="6902" width="8.77734375" style="138"/>
    <col min="6903" max="6903" width="6" style="138" customWidth="1"/>
    <col min="6904" max="6904" width="1.44140625" style="138" customWidth="1"/>
    <col min="6905" max="6905" width="39.109375" style="138" customWidth="1"/>
    <col min="6906" max="6906" width="12" style="138" customWidth="1"/>
    <col min="6907" max="6907" width="14.44140625" style="138" customWidth="1"/>
    <col min="6908" max="6908" width="11.88671875" style="138" customWidth="1"/>
    <col min="6909" max="6909" width="14.109375" style="138" customWidth="1"/>
    <col min="6910" max="6910" width="13.88671875" style="138" customWidth="1"/>
    <col min="6911" max="6912" width="12.77734375" style="138" customWidth="1"/>
    <col min="6913" max="6913" width="13.5546875" style="138" customWidth="1"/>
    <col min="6914" max="6914" width="15.33203125" style="138" customWidth="1"/>
    <col min="6915" max="6915" width="12.77734375" style="138" customWidth="1"/>
    <col min="6916" max="6916" width="13.88671875" style="138" customWidth="1"/>
    <col min="6917" max="6917" width="1.88671875" style="138" customWidth="1"/>
    <col min="6918" max="6918" width="13" style="138" customWidth="1"/>
    <col min="6919" max="7158" width="8.77734375" style="138"/>
    <col min="7159" max="7159" width="6" style="138" customWidth="1"/>
    <col min="7160" max="7160" width="1.44140625" style="138" customWidth="1"/>
    <col min="7161" max="7161" width="39.109375" style="138" customWidth="1"/>
    <col min="7162" max="7162" width="12" style="138" customWidth="1"/>
    <col min="7163" max="7163" width="14.44140625" style="138" customWidth="1"/>
    <col min="7164" max="7164" width="11.88671875" style="138" customWidth="1"/>
    <col min="7165" max="7165" width="14.109375" style="138" customWidth="1"/>
    <col min="7166" max="7166" width="13.88671875" style="138" customWidth="1"/>
    <col min="7167" max="7168" width="12.77734375" style="138" customWidth="1"/>
    <col min="7169" max="7169" width="13.5546875" style="138" customWidth="1"/>
    <col min="7170" max="7170" width="15.33203125" style="138" customWidth="1"/>
    <col min="7171" max="7171" width="12.77734375" style="138" customWidth="1"/>
    <col min="7172" max="7172" width="13.88671875" style="138" customWidth="1"/>
    <col min="7173" max="7173" width="1.88671875" style="138" customWidth="1"/>
    <col min="7174" max="7174" width="13" style="138" customWidth="1"/>
    <col min="7175" max="7414" width="8.77734375" style="138"/>
    <col min="7415" max="7415" width="6" style="138" customWidth="1"/>
    <col min="7416" max="7416" width="1.44140625" style="138" customWidth="1"/>
    <col min="7417" max="7417" width="39.109375" style="138" customWidth="1"/>
    <col min="7418" max="7418" width="12" style="138" customWidth="1"/>
    <col min="7419" max="7419" width="14.44140625" style="138" customWidth="1"/>
    <col min="7420" max="7420" width="11.88671875" style="138" customWidth="1"/>
    <col min="7421" max="7421" width="14.109375" style="138" customWidth="1"/>
    <col min="7422" max="7422" width="13.88671875" style="138" customWidth="1"/>
    <col min="7423" max="7424" width="12.77734375" style="138" customWidth="1"/>
    <col min="7425" max="7425" width="13.5546875" style="138" customWidth="1"/>
    <col min="7426" max="7426" width="15.33203125" style="138" customWidth="1"/>
    <col min="7427" max="7427" width="12.77734375" style="138" customWidth="1"/>
    <col min="7428" max="7428" width="13.88671875" style="138" customWidth="1"/>
    <col min="7429" max="7429" width="1.88671875" style="138" customWidth="1"/>
    <col min="7430" max="7430" width="13" style="138" customWidth="1"/>
    <col min="7431" max="7670" width="8.77734375" style="138"/>
    <col min="7671" max="7671" width="6" style="138" customWidth="1"/>
    <col min="7672" max="7672" width="1.44140625" style="138" customWidth="1"/>
    <col min="7673" max="7673" width="39.109375" style="138" customWidth="1"/>
    <col min="7674" max="7674" width="12" style="138" customWidth="1"/>
    <col min="7675" max="7675" width="14.44140625" style="138" customWidth="1"/>
    <col min="7676" max="7676" width="11.88671875" style="138" customWidth="1"/>
    <col min="7677" max="7677" width="14.109375" style="138" customWidth="1"/>
    <col min="7678" max="7678" width="13.88671875" style="138" customWidth="1"/>
    <col min="7679" max="7680" width="12.77734375" style="138" customWidth="1"/>
    <col min="7681" max="7681" width="13.5546875" style="138" customWidth="1"/>
    <col min="7682" max="7682" width="15.33203125" style="138" customWidth="1"/>
    <col min="7683" max="7683" width="12.77734375" style="138" customWidth="1"/>
    <col min="7684" max="7684" width="13.88671875" style="138" customWidth="1"/>
    <col min="7685" max="7685" width="1.88671875" style="138" customWidth="1"/>
    <col min="7686" max="7686" width="13" style="138" customWidth="1"/>
    <col min="7687" max="7926" width="8.77734375" style="138"/>
    <col min="7927" max="7927" width="6" style="138" customWidth="1"/>
    <col min="7928" max="7928" width="1.44140625" style="138" customWidth="1"/>
    <col min="7929" max="7929" width="39.109375" style="138" customWidth="1"/>
    <col min="7930" max="7930" width="12" style="138" customWidth="1"/>
    <col min="7931" max="7931" width="14.44140625" style="138" customWidth="1"/>
    <col min="7932" max="7932" width="11.88671875" style="138" customWidth="1"/>
    <col min="7933" max="7933" width="14.109375" style="138" customWidth="1"/>
    <col min="7934" max="7934" width="13.88671875" style="138" customWidth="1"/>
    <col min="7935" max="7936" width="12.77734375" style="138" customWidth="1"/>
    <col min="7937" max="7937" width="13.5546875" style="138" customWidth="1"/>
    <col min="7938" max="7938" width="15.33203125" style="138" customWidth="1"/>
    <col min="7939" max="7939" width="12.77734375" style="138" customWidth="1"/>
    <col min="7940" max="7940" width="13.88671875" style="138" customWidth="1"/>
    <col min="7941" max="7941" width="1.88671875" style="138" customWidth="1"/>
    <col min="7942" max="7942" width="13" style="138" customWidth="1"/>
    <col min="7943" max="8182" width="8.77734375" style="138"/>
    <col min="8183" max="8183" width="6" style="138" customWidth="1"/>
    <col min="8184" max="8184" width="1.44140625" style="138" customWidth="1"/>
    <col min="8185" max="8185" width="39.109375" style="138" customWidth="1"/>
    <col min="8186" max="8186" width="12" style="138" customWidth="1"/>
    <col min="8187" max="8187" width="14.44140625" style="138" customWidth="1"/>
    <col min="8188" max="8188" width="11.88671875" style="138" customWidth="1"/>
    <col min="8189" max="8189" width="14.109375" style="138" customWidth="1"/>
    <col min="8190" max="8190" width="13.88671875" style="138" customWidth="1"/>
    <col min="8191" max="8192" width="12.77734375" style="138" customWidth="1"/>
    <col min="8193" max="8193" width="13.5546875" style="138" customWidth="1"/>
    <col min="8194" max="8194" width="15.33203125" style="138" customWidth="1"/>
    <col min="8195" max="8195" width="12.77734375" style="138" customWidth="1"/>
    <col min="8196" max="8196" width="13.88671875" style="138" customWidth="1"/>
    <col min="8197" max="8197" width="1.88671875" style="138" customWidth="1"/>
    <col min="8198" max="8198" width="13" style="138" customWidth="1"/>
    <col min="8199" max="8438" width="8.77734375" style="138"/>
    <col min="8439" max="8439" width="6" style="138" customWidth="1"/>
    <col min="8440" max="8440" width="1.44140625" style="138" customWidth="1"/>
    <col min="8441" max="8441" width="39.109375" style="138" customWidth="1"/>
    <col min="8442" max="8442" width="12" style="138" customWidth="1"/>
    <col min="8443" max="8443" width="14.44140625" style="138" customWidth="1"/>
    <col min="8444" max="8444" width="11.88671875" style="138" customWidth="1"/>
    <col min="8445" max="8445" width="14.109375" style="138" customWidth="1"/>
    <col min="8446" max="8446" width="13.88671875" style="138" customWidth="1"/>
    <col min="8447" max="8448" width="12.77734375" style="138" customWidth="1"/>
    <col min="8449" max="8449" width="13.5546875" style="138" customWidth="1"/>
    <col min="8450" max="8450" width="15.33203125" style="138" customWidth="1"/>
    <col min="8451" max="8451" width="12.77734375" style="138" customWidth="1"/>
    <col min="8452" max="8452" width="13.88671875" style="138" customWidth="1"/>
    <col min="8453" max="8453" width="1.88671875" style="138" customWidth="1"/>
    <col min="8454" max="8454" width="13" style="138" customWidth="1"/>
    <col min="8455" max="8694" width="8.77734375" style="138"/>
    <col min="8695" max="8695" width="6" style="138" customWidth="1"/>
    <col min="8696" max="8696" width="1.44140625" style="138" customWidth="1"/>
    <col min="8697" max="8697" width="39.109375" style="138" customWidth="1"/>
    <col min="8698" max="8698" width="12" style="138" customWidth="1"/>
    <col min="8699" max="8699" width="14.44140625" style="138" customWidth="1"/>
    <col min="8700" max="8700" width="11.88671875" style="138" customWidth="1"/>
    <col min="8701" max="8701" width="14.109375" style="138" customWidth="1"/>
    <col min="8702" max="8702" width="13.88671875" style="138" customWidth="1"/>
    <col min="8703" max="8704" width="12.77734375" style="138" customWidth="1"/>
    <col min="8705" max="8705" width="13.5546875" style="138" customWidth="1"/>
    <col min="8706" max="8706" width="15.33203125" style="138" customWidth="1"/>
    <col min="8707" max="8707" width="12.77734375" style="138" customWidth="1"/>
    <col min="8708" max="8708" width="13.88671875" style="138" customWidth="1"/>
    <col min="8709" max="8709" width="1.88671875" style="138" customWidth="1"/>
    <col min="8710" max="8710" width="13" style="138" customWidth="1"/>
    <col min="8711" max="8950" width="8.77734375" style="138"/>
    <col min="8951" max="8951" width="6" style="138" customWidth="1"/>
    <col min="8952" max="8952" width="1.44140625" style="138" customWidth="1"/>
    <col min="8953" max="8953" width="39.109375" style="138" customWidth="1"/>
    <col min="8954" max="8954" width="12" style="138" customWidth="1"/>
    <col min="8955" max="8955" width="14.44140625" style="138" customWidth="1"/>
    <col min="8956" max="8956" width="11.88671875" style="138" customWidth="1"/>
    <col min="8957" max="8957" width="14.109375" style="138" customWidth="1"/>
    <col min="8958" max="8958" width="13.88671875" style="138" customWidth="1"/>
    <col min="8959" max="8960" width="12.77734375" style="138" customWidth="1"/>
    <col min="8961" max="8961" width="13.5546875" style="138" customWidth="1"/>
    <col min="8962" max="8962" width="15.33203125" style="138" customWidth="1"/>
    <col min="8963" max="8963" width="12.77734375" style="138" customWidth="1"/>
    <col min="8964" max="8964" width="13.88671875" style="138" customWidth="1"/>
    <col min="8965" max="8965" width="1.88671875" style="138" customWidth="1"/>
    <col min="8966" max="8966" width="13" style="138" customWidth="1"/>
    <col min="8967" max="9206" width="8.77734375" style="138"/>
    <col min="9207" max="9207" width="6" style="138" customWidth="1"/>
    <col min="9208" max="9208" width="1.44140625" style="138" customWidth="1"/>
    <col min="9209" max="9209" width="39.109375" style="138" customWidth="1"/>
    <col min="9210" max="9210" width="12" style="138" customWidth="1"/>
    <col min="9211" max="9211" width="14.44140625" style="138" customWidth="1"/>
    <col min="9212" max="9212" width="11.88671875" style="138" customWidth="1"/>
    <col min="9213" max="9213" width="14.109375" style="138" customWidth="1"/>
    <col min="9214" max="9214" width="13.88671875" style="138" customWidth="1"/>
    <col min="9215" max="9216" width="12.77734375" style="138" customWidth="1"/>
    <col min="9217" max="9217" width="13.5546875" style="138" customWidth="1"/>
    <col min="9218" max="9218" width="15.33203125" style="138" customWidth="1"/>
    <col min="9219" max="9219" width="12.77734375" style="138" customWidth="1"/>
    <col min="9220" max="9220" width="13.88671875" style="138" customWidth="1"/>
    <col min="9221" max="9221" width="1.88671875" style="138" customWidth="1"/>
    <col min="9222" max="9222" width="13" style="138" customWidth="1"/>
    <col min="9223" max="9462" width="8.77734375" style="138"/>
    <col min="9463" max="9463" width="6" style="138" customWidth="1"/>
    <col min="9464" max="9464" width="1.44140625" style="138" customWidth="1"/>
    <col min="9465" max="9465" width="39.109375" style="138" customWidth="1"/>
    <col min="9466" max="9466" width="12" style="138" customWidth="1"/>
    <col min="9467" max="9467" width="14.44140625" style="138" customWidth="1"/>
    <col min="9468" max="9468" width="11.88671875" style="138" customWidth="1"/>
    <col min="9469" max="9469" width="14.109375" style="138" customWidth="1"/>
    <col min="9470" max="9470" width="13.88671875" style="138" customWidth="1"/>
    <col min="9471" max="9472" width="12.77734375" style="138" customWidth="1"/>
    <col min="9473" max="9473" width="13.5546875" style="138" customWidth="1"/>
    <col min="9474" max="9474" width="15.33203125" style="138" customWidth="1"/>
    <col min="9475" max="9475" width="12.77734375" style="138" customWidth="1"/>
    <col min="9476" max="9476" width="13.88671875" style="138" customWidth="1"/>
    <col min="9477" max="9477" width="1.88671875" style="138" customWidth="1"/>
    <col min="9478" max="9478" width="13" style="138" customWidth="1"/>
    <col min="9479" max="9718" width="8.77734375" style="138"/>
    <col min="9719" max="9719" width="6" style="138" customWidth="1"/>
    <col min="9720" max="9720" width="1.44140625" style="138" customWidth="1"/>
    <col min="9721" max="9721" width="39.109375" style="138" customWidth="1"/>
    <col min="9722" max="9722" width="12" style="138" customWidth="1"/>
    <col min="9723" max="9723" width="14.44140625" style="138" customWidth="1"/>
    <col min="9724" max="9724" width="11.88671875" style="138" customWidth="1"/>
    <col min="9725" max="9725" width="14.109375" style="138" customWidth="1"/>
    <col min="9726" max="9726" width="13.88671875" style="138" customWidth="1"/>
    <col min="9727" max="9728" width="12.77734375" style="138" customWidth="1"/>
    <col min="9729" max="9729" width="13.5546875" style="138" customWidth="1"/>
    <col min="9730" max="9730" width="15.33203125" style="138" customWidth="1"/>
    <col min="9731" max="9731" width="12.77734375" style="138" customWidth="1"/>
    <col min="9732" max="9732" width="13.88671875" style="138" customWidth="1"/>
    <col min="9733" max="9733" width="1.88671875" style="138" customWidth="1"/>
    <col min="9734" max="9734" width="13" style="138" customWidth="1"/>
    <col min="9735" max="9974" width="8.77734375" style="138"/>
    <col min="9975" max="9975" width="6" style="138" customWidth="1"/>
    <col min="9976" max="9976" width="1.44140625" style="138" customWidth="1"/>
    <col min="9977" max="9977" width="39.109375" style="138" customWidth="1"/>
    <col min="9978" max="9978" width="12" style="138" customWidth="1"/>
    <col min="9979" max="9979" width="14.44140625" style="138" customWidth="1"/>
    <col min="9980" max="9980" width="11.88671875" style="138" customWidth="1"/>
    <col min="9981" max="9981" width="14.109375" style="138" customWidth="1"/>
    <col min="9982" max="9982" width="13.88671875" style="138" customWidth="1"/>
    <col min="9983" max="9984" width="12.77734375" style="138" customWidth="1"/>
    <col min="9985" max="9985" width="13.5546875" style="138" customWidth="1"/>
    <col min="9986" max="9986" width="15.33203125" style="138" customWidth="1"/>
    <col min="9987" max="9987" width="12.77734375" style="138" customWidth="1"/>
    <col min="9988" max="9988" width="13.88671875" style="138" customWidth="1"/>
    <col min="9989" max="9989" width="1.88671875" style="138" customWidth="1"/>
    <col min="9990" max="9990" width="13" style="138" customWidth="1"/>
    <col min="9991" max="10230" width="8.77734375" style="138"/>
    <col min="10231" max="10231" width="6" style="138" customWidth="1"/>
    <col min="10232" max="10232" width="1.44140625" style="138" customWidth="1"/>
    <col min="10233" max="10233" width="39.109375" style="138" customWidth="1"/>
    <col min="10234" max="10234" width="12" style="138" customWidth="1"/>
    <col min="10235" max="10235" width="14.44140625" style="138" customWidth="1"/>
    <col min="10236" max="10236" width="11.88671875" style="138" customWidth="1"/>
    <col min="10237" max="10237" width="14.109375" style="138" customWidth="1"/>
    <col min="10238" max="10238" width="13.88671875" style="138" customWidth="1"/>
    <col min="10239" max="10240" width="12.77734375" style="138" customWidth="1"/>
    <col min="10241" max="10241" width="13.5546875" style="138" customWidth="1"/>
    <col min="10242" max="10242" width="15.33203125" style="138" customWidth="1"/>
    <col min="10243" max="10243" width="12.77734375" style="138" customWidth="1"/>
    <col min="10244" max="10244" width="13.88671875" style="138" customWidth="1"/>
    <col min="10245" max="10245" width="1.88671875" style="138" customWidth="1"/>
    <col min="10246" max="10246" width="13" style="138" customWidth="1"/>
    <col min="10247" max="10486" width="8.77734375" style="138"/>
    <col min="10487" max="10487" width="6" style="138" customWidth="1"/>
    <col min="10488" max="10488" width="1.44140625" style="138" customWidth="1"/>
    <col min="10489" max="10489" width="39.109375" style="138" customWidth="1"/>
    <col min="10490" max="10490" width="12" style="138" customWidth="1"/>
    <col min="10491" max="10491" width="14.44140625" style="138" customWidth="1"/>
    <col min="10492" max="10492" width="11.88671875" style="138" customWidth="1"/>
    <col min="10493" max="10493" width="14.109375" style="138" customWidth="1"/>
    <col min="10494" max="10494" width="13.88671875" style="138" customWidth="1"/>
    <col min="10495" max="10496" width="12.77734375" style="138" customWidth="1"/>
    <col min="10497" max="10497" width="13.5546875" style="138" customWidth="1"/>
    <col min="10498" max="10498" width="15.33203125" style="138" customWidth="1"/>
    <col min="10499" max="10499" width="12.77734375" style="138" customWidth="1"/>
    <col min="10500" max="10500" width="13.88671875" style="138" customWidth="1"/>
    <col min="10501" max="10501" width="1.88671875" style="138" customWidth="1"/>
    <col min="10502" max="10502" width="13" style="138" customWidth="1"/>
    <col min="10503" max="10742" width="8.77734375" style="138"/>
    <col min="10743" max="10743" width="6" style="138" customWidth="1"/>
    <col min="10744" max="10744" width="1.44140625" style="138" customWidth="1"/>
    <col min="10745" max="10745" width="39.109375" style="138" customWidth="1"/>
    <col min="10746" max="10746" width="12" style="138" customWidth="1"/>
    <col min="10747" max="10747" width="14.44140625" style="138" customWidth="1"/>
    <col min="10748" max="10748" width="11.88671875" style="138" customWidth="1"/>
    <col min="10749" max="10749" width="14.109375" style="138" customWidth="1"/>
    <col min="10750" max="10750" width="13.88671875" style="138" customWidth="1"/>
    <col min="10751" max="10752" width="12.77734375" style="138" customWidth="1"/>
    <col min="10753" max="10753" width="13.5546875" style="138" customWidth="1"/>
    <col min="10754" max="10754" width="15.33203125" style="138" customWidth="1"/>
    <col min="10755" max="10755" width="12.77734375" style="138" customWidth="1"/>
    <col min="10756" max="10756" width="13.88671875" style="138" customWidth="1"/>
    <col min="10757" max="10757" width="1.88671875" style="138" customWidth="1"/>
    <col min="10758" max="10758" width="13" style="138" customWidth="1"/>
    <col min="10759" max="10998" width="8.77734375" style="138"/>
    <col min="10999" max="10999" width="6" style="138" customWidth="1"/>
    <col min="11000" max="11000" width="1.44140625" style="138" customWidth="1"/>
    <col min="11001" max="11001" width="39.109375" style="138" customWidth="1"/>
    <col min="11002" max="11002" width="12" style="138" customWidth="1"/>
    <col min="11003" max="11003" width="14.44140625" style="138" customWidth="1"/>
    <col min="11004" max="11004" width="11.88671875" style="138" customWidth="1"/>
    <col min="11005" max="11005" width="14.109375" style="138" customWidth="1"/>
    <col min="11006" max="11006" width="13.88671875" style="138" customWidth="1"/>
    <col min="11007" max="11008" width="12.77734375" style="138" customWidth="1"/>
    <col min="11009" max="11009" width="13.5546875" style="138" customWidth="1"/>
    <col min="11010" max="11010" width="15.33203125" style="138" customWidth="1"/>
    <col min="11011" max="11011" width="12.77734375" style="138" customWidth="1"/>
    <col min="11012" max="11012" width="13.88671875" style="138" customWidth="1"/>
    <col min="11013" max="11013" width="1.88671875" style="138" customWidth="1"/>
    <col min="11014" max="11014" width="13" style="138" customWidth="1"/>
    <col min="11015" max="11254" width="8.77734375" style="138"/>
    <col min="11255" max="11255" width="6" style="138" customWidth="1"/>
    <col min="11256" max="11256" width="1.44140625" style="138" customWidth="1"/>
    <col min="11257" max="11257" width="39.109375" style="138" customWidth="1"/>
    <col min="11258" max="11258" width="12" style="138" customWidth="1"/>
    <col min="11259" max="11259" width="14.44140625" style="138" customWidth="1"/>
    <col min="11260" max="11260" width="11.88671875" style="138" customWidth="1"/>
    <col min="11261" max="11261" width="14.109375" style="138" customWidth="1"/>
    <col min="11262" max="11262" width="13.88671875" style="138" customWidth="1"/>
    <col min="11263" max="11264" width="12.77734375" style="138" customWidth="1"/>
    <col min="11265" max="11265" width="13.5546875" style="138" customWidth="1"/>
    <col min="11266" max="11266" width="15.33203125" style="138" customWidth="1"/>
    <col min="11267" max="11267" width="12.77734375" style="138" customWidth="1"/>
    <col min="11268" max="11268" width="13.88671875" style="138" customWidth="1"/>
    <col min="11269" max="11269" width="1.88671875" style="138" customWidth="1"/>
    <col min="11270" max="11270" width="13" style="138" customWidth="1"/>
    <col min="11271" max="11510" width="8.77734375" style="138"/>
    <col min="11511" max="11511" width="6" style="138" customWidth="1"/>
    <col min="11512" max="11512" width="1.44140625" style="138" customWidth="1"/>
    <col min="11513" max="11513" width="39.109375" style="138" customWidth="1"/>
    <col min="11514" max="11514" width="12" style="138" customWidth="1"/>
    <col min="11515" max="11515" width="14.44140625" style="138" customWidth="1"/>
    <col min="11516" max="11516" width="11.88671875" style="138" customWidth="1"/>
    <col min="11517" max="11517" width="14.109375" style="138" customWidth="1"/>
    <col min="11518" max="11518" width="13.88671875" style="138" customWidth="1"/>
    <col min="11519" max="11520" width="12.77734375" style="138" customWidth="1"/>
    <col min="11521" max="11521" width="13.5546875" style="138" customWidth="1"/>
    <col min="11522" max="11522" width="15.33203125" style="138" customWidth="1"/>
    <col min="11523" max="11523" width="12.77734375" style="138" customWidth="1"/>
    <col min="11524" max="11524" width="13.88671875" style="138" customWidth="1"/>
    <col min="11525" max="11525" width="1.88671875" style="138" customWidth="1"/>
    <col min="11526" max="11526" width="13" style="138" customWidth="1"/>
    <col min="11527" max="11766" width="8.77734375" style="138"/>
    <col min="11767" max="11767" width="6" style="138" customWidth="1"/>
    <col min="11768" max="11768" width="1.44140625" style="138" customWidth="1"/>
    <col min="11769" max="11769" width="39.109375" style="138" customWidth="1"/>
    <col min="11770" max="11770" width="12" style="138" customWidth="1"/>
    <col min="11771" max="11771" width="14.44140625" style="138" customWidth="1"/>
    <col min="11772" max="11772" width="11.88671875" style="138" customWidth="1"/>
    <col min="11773" max="11773" width="14.109375" style="138" customWidth="1"/>
    <col min="11774" max="11774" width="13.88671875" style="138" customWidth="1"/>
    <col min="11775" max="11776" width="12.77734375" style="138" customWidth="1"/>
    <col min="11777" max="11777" width="13.5546875" style="138" customWidth="1"/>
    <col min="11778" max="11778" width="15.33203125" style="138" customWidth="1"/>
    <col min="11779" max="11779" width="12.77734375" style="138" customWidth="1"/>
    <col min="11780" max="11780" width="13.88671875" style="138" customWidth="1"/>
    <col min="11781" max="11781" width="1.88671875" style="138" customWidth="1"/>
    <col min="11782" max="11782" width="13" style="138" customWidth="1"/>
    <col min="11783" max="12022" width="8.77734375" style="138"/>
    <col min="12023" max="12023" width="6" style="138" customWidth="1"/>
    <col min="12024" max="12024" width="1.44140625" style="138" customWidth="1"/>
    <col min="12025" max="12025" width="39.109375" style="138" customWidth="1"/>
    <col min="12026" max="12026" width="12" style="138" customWidth="1"/>
    <col min="12027" max="12027" width="14.44140625" style="138" customWidth="1"/>
    <col min="12028" max="12028" width="11.88671875" style="138" customWidth="1"/>
    <col min="12029" max="12029" width="14.109375" style="138" customWidth="1"/>
    <col min="12030" max="12030" width="13.88671875" style="138" customWidth="1"/>
    <col min="12031" max="12032" width="12.77734375" style="138" customWidth="1"/>
    <col min="12033" max="12033" width="13.5546875" style="138" customWidth="1"/>
    <col min="12034" max="12034" width="15.33203125" style="138" customWidth="1"/>
    <col min="12035" max="12035" width="12.77734375" style="138" customWidth="1"/>
    <col min="12036" max="12036" width="13.88671875" style="138" customWidth="1"/>
    <col min="12037" max="12037" width="1.88671875" style="138" customWidth="1"/>
    <col min="12038" max="12038" width="13" style="138" customWidth="1"/>
    <col min="12039" max="12278" width="8.77734375" style="138"/>
    <col min="12279" max="12279" width="6" style="138" customWidth="1"/>
    <col min="12280" max="12280" width="1.44140625" style="138" customWidth="1"/>
    <col min="12281" max="12281" width="39.109375" style="138" customWidth="1"/>
    <col min="12282" max="12282" width="12" style="138" customWidth="1"/>
    <col min="12283" max="12283" width="14.44140625" style="138" customWidth="1"/>
    <col min="12284" max="12284" width="11.88671875" style="138" customWidth="1"/>
    <col min="12285" max="12285" width="14.109375" style="138" customWidth="1"/>
    <col min="12286" max="12286" width="13.88671875" style="138" customWidth="1"/>
    <col min="12287" max="12288" width="12.77734375" style="138" customWidth="1"/>
    <col min="12289" max="12289" width="13.5546875" style="138" customWidth="1"/>
    <col min="12290" max="12290" width="15.33203125" style="138" customWidth="1"/>
    <col min="12291" max="12291" width="12.77734375" style="138" customWidth="1"/>
    <col min="12292" max="12292" width="13.88671875" style="138" customWidth="1"/>
    <col min="12293" max="12293" width="1.88671875" style="138" customWidth="1"/>
    <col min="12294" max="12294" width="13" style="138" customWidth="1"/>
    <col min="12295" max="12534" width="8.77734375" style="138"/>
    <col min="12535" max="12535" width="6" style="138" customWidth="1"/>
    <col min="12536" max="12536" width="1.44140625" style="138" customWidth="1"/>
    <col min="12537" max="12537" width="39.109375" style="138" customWidth="1"/>
    <col min="12538" max="12538" width="12" style="138" customWidth="1"/>
    <col min="12539" max="12539" width="14.44140625" style="138" customWidth="1"/>
    <col min="12540" max="12540" width="11.88671875" style="138" customWidth="1"/>
    <col min="12541" max="12541" width="14.109375" style="138" customWidth="1"/>
    <col min="12542" max="12542" width="13.88671875" style="138" customWidth="1"/>
    <col min="12543" max="12544" width="12.77734375" style="138" customWidth="1"/>
    <col min="12545" max="12545" width="13.5546875" style="138" customWidth="1"/>
    <col min="12546" max="12546" width="15.33203125" style="138" customWidth="1"/>
    <col min="12547" max="12547" width="12.77734375" style="138" customWidth="1"/>
    <col min="12548" max="12548" width="13.88671875" style="138" customWidth="1"/>
    <col min="12549" max="12549" width="1.88671875" style="138" customWidth="1"/>
    <col min="12550" max="12550" width="13" style="138" customWidth="1"/>
    <col min="12551" max="12790" width="8.77734375" style="138"/>
    <col min="12791" max="12791" width="6" style="138" customWidth="1"/>
    <col min="12792" max="12792" width="1.44140625" style="138" customWidth="1"/>
    <col min="12793" max="12793" width="39.109375" style="138" customWidth="1"/>
    <col min="12794" max="12794" width="12" style="138" customWidth="1"/>
    <col min="12795" max="12795" width="14.44140625" style="138" customWidth="1"/>
    <col min="12796" max="12796" width="11.88671875" style="138" customWidth="1"/>
    <col min="12797" max="12797" width="14.109375" style="138" customWidth="1"/>
    <col min="12798" max="12798" width="13.88671875" style="138" customWidth="1"/>
    <col min="12799" max="12800" width="12.77734375" style="138" customWidth="1"/>
    <col min="12801" max="12801" width="13.5546875" style="138" customWidth="1"/>
    <col min="12802" max="12802" width="15.33203125" style="138" customWidth="1"/>
    <col min="12803" max="12803" width="12.77734375" style="138" customWidth="1"/>
    <col min="12804" max="12804" width="13.88671875" style="138" customWidth="1"/>
    <col min="12805" max="12805" width="1.88671875" style="138" customWidth="1"/>
    <col min="12806" max="12806" width="13" style="138" customWidth="1"/>
    <col min="12807" max="13046" width="8.77734375" style="138"/>
    <col min="13047" max="13047" width="6" style="138" customWidth="1"/>
    <col min="13048" max="13048" width="1.44140625" style="138" customWidth="1"/>
    <col min="13049" max="13049" width="39.109375" style="138" customWidth="1"/>
    <col min="13050" max="13050" width="12" style="138" customWidth="1"/>
    <col min="13051" max="13051" width="14.44140625" style="138" customWidth="1"/>
    <col min="13052" max="13052" width="11.88671875" style="138" customWidth="1"/>
    <col min="13053" max="13053" width="14.109375" style="138" customWidth="1"/>
    <col min="13054" max="13054" width="13.88671875" style="138" customWidth="1"/>
    <col min="13055" max="13056" width="12.77734375" style="138" customWidth="1"/>
    <col min="13057" max="13057" width="13.5546875" style="138" customWidth="1"/>
    <col min="13058" max="13058" width="15.33203125" style="138" customWidth="1"/>
    <col min="13059" max="13059" width="12.77734375" style="138" customWidth="1"/>
    <col min="13060" max="13060" width="13.88671875" style="138" customWidth="1"/>
    <col min="13061" max="13061" width="1.88671875" style="138" customWidth="1"/>
    <col min="13062" max="13062" width="13" style="138" customWidth="1"/>
    <col min="13063" max="13302" width="8.77734375" style="138"/>
    <col min="13303" max="13303" width="6" style="138" customWidth="1"/>
    <col min="13304" max="13304" width="1.44140625" style="138" customWidth="1"/>
    <col min="13305" max="13305" width="39.109375" style="138" customWidth="1"/>
    <col min="13306" max="13306" width="12" style="138" customWidth="1"/>
    <col min="13307" max="13307" width="14.44140625" style="138" customWidth="1"/>
    <col min="13308" max="13308" width="11.88671875" style="138" customWidth="1"/>
    <col min="13309" max="13309" width="14.109375" style="138" customWidth="1"/>
    <col min="13310" max="13310" width="13.88671875" style="138" customWidth="1"/>
    <col min="13311" max="13312" width="12.77734375" style="138" customWidth="1"/>
    <col min="13313" max="13313" width="13.5546875" style="138" customWidth="1"/>
    <col min="13314" max="13314" width="15.33203125" style="138" customWidth="1"/>
    <col min="13315" max="13315" width="12.77734375" style="138" customWidth="1"/>
    <col min="13316" max="13316" width="13.88671875" style="138" customWidth="1"/>
    <col min="13317" max="13317" width="1.88671875" style="138" customWidth="1"/>
    <col min="13318" max="13318" width="13" style="138" customWidth="1"/>
    <col min="13319" max="13558" width="8.77734375" style="138"/>
    <col min="13559" max="13559" width="6" style="138" customWidth="1"/>
    <col min="13560" max="13560" width="1.44140625" style="138" customWidth="1"/>
    <col min="13561" max="13561" width="39.109375" style="138" customWidth="1"/>
    <col min="13562" max="13562" width="12" style="138" customWidth="1"/>
    <col min="13563" max="13563" width="14.44140625" style="138" customWidth="1"/>
    <col min="13564" max="13564" width="11.88671875" style="138" customWidth="1"/>
    <col min="13565" max="13565" width="14.109375" style="138" customWidth="1"/>
    <col min="13566" max="13566" width="13.88671875" style="138" customWidth="1"/>
    <col min="13567" max="13568" width="12.77734375" style="138" customWidth="1"/>
    <col min="13569" max="13569" width="13.5546875" style="138" customWidth="1"/>
    <col min="13570" max="13570" width="15.33203125" style="138" customWidth="1"/>
    <col min="13571" max="13571" width="12.77734375" style="138" customWidth="1"/>
    <col min="13572" max="13572" width="13.88671875" style="138" customWidth="1"/>
    <col min="13573" max="13573" width="1.88671875" style="138" customWidth="1"/>
    <col min="13574" max="13574" width="13" style="138" customWidth="1"/>
    <col min="13575" max="13814" width="8.77734375" style="138"/>
    <col min="13815" max="13815" width="6" style="138" customWidth="1"/>
    <col min="13816" max="13816" width="1.44140625" style="138" customWidth="1"/>
    <col min="13817" max="13817" width="39.109375" style="138" customWidth="1"/>
    <col min="13818" max="13818" width="12" style="138" customWidth="1"/>
    <col min="13819" max="13819" width="14.44140625" style="138" customWidth="1"/>
    <col min="13820" max="13820" width="11.88671875" style="138" customWidth="1"/>
    <col min="13821" max="13821" width="14.109375" style="138" customWidth="1"/>
    <col min="13822" max="13822" width="13.88671875" style="138" customWidth="1"/>
    <col min="13823" max="13824" width="12.77734375" style="138" customWidth="1"/>
    <col min="13825" max="13825" width="13.5546875" style="138" customWidth="1"/>
    <col min="13826" max="13826" width="15.33203125" style="138" customWidth="1"/>
    <col min="13827" max="13827" width="12.77734375" style="138" customWidth="1"/>
    <col min="13828" max="13828" width="13.88671875" style="138" customWidth="1"/>
    <col min="13829" max="13829" width="1.88671875" style="138" customWidth="1"/>
    <col min="13830" max="13830" width="13" style="138" customWidth="1"/>
    <col min="13831" max="14070" width="8.77734375" style="138"/>
    <col min="14071" max="14071" width="6" style="138" customWidth="1"/>
    <col min="14072" max="14072" width="1.44140625" style="138" customWidth="1"/>
    <col min="14073" max="14073" width="39.109375" style="138" customWidth="1"/>
    <col min="14074" max="14074" width="12" style="138" customWidth="1"/>
    <col min="14075" max="14075" width="14.44140625" style="138" customWidth="1"/>
    <col min="14076" max="14076" width="11.88671875" style="138" customWidth="1"/>
    <col min="14077" max="14077" width="14.109375" style="138" customWidth="1"/>
    <col min="14078" max="14078" width="13.88671875" style="138" customWidth="1"/>
    <col min="14079" max="14080" width="12.77734375" style="138" customWidth="1"/>
    <col min="14081" max="14081" width="13.5546875" style="138" customWidth="1"/>
    <col min="14082" max="14082" width="15.33203125" style="138" customWidth="1"/>
    <col min="14083" max="14083" width="12.77734375" style="138" customWidth="1"/>
    <col min="14084" max="14084" width="13.88671875" style="138" customWidth="1"/>
    <col min="14085" max="14085" width="1.88671875" style="138" customWidth="1"/>
    <col min="14086" max="14086" width="13" style="138" customWidth="1"/>
    <col min="14087" max="14326" width="8.77734375" style="138"/>
    <col min="14327" max="14327" width="6" style="138" customWidth="1"/>
    <col min="14328" max="14328" width="1.44140625" style="138" customWidth="1"/>
    <col min="14329" max="14329" width="39.109375" style="138" customWidth="1"/>
    <col min="14330" max="14330" width="12" style="138" customWidth="1"/>
    <col min="14331" max="14331" width="14.44140625" style="138" customWidth="1"/>
    <col min="14332" max="14332" width="11.88671875" style="138" customWidth="1"/>
    <col min="14333" max="14333" width="14.109375" style="138" customWidth="1"/>
    <col min="14334" max="14334" width="13.88671875" style="138" customWidth="1"/>
    <col min="14335" max="14336" width="12.77734375" style="138" customWidth="1"/>
    <col min="14337" max="14337" width="13.5546875" style="138" customWidth="1"/>
    <col min="14338" max="14338" width="15.33203125" style="138" customWidth="1"/>
    <col min="14339" max="14339" width="12.77734375" style="138" customWidth="1"/>
    <col min="14340" max="14340" width="13.88671875" style="138" customWidth="1"/>
    <col min="14341" max="14341" width="1.88671875" style="138" customWidth="1"/>
    <col min="14342" max="14342" width="13" style="138" customWidth="1"/>
    <col min="14343" max="14582" width="8.77734375" style="138"/>
    <col min="14583" max="14583" width="6" style="138" customWidth="1"/>
    <col min="14584" max="14584" width="1.44140625" style="138" customWidth="1"/>
    <col min="14585" max="14585" width="39.109375" style="138" customWidth="1"/>
    <col min="14586" max="14586" width="12" style="138" customWidth="1"/>
    <col min="14587" max="14587" width="14.44140625" style="138" customWidth="1"/>
    <col min="14588" max="14588" width="11.88671875" style="138" customWidth="1"/>
    <col min="14589" max="14589" width="14.109375" style="138" customWidth="1"/>
    <col min="14590" max="14590" width="13.88671875" style="138" customWidth="1"/>
    <col min="14591" max="14592" width="12.77734375" style="138" customWidth="1"/>
    <col min="14593" max="14593" width="13.5546875" style="138" customWidth="1"/>
    <col min="14594" max="14594" width="15.33203125" style="138" customWidth="1"/>
    <col min="14595" max="14595" width="12.77734375" style="138" customWidth="1"/>
    <col min="14596" max="14596" width="13.88671875" style="138" customWidth="1"/>
    <col min="14597" max="14597" width="1.88671875" style="138" customWidth="1"/>
    <col min="14598" max="14598" width="13" style="138" customWidth="1"/>
    <col min="14599" max="14838" width="8.77734375" style="138"/>
    <col min="14839" max="14839" width="6" style="138" customWidth="1"/>
    <col min="14840" max="14840" width="1.44140625" style="138" customWidth="1"/>
    <col min="14841" max="14841" width="39.109375" style="138" customWidth="1"/>
    <col min="14842" max="14842" width="12" style="138" customWidth="1"/>
    <col min="14843" max="14843" width="14.44140625" style="138" customWidth="1"/>
    <col min="14844" max="14844" width="11.88671875" style="138" customWidth="1"/>
    <col min="14845" max="14845" width="14.109375" style="138" customWidth="1"/>
    <col min="14846" max="14846" width="13.88671875" style="138" customWidth="1"/>
    <col min="14847" max="14848" width="12.77734375" style="138" customWidth="1"/>
    <col min="14849" max="14849" width="13.5546875" style="138" customWidth="1"/>
    <col min="14850" max="14850" width="15.33203125" style="138" customWidth="1"/>
    <col min="14851" max="14851" width="12.77734375" style="138" customWidth="1"/>
    <col min="14852" max="14852" width="13.88671875" style="138" customWidth="1"/>
    <col min="14853" max="14853" width="1.88671875" style="138" customWidth="1"/>
    <col min="14854" max="14854" width="13" style="138" customWidth="1"/>
    <col min="14855" max="15094" width="8.77734375" style="138"/>
    <col min="15095" max="15095" width="6" style="138" customWidth="1"/>
    <col min="15096" max="15096" width="1.44140625" style="138" customWidth="1"/>
    <col min="15097" max="15097" width="39.109375" style="138" customWidth="1"/>
    <col min="15098" max="15098" width="12" style="138" customWidth="1"/>
    <col min="15099" max="15099" width="14.44140625" style="138" customWidth="1"/>
    <col min="15100" max="15100" width="11.88671875" style="138" customWidth="1"/>
    <col min="15101" max="15101" width="14.109375" style="138" customWidth="1"/>
    <col min="15102" max="15102" width="13.88671875" style="138" customWidth="1"/>
    <col min="15103" max="15104" width="12.77734375" style="138" customWidth="1"/>
    <col min="15105" max="15105" width="13.5546875" style="138" customWidth="1"/>
    <col min="15106" max="15106" width="15.33203125" style="138" customWidth="1"/>
    <col min="15107" max="15107" width="12.77734375" style="138" customWidth="1"/>
    <col min="15108" max="15108" width="13.88671875" style="138" customWidth="1"/>
    <col min="15109" max="15109" width="1.88671875" style="138" customWidth="1"/>
    <col min="15110" max="15110" width="13" style="138" customWidth="1"/>
    <col min="15111" max="15350" width="8.77734375" style="138"/>
    <col min="15351" max="15351" width="6" style="138" customWidth="1"/>
    <col min="15352" max="15352" width="1.44140625" style="138" customWidth="1"/>
    <col min="15353" max="15353" width="39.109375" style="138" customWidth="1"/>
    <col min="15354" max="15354" width="12" style="138" customWidth="1"/>
    <col min="15355" max="15355" width="14.44140625" style="138" customWidth="1"/>
    <col min="15356" max="15356" width="11.88671875" style="138" customWidth="1"/>
    <col min="15357" max="15357" width="14.109375" style="138" customWidth="1"/>
    <col min="15358" max="15358" width="13.88671875" style="138" customWidth="1"/>
    <col min="15359" max="15360" width="12.77734375" style="138" customWidth="1"/>
    <col min="15361" max="15361" width="13.5546875" style="138" customWidth="1"/>
    <col min="15362" max="15362" width="15.33203125" style="138" customWidth="1"/>
    <col min="15363" max="15363" width="12.77734375" style="138" customWidth="1"/>
    <col min="15364" max="15364" width="13.88671875" style="138" customWidth="1"/>
    <col min="15365" max="15365" width="1.88671875" style="138" customWidth="1"/>
    <col min="15366" max="15366" width="13" style="138" customWidth="1"/>
    <col min="15367" max="15606" width="8.77734375" style="138"/>
    <col min="15607" max="15607" width="6" style="138" customWidth="1"/>
    <col min="15608" max="15608" width="1.44140625" style="138" customWidth="1"/>
    <col min="15609" max="15609" width="39.109375" style="138" customWidth="1"/>
    <col min="15610" max="15610" width="12" style="138" customWidth="1"/>
    <col min="15611" max="15611" width="14.44140625" style="138" customWidth="1"/>
    <col min="15612" max="15612" width="11.88671875" style="138" customWidth="1"/>
    <col min="15613" max="15613" width="14.109375" style="138" customWidth="1"/>
    <col min="15614" max="15614" width="13.88671875" style="138" customWidth="1"/>
    <col min="15615" max="15616" width="12.77734375" style="138" customWidth="1"/>
    <col min="15617" max="15617" width="13.5546875" style="138" customWidth="1"/>
    <col min="15618" max="15618" width="15.33203125" style="138" customWidth="1"/>
    <col min="15619" max="15619" width="12.77734375" style="138" customWidth="1"/>
    <col min="15620" max="15620" width="13.88671875" style="138" customWidth="1"/>
    <col min="15621" max="15621" width="1.88671875" style="138" customWidth="1"/>
    <col min="15622" max="15622" width="13" style="138" customWidth="1"/>
    <col min="15623" max="15862" width="8.77734375" style="138"/>
    <col min="15863" max="15863" width="6" style="138" customWidth="1"/>
    <col min="15864" max="15864" width="1.44140625" style="138" customWidth="1"/>
    <col min="15865" max="15865" width="39.109375" style="138" customWidth="1"/>
    <col min="15866" max="15866" width="12" style="138" customWidth="1"/>
    <col min="15867" max="15867" width="14.44140625" style="138" customWidth="1"/>
    <col min="15868" max="15868" width="11.88671875" style="138" customWidth="1"/>
    <col min="15869" max="15869" width="14.109375" style="138" customWidth="1"/>
    <col min="15870" max="15870" width="13.88671875" style="138" customWidth="1"/>
    <col min="15871" max="15872" width="12.77734375" style="138" customWidth="1"/>
    <col min="15873" max="15873" width="13.5546875" style="138" customWidth="1"/>
    <col min="15874" max="15874" width="15.33203125" style="138" customWidth="1"/>
    <col min="15875" max="15875" width="12.77734375" style="138" customWidth="1"/>
    <col min="15876" max="15876" width="13.88671875" style="138" customWidth="1"/>
    <col min="15877" max="15877" width="1.88671875" style="138" customWidth="1"/>
    <col min="15878" max="15878" width="13" style="138" customWidth="1"/>
    <col min="15879" max="16118" width="8.77734375" style="138"/>
    <col min="16119" max="16119" width="6" style="138" customWidth="1"/>
    <col min="16120" max="16120" width="1.44140625" style="138" customWidth="1"/>
    <col min="16121" max="16121" width="39.109375" style="138" customWidth="1"/>
    <col min="16122" max="16122" width="12" style="138" customWidth="1"/>
    <col min="16123" max="16123" width="14.44140625" style="138" customWidth="1"/>
    <col min="16124" max="16124" width="11.88671875" style="138" customWidth="1"/>
    <col min="16125" max="16125" width="14.109375" style="138" customWidth="1"/>
    <col min="16126" max="16126" width="13.88671875" style="138" customWidth="1"/>
    <col min="16127" max="16128" width="12.77734375" style="138" customWidth="1"/>
    <col min="16129" max="16129" width="13.5546875" style="138" customWidth="1"/>
    <col min="16130" max="16130" width="15.33203125" style="138" customWidth="1"/>
    <col min="16131" max="16131" width="12.77734375" style="138" customWidth="1"/>
    <col min="16132" max="16132" width="13.88671875" style="138" customWidth="1"/>
    <col min="16133" max="16133" width="1.88671875" style="138" customWidth="1"/>
    <col min="16134" max="16134" width="13" style="138" customWidth="1"/>
    <col min="16135" max="16374" width="8.77734375" style="138"/>
    <col min="16375" max="16384" width="8.77734375" style="138" customWidth="1"/>
  </cols>
  <sheetData>
    <row r="1" spans="1:55">
      <c r="I1" s="445" t="s">
        <v>369</v>
      </c>
    </row>
    <row r="2" spans="1:55">
      <c r="I2" s="445" t="s">
        <v>366</v>
      </c>
    </row>
    <row r="3" spans="1:55">
      <c r="I3" s="424" t="s">
        <v>231</v>
      </c>
    </row>
    <row r="4" spans="1:55">
      <c r="I4" s="139" t="str">
        <f>'DE Ohio &amp; Kentucky'!J7</f>
        <v>For the 12 months ended: 12/31/2015</v>
      </c>
    </row>
    <row r="5" spans="1:55">
      <c r="C5" s="113"/>
    </row>
    <row r="6" spans="1:55">
      <c r="A6" s="221" t="s">
        <v>309</v>
      </c>
      <c r="B6" s="283"/>
      <c r="C6" s="283"/>
      <c r="D6" s="221"/>
      <c r="E6" s="221"/>
      <c r="F6" s="221"/>
      <c r="G6" s="283"/>
      <c r="H6" s="221"/>
      <c r="I6" s="221"/>
      <c r="J6" s="111"/>
      <c r="K6" s="142"/>
      <c r="L6" s="142"/>
      <c r="M6" s="142"/>
      <c r="N6" s="142"/>
      <c r="O6" s="142"/>
      <c r="P6" s="142"/>
      <c r="Q6" s="142"/>
      <c r="R6" s="142"/>
      <c r="S6" s="142"/>
      <c r="T6" s="142"/>
      <c r="U6" s="142"/>
      <c r="V6" s="142"/>
      <c r="W6" s="142"/>
      <c r="X6" s="142"/>
      <c r="Y6" s="142"/>
      <c r="Z6" s="142"/>
      <c r="AA6" s="142"/>
      <c r="AB6" s="142"/>
      <c r="AC6" s="142"/>
      <c r="AD6" s="142"/>
      <c r="AE6" s="142"/>
      <c r="AF6" s="142"/>
      <c r="AG6" s="142"/>
      <c r="AH6" s="142"/>
      <c r="AI6" s="142"/>
      <c r="AJ6" s="142"/>
      <c r="AK6" s="142"/>
      <c r="AL6" s="142"/>
      <c r="AM6" s="142"/>
      <c r="AN6" s="142"/>
      <c r="AO6" s="142"/>
      <c r="AP6" s="142"/>
      <c r="AQ6" s="142"/>
      <c r="AR6" s="142"/>
      <c r="AS6" s="142"/>
      <c r="AT6" s="142"/>
      <c r="AU6" s="142"/>
      <c r="AV6" s="142"/>
      <c r="AW6" s="142"/>
      <c r="AX6" s="142"/>
      <c r="AY6" s="142"/>
      <c r="AZ6" s="142"/>
      <c r="BA6" s="142"/>
      <c r="BB6" s="142"/>
      <c r="BC6" s="142"/>
    </row>
    <row r="7" spans="1:55">
      <c r="A7" s="222" t="s">
        <v>370</v>
      </c>
      <c r="B7" s="283"/>
      <c r="C7" s="221"/>
      <c r="D7" s="221"/>
      <c r="E7" s="221"/>
      <c r="F7" s="221"/>
      <c r="G7" s="283"/>
      <c r="H7" s="221"/>
      <c r="I7" s="221"/>
      <c r="J7" s="111"/>
      <c r="K7" s="142"/>
      <c r="L7" s="142"/>
      <c r="M7" s="142"/>
      <c r="N7" s="142"/>
      <c r="O7" s="142"/>
      <c r="P7" s="142"/>
      <c r="Q7" s="142"/>
      <c r="R7" s="142"/>
      <c r="S7" s="142"/>
      <c r="T7" s="142"/>
      <c r="U7" s="142"/>
      <c r="V7" s="142"/>
      <c r="W7" s="142"/>
      <c r="X7" s="142"/>
      <c r="Y7" s="142"/>
      <c r="Z7" s="142"/>
      <c r="AA7" s="142"/>
      <c r="AB7" s="142"/>
      <c r="AC7" s="142"/>
      <c r="AD7" s="142"/>
      <c r="AE7" s="142"/>
      <c r="AF7" s="142"/>
      <c r="AG7" s="142"/>
      <c r="AH7" s="142"/>
      <c r="AI7" s="142"/>
      <c r="AJ7" s="142"/>
      <c r="AK7" s="142"/>
      <c r="AL7" s="142"/>
      <c r="AM7" s="142"/>
      <c r="AN7" s="142"/>
      <c r="AO7" s="142"/>
      <c r="AP7" s="142"/>
      <c r="AQ7" s="142"/>
      <c r="AR7" s="142"/>
      <c r="AS7" s="142"/>
      <c r="AT7" s="142"/>
      <c r="AU7" s="142"/>
      <c r="AV7" s="142"/>
      <c r="AW7" s="142"/>
      <c r="AX7" s="142"/>
      <c r="AY7" s="142"/>
      <c r="AZ7" s="142"/>
      <c r="BA7" s="142"/>
      <c r="BB7" s="142"/>
      <c r="BC7" s="142"/>
    </row>
    <row r="8" spans="1:55">
      <c r="A8" s="223"/>
      <c r="B8" s="283"/>
      <c r="C8" s="223"/>
      <c r="D8" s="223"/>
      <c r="E8" s="223"/>
      <c r="F8" s="223"/>
      <c r="G8" s="283"/>
      <c r="H8" s="223"/>
      <c r="I8" s="223"/>
      <c r="J8" s="111"/>
      <c r="K8" s="142"/>
      <c r="L8" s="142"/>
      <c r="M8" s="142"/>
      <c r="N8" s="142"/>
      <c r="O8" s="142"/>
      <c r="P8" s="142"/>
      <c r="Q8" s="142"/>
      <c r="R8" s="142"/>
      <c r="S8" s="142"/>
      <c r="T8" s="142"/>
      <c r="U8" s="142"/>
      <c r="V8" s="142"/>
      <c r="W8" s="142"/>
      <c r="X8" s="142"/>
      <c r="Y8" s="142"/>
      <c r="Z8" s="142"/>
      <c r="AA8" s="142"/>
      <c r="AB8" s="142"/>
      <c r="AC8" s="142"/>
      <c r="AD8" s="142"/>
      <c r="AE8" s="142"/>
      <c r="AF8" s="142"/>
      <c r="AG8" s="142"/>
      <c r="AH8" s="142"/>
      <c r="AI8" s="142"/>
      <c r="AJ8" s="142"/>
      <c r="AK8" s="142"/>
      <c r="AL8" s="142"/>
      <c r="AM8" s="142"/>
      <c r="AN8" s="142"/>
      <c r="AO8" s="142"/>
      <c r="AP8" s="142"/>
      <c r="AQ8" s="142"/>
      <c r="AR8" s="142"/>
      <c r="AS8" s="142"/>
      <c r="AT8" s="142"/>
      <c r="AU8" s="142"/>
      <c r="AV8" s="142"/>
      <c r="AW8" s="142"/>
      <c r="AX8" s="142"/>
      <c r="AY8" s="142"/>
      <c r="AZ8" s="142"/>
      <c r="BA8" s="142"/>
      <c r="BB8" s="142"/>
      <c r="BC8" s="142"/>
    </row>
    <row r="9" spans="1:55">
      <c r="A9" s="285" t="s">
        <v>528</v>
      </c>
      <c r="B9" s="283"/>
      <c r="C9" s="223"/>
      <c r="D9" s="223"/>
      <c r="E9" s="223"/>
      <c r="F9" s="223"/>
      <c r="G9" s="283"/>
      <c r="H9" s="286"/>
      <c r="I9" s="223"/>
      <c r="J9" s="111"/>
      <c r="K9" s="142"/>
      <c r="L9" s="142"/>
      <c r="M9" s="142"/>
      <c r="N9" s="142"/>
      <c r="O9" s="142"/>
      <c r="P9" s="142"/>
      <c r="Q9" s="142"/>
      <c r="R9" s="142"/>
      <c r="S9" s="142"/>
      <c r="T9" s="142"/>
      <c r="U9" s="142"/>
      <c r="V9" s="142"/>
      <c r="W9" s="142"/>
      <c r="X9" s="142"/>
      <c r="Y9" s="142"/>
      <c r="Z9" s="142"/>
      <c r="AA9" s="142"/>
      <c r="AB9" s="142"/>
      <c r="AC9" s="142"/>
      <c r="AD9" s="142"/>
      <c r="AE9" s="142"/>
      <c r="AF9" s="142"/>
      <c r="AG9" s="142"/>
      <c r="AH9" s="142"/>
      <c r="AI9" s="142"/>
      <c r="AJ9" s="142"/>
      <c r="AK9" s="142"/>
      <c r="AL9" s="142"/>
      <c r="AM9" s="142"/>
      <c r="AN9" s="142"/>
      <c r="AO9" s="142"/>
      <c r="AP9" s="142"/>
      <c r="AQ9" s="142"/>
      <c r="AR9" s="142"/>
      <c r="AS9" s="142"/>
      <c r="AT9" s="142"/>
      <c r="AU9" s="142"/>
      <c r="AV9" s="142"/>
      <c r="AW9" s="142"/>
      <c r="AX9" s="142"/>
      <c r="AY9" s="142"/>
      <c r="AZ9" s="142"/>
      <c r="BA9" s="142"/>
      <c r="BB9" s="142"/>
      <c r="BC9" s="142"/>
    </row>
    <row r="10" spans="1:55">
      <c r="A10" s="285" t="s">
        <v>368</v>
      </c>
      <c r="B10" s="283"/>
      <c r="C10" s="223"/>
      <c r="D10" s="223"/>
      <c r="E10" s="223"/>
      <c r="F10" s="223"/>
      <c r="G10" s="283"/>
      <c r="H10" s="286"/>
      <c r="I10" s="223"/>
      <c r="J10" s="111"/>
      <c r="K10" s="142"/>
      <c r="L10" s="142"/>
      <c r="M10" s="142"/>
      <c r="N10" s="142"/>
      <c r="O10" s="142"/>
      <c r="P10" s="142"/>
      <c r="Q10" s="142"/>
      <c r="R10" s="142"/>
      <c r="S10" s="142"/>
      <c r="T10" s="142"/>
      <c r="U10" s="142"/>
      <c r="V10" s="142"/>
      <c r="W10" s="142"/>
      <c r="X10" s="142"/>
      <c r="Y10" s="142"/>
      <c r="Z10" s="142"/>
      <c r="AA10" s="142"/>
      <c r="AB10" s="142"/>
      <c r="AC10" s="142"/>
      <c r="AD10" s="142"/>
      <c r="AE10" s="142"/>
      <c r="AF10" s="142"/>
      <c r="AG10" s="142"/>
      <c r="AH10" s="142"/>
      <c r="AI10" s="142"/>
      <c r="AJ10" s="142"/>
      <c r="AK10" s="142"/>
      <c r="AL10" s="142"/>
      <c r="AM10" s="142"/>
      <c r="AN10" s="142"/>
      <c r="AO10" s="142"/>
      <c r="AP10" s="142"/>
      <c r="AQ10" s="142"/>
      <c r="AR10" s="142"/>
      <c r="AS10" s="142"/>
      <c r="AT10" s="142"/>
      <c r="AU10" s="142"/>
      <c r="AV10" s="142"/>
      <c r="AW10" s="142"/>
      <c r="AX10" s="142"/>
      <c r="AY10" s="142"/>
      <c r="AZ10" s="142"/>
      <c r="BA10" s="142"/>
      <c r="BB10" s="142"/>
      <c r="BC10" s="142"/>
    </row>
    <row r="11" spans="1:55">
      <c r="A11" s="423"/>
      <c r="B11" s="283"/>
      <c r="C11" s="223"/>
      <c r="D11" s="223"/>
      <c r="E11" s="223"/>
      <c r="F11" s="223"/>
      <c r="G11" s="286"/>
      <c r="H11" s="223"/>
      <c r="I11" s="223"/>
      <c r="J11" s="111"/>
      <c r="K11" s="142"/>
      <c r="L11" s="142"/>
      <c r="M11" s="142"/>
      <c r="N11" s="142"/>
      <c r="O11" s="142"/>
      <c r="P11" s="142"/>
      <c r="Q11" s="142"/>
      <c r="R11" s="142"/>
      <c r="S11" s="142"/>
      <c r="T11" s="142"/>
      <c r="U11" s="142"/>
      <c r="V11" s="142"/>
      <c r="W11" s="142"/>
      <c r="X11" s="142"/>
      <c r="Y11" s="142"/>
      <c r="Z11" s="142"/>
      <c r="AA11" s="142"/>
      <c r="AB11" s="142"/>
      <c r="AC11" s="142"/>
      <c r="AD11" s="142"/>
      <c r="AE11" s="142"/>
      <c r="AF11" s="142"/>
      <c r="AG11" s="142"/>
      <c r="AH11" s="142"/>
      <c r="AI11" s="142"/>
      <c r="AJ11" s="142"/>
      <c r="AK11" s="142"/>
      <c r="AL11" s="142"/>
      <c r="AM11" s="142"/>
      <c r="AN11" s="142"/>
      <c r="AO11" s="142"/>
      <c r="AP11" s="142"/>
      <c r="AQ11" s="142"/>
      <c r="AR11" s="142"/>
      <c r="AS11" s="142"/>
      <c r="AT11" s="142"/>
      <c r="AU11" s="142"/>
      <c r="AV11" s="142"/>
      <c r="AW11" s="142"/>
      <c r="AX11" s="142"/>
      <c r="AY11" s="142"/>
      <c r="AZ11" s="142"/>
      <c r="BA11" s="142"/>
      <c r="BB11" s="142"/>
      <c r="BC11" s="142"/>
    </row>
    <row r="12" spans="1:55">
      <c r="A12" s="223" t="s">
        <v>709</v>
      </c>
      <c r="B12" s="283"/>
      <c r="C12" s="283"/>
      <c r="D12" s="223"/>
      <c r="E12" s="223"/>
      <c r="F12" s="223"/>
      <c r="G12" s="286"/>
      <c r="H12" s="223"/>
      <c r="I12" s="223"/>
      <c r="J12" s="111"/>
      <c r="K12" s="142"/>
      <c r="L12" s="142"/>
      <c r="M12" s="142"/>
      <c r="N12" s="142"/>
      <c r="O12" s="142"/>
      <c r="P12" s="142"/>
      <c r="Q12" s="142"/>
      <c r="R12" s="142"/>
      <c r="S12" s="142"/>
      <c r="T12" s="142"/>
      <c r="U12" s="142"/>
      <c r="V12" s="142"/>
      <c r="W12" s="142"/>
      <c r="X12" s="142"/>
      <c r="Y12" s="142"/>
      <c r="Z12" s="142"/>
      <c r="AA12" s="142"/>
      <c r="AB12" s="142"/>
      <c r="AC12" s="142"/>
      <c r="AD12" s="142"/>
      <c r="AE12" s="142"/>
      <c r="AF12" s="142"/>
      <c r="AG12" s="142"/>
      <c r="AH12" s="142"/>
      <c r="AI12" s="142"/>
      <c r="AJ12" s="142"/>
      <c r="AK12" s="142"/>
      <c r="AL12" s="142"/>
      <c r="AM12" s="142"/>
      <c r="AN12" s="142"/>
      <c r="AO12" s="142"/>
      <c r="AP12" s="142"/>
      <c r="AQ12" s="142"/>
      <c r="AR12" s="142"/>
      <c r="AS12" s="142"/>
      <c r="AT12" s="142"/>
      <c r="AU12" s="142"/>
      <c r="AV12" s="142"/>
      <c r="AW12" s="142"/>
      <c r="AX12" s="142"/>
      <c r="AY12" s="142"/>
      <c r="AZ12" s="142"/>
      <c r="BA12" s="142"/>
      <c r="BB12" s="142"/>
      <c r="BC12" s="142"/>
    </row>
    <row r="13" spans="1:55">
      <c r="A13" s="143"/>
      <c r="C13" s="111"/>
      <c r="D13" s="111"/>
      <c r="E13" s="111"/>
      <c r="F13" s="111"/>
      <c r="G13" s="144"/>
      <c r="K13" s="142"/>
      <c r="L13" s="142"/>
      <c r="M13" s="142"/>
      <c r="N13" s="142"/>
      <c r="O13" s="142"/>
      <c r="P13" s="142"/>
      <c r="Q13" s="142"/>
      <c r="R13" s="142"/>
      <c r="S13" s="142"/>
      <c r="T13" s="142"/>
      <c r="U13" s="142"/>
      <c r="V13" s="142"/>
      <c r="W13" s="142"/>
      <c r="X13" s="142"/>
      <c r="Y13" s="142"/>
      <c r="Z13" s="142"/>
      <c r="AA13" s="142"/>
      <c r="AB13" s="142"/>
      <c r="AC13" s="142"/>
      <c r="AD13" s="142"/>
      <c r="AE13" s="142"/>
      <c r="AF13" s="142"/>
      <c r="AG13" s="142"/>
      <c r="AH13" s="142"/>
      <c r="AI13" s="142"/>
      <c r="AJ13" s="142"/>
      <c r="AK13" s="142"/>
      <c r="AL13" s="142"/>
      <c r="AM13" s="142"/>
      <c r="AN13" s="142"/>
      <c r="AO13" s="142"/>
      <c r="AP13" s="142"/>
      <c r="AQ13" s="142"/>
      <c r="AR13" s="142"/>
      <c r="AS13" s="142"/>
      <c r="AT13" s="142"/>
      <c r="AU13" s="142"/>
      <c r="AV13" s="142"/>
      <c r="AW13" s="142"/>
      <c r="AX13" s="142"/>
      <c r="AY13" s="142"/>
      <c r="AZ13" s="142"/>
      <c r="BA13" s="142"/>
      <c r="BB13" s="142"/>
      <c r="BC13" s="142"/>
    </row>
    <row r="14" spans="1:55">
      <c r="A14" s="143"/>
      <c r="C14" s="111"/>
      <c r="D14" s="111"/>
      <c r="E14" s="111"/>
      <c r="F14" s="111"/>
      <c r="G14" s="111"/>
      <c r="K14" s="142"/>
      <c r="L14" s="142"/>
      <c r="M14" s="142"/>
      <c r="N14" s="142"/>
      <c r="O14" s="142"/>
      <c r="P14" s="142"/>
      <c r="Q14" s="142"/>
      <c r="R14" s="142"/>
      <c r="S14" s="142"/>
      <c r="T14" s="142"/>
      <c r="U14" s="142"/>
      <c r="V14" s="142"/>
      <c r="W14" s="142"/>
      <c r="X14" s="142"/>
      <c r="Y14" s="142"/>
      <c r="Z14" s="142"/>
      <c r="AA14" s="142"/>
      <c r="AB14" s="142"/>
      <c r="AC14" s="142"/>
      <c r="AD14" s="142"/>
      <c r="AE14" s="142"/>
      <c r="AF14" s="142"/>
      <c r="AG14" s="142"/>
      <c r="AH14" s="142"/>
      <c r="AI14" s="142"/>
      <c r="AJ14" s="142"/>
      <c r="AK14" s="142"/>
      <c r="AL14" s="142"/>
      <c r="AM14" s="142"/>
      <c r="AN14" s="142"/>
      <c r="AO14" s="142"/>
      <c r="AP14" s="142"/>
      <c r="AQ14" s="142"/>
      <c r="AR14" s="142"/>
      <c r="AS14" s="142"/>
      <c r="AT14" s="142"/>
      <c r="AU14" s="142"/>
      <c r="AV14" s="142"/>
      <c r="AW14" s="142"/>
      <c r="AX14" s="142"/>
      <c r="AY14" s="142"/>
      <c r="AZ14" s="142"/>
      <c r="BA14" s="142"/>
      <c r="BB14" s="142"/>
      <c r="BC14" s="142"/>
    </row>
    <row r="15" spans="1:55">
      <c r="C15" s="109" t="s">
        <v>24</v>
      </c>
      <c r="D15" s="109"/>
      <c r="E15" s="109" t="s">
        <v>25</v>
      </c>
      <c r="F15" s="109"/>
      <c r="G15" s="109" t="s">
        <v>26</v>
      </c>
      <c r="I15" s="145" t="s">
        <v>27</v>
      </c>
      <c r="K15" s="142"/>
      <c r="L15" s="142"/>
      <c r="M15" s="142"/>
      <c r="N15" s="142"/>
      <c r="O15" s="142"/>
      <c r="P15" s="142"/>
      <c r="Q15" s="142"/>
      <c r="R15" s="142"/>
      <c r="S15" s="142"/>
      <c r="T15" s="142"/>
      <c r="U15" s="142"/>
      <c r="V15" s="142"/>
      <c r="W15" s="142"/>
      <c r="X15" s="142"/>
      <c r="Y15" s="142"/>
      <c r="Z15" s="142"/>
      <c r="AA15" s="142"/>
      <c r="AB15" s="142"/>
      <c r="AC15" s="142"/>
      <c r="AD15" s="142"/>
      <c r="AE15" s="142"/>
      <c r="AF15" s="142"/>
      <c r="AG15" s="142"/>
      <c r="AH15" s="142"/>
      <c r="AI15" s="142"/>
      <c r="AJ15" s="142"/>
      <c r="AK15" s="142"/>
      <c r="AL15" s="142"/>
      <c r="AM15" s="142"/>
      <c r="AN15" s="142"/>
      <c r="AO15" s="142"/>
      <c r="AP15" s="142"/>
      <c r="AQ15" s="142"/>
      <c r="AR15" s="142"/>
      <c r="AS15" s="142"/>
      <c r="AT15" s="142"/>
      <c r="AU15" s="142"/>
      <c r="AV15" s="142"/>
      <c r="AW15" s="142"/>
      <c r="AX15" s="142"/>
      <c r="AY15" s="142"/>
      <c r="AZ15" s="142"/>
      <c r="BA15" s="142"/>
      <c r="BB15" s="142"/>
      <c r="BC15" s="142"/>
    </row>
    <row r="16" spans="1:55">
      <c r="C16" s="108"/>
      <c r="D16" s="108"/>
      <c r="K16" s="142"/>
      <c r="L16" s="142"/>
      <c r="M16" s="142"/>
      <c r="N16" s="142"/>
      <c r="O16" s="142"/>
      <c r="P16" s="142"/>
      <c r="Q16" s="142"/>
      <c r="R16" s="142"/>
      <c r="S16" s="142"/>
      <c r="T16" s="142"/>
      <c r="U16" s="142"/>
      <c r="V16" s="142"/>
      <c r="W16" s="142"/>
      <c r="X16" s="142"/>
      <c r="Y16" s="142"/>
      <c r="Z16" s="142"/>
      <c r="AA16" s="142"/>
      <c r="AB16" s="142"/>
      <c r="AC16" s="142"/>
      <c r="AD16" s="142"/>
      <c r="AE16" s="142"/>
      <c r="AF16" s="142"/>
      <c r="AG16" s="142"/>
      <c r="AH16" s="142"/>
      <c r="AI16" s="142"/>
      <c r="AJ16" s="142"/>
      <c r="AK16" s="142"/>
      <c r="AL16" s="142"/>
      <c r="AM16" s="142"/>
      <c r="AN16" s="142"/>
      <c r="AO16" s="142"/>
      <c r="AP16" s="142"/>
      <c r="AQ16" s="142"/>
      <c r="AR16" s="142"/>
      <c r="AS16" s="142"/>
      <c r="AT16" s="142"/>
      <c r="AU16" s="142"/>
      <c r="AV16" s="142"/>
      <c r="AW16" s="142"/>
      <c r="AX16" s="142"/>
      <c r="AY16" s="142"/>
      <c r="AZ16" s="142"/>
      <c r="BA16" s="142"/>
      <c r="BB16" s="142"/>
      <c r="BC16" s="142"/>
    </row>
    <row r="17" spans="1:55">
      <c r="A17" s="375" t="s">
        <v>13</v>
      </c>
      <c r="B17" s="142"/>
      <c r="C17" s="108"/>
      <c r="D17" s="108"/>
      <c r="E17" s="154" t="s">
        <v>369</v>
      </c>
      <c r="F17" s="154"/>
      <c r="G17" s="112"/>
      <c r="H17" s="142"/>
      <c r="I17" s="142"/>
      <c r="K17" s="142"/>
      <c r="L17" s="142"/>
      <c r="M17" s="142"/>
      <c r="N17" s="142"/>
      <c r="O17" s="142"/>
      <c r="P17" s="142"/>
      <c r="Q17" s="142"/>
      <c r="R17" s="142"/>
      <c r="S17" s="142"/>
      <c r="T17" s="142"/>
      <c r="U17" s="142"/>
      <c r="V17" s="142"/>
      <c r="W17" s="142"/>
      <c r="X17" s="142"/>
      <c r="Y17" s="142"/>
      <c r="Z17" s="142"/>
      <c r="AA17" s="142"/>
      <c r="AB17" s="142"/>
      <c r="AC17" s="142"/>
      <c r="AD17" s="142"/>
      <c r="AE17" s="142"/>
      <c r="AF17" s="142"/>
      <c r="AG17" s="142"/>
      <c r="AH17" s="142"/>
      <c r="AI17" s="142"/>
      <c r="AJ17" s="142"/>
      <c r="AK17" s="142"/>
      <c r="AL17" s="142"/>
      <c r="AM17" s="142"/>
      <c r="AN17" s="142"/>
      <c r="AO17" s="142"/>
      <c r="AP17" s="142"/>
      <c r="AQ17" s="142"/>
      <c r="AR17" s="142"/>
      <c r="AS17" s="142"/>
      <c r="AT17" s="142"/>
      <c r="AU17" s="142"/>
      <c r="AV17" s="142"/>
      <c r="AW17" s="142"/>
      <c r="AX17" s="142"/>
      <c r="AY17" s="142"/>
      <c r="AZ17" s="142"/>
      <c r="BA17" s="142"/>
      <c r="BB17" s="142"/>
      <c r="BC17" s="142"/>
    </row>
    <row r="18" spans="1:55">
      <c r="A18" s="419" t="s">
        <v>15</v>
      </c>
      <c r="B18" s="420"/>
      <c r="C18" s="421"/>
      <c r="D18" s="421"/>
      <c r="E18" s="422" t="s">
        <v>31</v>
      </c>
      <c r="F18" s="422"/>
      <c r="G18" s="419" t="s">
        <v>30</v>
      </c>
      <c r="H18" s="420"/>
      <c r="I18" s="419" t="s">
        <v>18</v>
      </c>
      <c r="K18" s="142"/>
      <c r="L18" s="142"/>
      <c r="M18" s="142"/>
      <c r="N18" s="142"/>
      <c r="O18" s="142"/>
      <c r="P18" s="142"/>
      <c r="Q18" s="142"/>
      <c r="R18" s="142"/>
      <c r="S18" s="142"/>
      <c r="T18" s="142"/>
      <c r="U18" s="142"/>
      <c r="V18" s="142"/>
      <c r="W18" s="142"/>
      <c r="X18" s="142"/>
      <c r="Y18" s="142"/>
      <c r="Z18" s="142"/>
      <c r="AA18" s="142"/>
      <c r="AB18" s="142"/>
      <c r="AC18" s="142"/>
      <c r="AD18" s="142"/>
      <c r="AE18" s="142"/>
      <c r="AF18" s="142"/>
      <c r="AG18" s="142"/>
      <c r="AH18" s="142"/>
      <c r="AI18" s="142"/>
      <c r="AJ18" s="142"/>
      <c r="AK18" s="142"/>
      <c r="AL18" s="142"/>
      <c r="AM18" s="142"/>
      <c r="AN18" s="142"/>
      <c r="AO18" s="142"/>
      <c r="AP18" s="142"/>
      <c r="AQ18" s="142"/>
      <c r="AR18" s="142"/>
      <c r="AS18" s="142"/>
      <c r="AT18" s="142"/>
      <c r="AU18" s="142"/>
      <c r="AV18" s="142"/>
      <c r="AW18" s="142"/>
      <c r="AX18" s="142"/>
      <c r="AY18" s="142"/>
      <c r="AZ18" s="142"/>
      <c r="BA18" s="142"/>
      <c r="BB18" s="142"/>
      <c r="BC18" s="142"/>
    </row>
    <row r="19" spans="1:55" ht="15.75">
      <c r="A19" s="152"/>
      <c r="C19" s="108" t="s">
        <v>417</v>
      </c>
      <c r="D19" s="108"/>
      <c r="E19" s="112"/>
      <c r="F19" s="112"/>
      <c r="G19" s="112"/>
      <c r="I19" s="112"/>
      <c r="K19" s="142"/>
      <c r="L19" s="142"/>
      <c r="M19" s="142"/>
      <c r="N19" s="142"/>
      <c r="O19" s="142"/>
      <c r="P19" s="142"/>
      <c r="Q19" s="142"/>
      <c r="R19" s="142"/>
      <c r="S19" s="142"/>
      <c r="T19" s="142"/>
      <c r="U19" s="142"/>
      <c r="V19" s="142"/>
      <c r="W19" s="142"/>
      <c r="X19" s="142"/>
      <c r="Y19" s="142"/>
      <c r="Z19" s="142"/>
      <c r="AA19" s="142"/>
      <c r="AB19" s="142"/>
      <c r="AC19" s="142"/>
      <c r="AD19" s="142"/>
      <c r="AE19" s="142"/>
      <c r="AF19" s="142"/>
      <c r="AG19" s="142"/>
      <c r="AH19" s="142"/>
      <c r="AI19" s="142"/>
      <c r="AJ19" s="142"/>
      <c r="AK19" s="142"/>
      <c r="AL19" s="142"/>
      <c r="AM19" s="142"/>
      <c r="AN19" s="142"/>
      <c r="AO19" s="142"/>
      <c r="AP19" s="142"/>
      <c r="AQ19" s="142"/>
      <c r="AR19" s="142"/>
      <c r="AS19" s="142"/>
      <c r="AT19" s="142"/>
      <c r="AU19" s="142"/>
      <c r="AV19" s="142"/>
      <c r="AW19" s="142"/>
      <c r="AX19" s="142"/>
      <c r="AY19" s="142"/>
      <c r="AZ19" s="142"/>
      <c r="BA19" s="142"/>
      <c r="BB19" s="142"/>
      <c r="BC19" s="142"/>
    </row>
    <row r="20" spans="1:55">
      <c r="A20" s="153">
        <v>1</v>
      </c>
      <c r="C20" s="108" t="s">
        <v>266</v>
      </c>
      <c r="D20" s="108"/>
      <c r="E20" s="868" t="s">
        <v>803</v>
      </c>
      <c r="F20" s="154"/>
      <c r="G20" s="444">
        <f>'DE Ohio &amp; Kentucky'!J77</f>
        <v>761393849</v>
      </c>
      <c r="K20" s="142"/>
      <c r="L20" s="142"/>
      <c r="M20" s="142"/>
      <c r="N20" s="142"/>
      <c r="O20" s="142"/>
      <c r="P20" s="142"/>
      <c r="Q20" s="142"/>
      <c r="R20" s="142"/>
      <c r="S20" s="142"/>
      <c r="T20" s="142"/>
      <c r="U20" s="142"/>
      <c r="V20" s="142"/>
      <c r="W20" s="142"/>
      <c r="X20" s="142"/>
      <c r="Y20" s="142"/>
      <c r="Z20" s="142"/>
      <c r="AA20" s="142"/>
      <c r="AB20" s="142"/>
      <c r="AC20" s="142"/>
      <c r="AD20" s="142"/>
      <c r="AE20" s="142"/>
      <c r="AF20" s="142"/>
      <c r="AG20" s="142"/>
      <c r="AH20" s="142"/>
      <c r="AI20" s="142"/>
      <c r="AJ20" s="142"/>
      <c r="AK20" s="142"/>
      <c r="AL20" s="142"/>
      <c r="AM20" s="142"/>
      <c r="AN20" s="142"/>
      <c r="AO20" s="142"/>
      <c r="AP20" s="142"/>
      <c r="AQ20" s="142"/>
      <c r="AR20" s="142"/>
      <c r="AS20" s="142"/>
      <c r="AT20" s="142"/>
      <c r="AU20" s="142"/>
      <c r="AV20" s="142"/>
      <c r="AW20" s="142"/>
      <c r="AX20" s="142"/>
      <c r="AY20" s="142"/>
      <c r="AZ20" s="142"/>
      <c r="BA20" s="142"/>
      <c r="BB20" s="142"/>
      <c r="BC20" s="142"/>
    </row>
    <row r="21" spans="1:55">
      <c r="A21" s="153">
        <v>2</v>
      </c>
      <c r="C21" s="108" t="s">
        <v>267</v>
      </c>
      <c r="D21" s="108"/>
      <c r="E21" s="868" t="s">
        <v>804</v>
      </c>
      <c r="F21" s="154"/>
      <c r="G21" s="444">
        <f>'DE Ohio &amp; Kentucky'!J93</f>
        <v>507414455.24084401</v>
      </c>
      <c r="K21" s="142"/>
      <c r="L21" s="142"/>
      <c r="M21" s="142"/>
      <c r="N21" s="142"/>
      <c r="O21" s="142"/>
      <c r="P21" s="142"/>
      <c r="Q21" s="142"/>
      <c r="R21" s="142"/>
      <c r="S21" s="142"/>
      <c r="T21" s="142"/>
      <c r="U21" s="142"/>
      <c r="V21" s="142"/>
      <c r="W21" s="142"/>
      <c r="X21" s="142"/>
      <c r="Y21" s="142"/>
      <c r="Z21" s="142"/>
      <c r="AA21" s="142"/>
      <c r="AB21" s="142"/>
      <c r="AC21" s="142"/>
      <c r="AD21" s="142"/>
      <c r="AE21" s="142"/>
      <c r="AF21" s="142"/>
      <c r="AG21" s="142"/>
      <c r="AH21" s="142"/>
      <c r="AI21" s="142"/>
      <c r="AJ21" s="142"/>
      <c r="AK21" s="142"/>
      <c r="AL21" s="142"/>
      <c r="AM21" s="142"/>
      <c r="AN21" s="142"/>
      <c r="AO21" s="142"/>
      <c r="AP21" s="142"/>
      <c r="AQ21" s="142"/>
      <c r="AR21" s="142"/>
      <c r="AS21" s="142"/>
      <c r="AT21" s="142"/>
      <c r="AU21" s="142"/>
      <c r="AV21" s="142"/>
      <c r="AW21" s="142"/>
      <c r="AX21" s="142"/>
      <c r="AY21" s="142"/>
      <c r="AZ21" s="142"/>
      <c r="BA21" s="142"/>
      <c r="BB21" s="142"/>
      <c r="BC21" s="142"/>
    </row>
    <row r="22" spans="1:55">
      <c r="A22" s="153"/>
      <c r="E22" s="868"/>
      <c r="F22" s="154"/>
      <c r="K22" s="142"/>
      <c r="L22" s="142"/>
      <c r="M22" s="142"/>
      <c r="N22" s="142"/>
      <c r="O22" s="142"/>
      <c r="P22" s="142"/>
      <c r="Q22" s="142"/>
      <c r="R22" s="142"/>
      <c r="S22" s="142"/>
      <c r="T22" s="142"/>
      <c r="U22" s="142"/>
      <c r="V22" s="142"/>
      <c r="W22" s="142"/>
      <c r="X22" s="142"/>
      <c r="Y22" s="142"/>
      <c r="Z22" s="142"/>
      <c r="AA22" s="142"/>
      <c r="AB22" s="142"/>
      <c r="AC22" s="142"/>
      <c r="AD22" s="142"/>
      <c r="AE22" s="142"/>
      <c r="AF22" s="142"/>
      <c r="AG22" s="142"/>
      <c r="AH22" s="142"/>
      <c r="AI22" s="142"/>
      <c r="AJ22" s="142"/>
      <c r="AK22" s="142"/>
      <c r="AL22" s="142"/>
      <c r="AM22" s="142"/>
      <c r="AN22" s="142"/>
      <c r="AO22" s="142"/>
      <c r="AP22" s="142"/>
      <c r="AQ22" s="142"/>
      <c r="AR22" s="142"/>
      <c r="AS22" s="142"/>
      <c r="AT22" s="142"/>
      <c r="AU22" s="142"/>
      <c r="AV22" s="142"/>
      <c r="AW22" s="142"/>
      <c r="AX22" s="142"/>
      <c r="AY22" s="142"/>
      <c r="AZ22" s="142"/>
      <c r="BA22" s="142"/>
      <c r="BB22" s="142"/>
      <c r="BC22" s="142"/>
    </row>
    <row r="23" spans="1:55">
      <c r="A23" s="153"/>
      <c r="C23" s="108" t="s">
        <v>232</v>
      </c>
      <c r="D23" s="108"/>
      <c r="E23" s="868"/>
      <c r="F23" s="154"/>
      <c r="G23" s="112"/>
      <c r="I23" s="112"/>
      <c r="K23" s="142"/>
      <c r="L23" s="142"/>
      <c r="M23" s="142"/>
      <c r="N23" s="142"/>
      <c r="O23" s="142"/>
      <c r="P23" s="142"/>
      <c r="Q23" s="142"/>
      <c r="R23" s="142"/>
      <c r="S23" s="142"/>
      <c r="T23" s="142"/>
      <c r="U23" s="142"/>
      <c r="V23" s="142"/>
      <c r="W23" s="142"/>
      <c r="X23" s="142"/>
      <c r="Y23" s="142"/>
      <c r="Z23" s="142"/>
      <c r="AA23" s="142"/>
      <c r="AB23" s="142"/>
      <c r="AC23" s="142"/>
      <c r="AD23" s="142"/>
      <c r="AE23" s="142"/>
      <c r="AF23" s="142"/>
      <c r="AG23" s="142"/>
      <c r="AH23" s="142"/>
      <c r="AI23" s="142"/>
      <c r="AJ23" s="142"/>
      <c r="AK23" s="142"/>
      <c r="AL23" s="142"/>
      <c r="AM23" s="142"/>
      <c r="AN23" s="142"/>
      <c r="AO23" s="142"/>
      <c r="AP23" s="142"/>
      <c r="AQ23" s="142"/>
      <c r="AR23" s="142"/>
      <c r="AS23" s="142"/>
      <c r="AT23" s="142"/>
      <c r="AU23" s="142"/>
      <c r="AV23" s="142"/>
      <c r="AW23" s="142"/>
      <c r="AX23" s="142"/>
      <c r="AY23" s="142"/>
      <c r="AZ23" s="142"/>
      <c r="BA23" s="142"/>
      <c r="BB23" s="142"/>
      <c r="BC23" s="142"/>
    </row>
    <row r="24" spans="1:55">
      <c r="A24" s="153">
        <v>3</v>
      </c>
      <c r="C24" s="108" t="s">
        <v>268</v>
      </c>
      <c r="D24" s="108"/>
      <c r="E24" s="868" t="s">
        <v>805</v>
      </c>
      <c r="F24" s="154"/>
      <c r="G24" s="444">
        <f>'DE Ohio &amp; Kentucky'!J149</f>
        <v>25735737</v>
      </c>
      <c r="K24" s="142"/>
      <c r="L24" s="142"/>
      <c r="M24" s="142"/>
      <c r="N24" s="142"/>
      <c r="O24" s="142"/>
      <c r="P24" s="142"/>
      <c r="Q24" s="142"/>
      <c r="R24" s="142"/>
      <c r="S24" s="142"/>
      <c r="T24" s="142"/>
      <c r="U24" s="142"/>
      <c r="V24" s="142"/>
      <c r="W24" s="142"/>
      <c r="X24" s="142"/>
      <c r="Y24" s="142"/>
      <c r="Z24" s="142"/>
      <c r="AA24" s="142"/>
      <c r="AB24" s="142"/>
      <c r="AC24" s="142"/>
      <c r="AD24" s="142"/>
      <c r="AE24" s="142"/>
      <c r="AF24" s="142"/>
      <c r="AG24" s="142"/>
      <c r="AH24" s="142"/>
      <c r="AI24" s="142"/>
      <c r="AJ24" s="142"/>
      <c r="AK24" s="142"/>
      <c r="AL24" s="142"/>
      <c r="AM24" s="142"/>
      <c r="AN24" s="142"/>
      <c r="AO24" s="142"/>
      <c r="AP24" s="142"/>
      <c r="AQ24" s="142"/>
      <c r="AR24" s="142"/>
      <c r="AS24" s="142"/>
      <c r="AT24" s="142"/>
      <c r="AU24" s="142"/>
      <c r="AV24" s="142"/>
      <c r="AW24" s="142"/>
      <c r="AX24" s="142"/>
      <c r="AY24" s="142"/>
      <c r="AZ24" s="142"/>
      <c r="BA24" s="142"/>
      <c r="BB24" s="142"/>
      <c r="BC24" s="142"/>
    </row>
    <row r="25" spans="1:55">
      <c r="A25" s="153">
        <v>4</v>
      </c>
      <c r="C25" s="108" t="s">
        <v>269</v>
      </c>
      <c r="D25" s="108"/>
      <c r="E25" s="868" t="s">
        <v>700</v>
      </c>
      <c r="F25" s="154"/>
      <c r="G25" s="156">
        <f>IF(G24=0,0,G24/G20)</f>
        <v>3.3800820736601456E-2</v>
      </c>
      <c r="I25" s="157">
        <f>G25</f>
        <v>3.3800820736601456E-2</v>
      </c>
      <c r="K25" s="142"/>
      <c r="L25" s="142"/>
      <c r="M25" s="142"/>
      <c r="N25" s="142"/>
      <c r="O25" s="142"/>
      <c r="P25" s="142"/>
      <c r="Q25" s="142"/>
      <c r="R25" s="142"/>
      <c r="S25" s="142"/>
      <c r="T25" s="142"/>
      <c r="U25" s="142"/>
      <c r="V25" s="142"/>
      <c r="W25" s="142"/>
      <c r="X25" s="142"/>
      <c r="Y25" s="142"/>
      <c r="Z25" s="142"/>
      <c r="AA25" s="142"/>
      <c r="AB25" s="142"/>
      <c r="AC25" s="142"/>
      <c r="AD25" s="142"/>
      <c r="AE25" s="142"/>
      <c r="AF25" s="142"/>
      <c r="AG25" s="142"/>
      <c r="AH25" s="142"/>
      <c r="AI25" s="142"/>
      <c r="AJ25" s="142"/>
      <c r="AK25" s="142"/>
      <c r="AL25" s="142"/>
      <c r="AM25" s="142"/>
      <c r="AN25" s="142"/>
      <c r="AO25" s="142"/>
      <c r="AP25" s="142"/>
      <c r="AQ25" s="142"/>
      <c r="AR25" s="142"/>
      <c r="AS25" s="142"/>
      <c r="AT25" s="142"/>
      <c r="AU25" s="142"/>
      <c r="AV25" s="142"/>
      <c r="AW25" s="142"/>
      <c r="AX25" s="142"/>
      <c r="AY25" s="142"/>
      <c r="AZ25" s="142"/>
      <c r="BA25" s="142"/>
      <c r="BB25" s="142"/>
      <c r="BC25" s="142"/>
    </row>
    <row r="26" spans="1:55">
      <c r="A26" s="153"/>
      <c r="E26" s="868"/>
      <c r="F26" s="154"/>
      <c r="K26" s="142"/>
      <c r="L26" s="142"/>
      <c r="M26" s="142"/>
      <c r="N26" s="142"/>
      <c r="O26" s="142"/>
      <c r="P26" s="142"/>
      <c r="Q26" s="142"/>
      <c r="R26" s="142"/>
      <c r="S26" s="142"/>
      <c r="T26" s="142"/>
      <c r="U26" s="142"/>
      <c r="V26" s="142"/>
      <c r="W26" s="142"/>
      <c r="X26" s="142"/>
      <c r="Y26" s="142"/>
      <c r="Z26" s="142"/>
      <c r="AA26" s="142"/>
      <c r="AB26" s="142"/>
      <c r="AC26" s="142"/>
      <c r="AD26" s="142"/>
      <c r="AE26" s="142"/>
      <c r="AF26" s="142"/>
      <c r="AG26" s="142"/>
      <c r="AH26" s="142"/>
      <c r="AI26" s="142"/>
      <c r="AJ26" s="142"/>
      <c r="AK26" s="142"/>
      <c r="AL26" s="142"/>
      <c r="AM26" s="142"/>
      <c r="AN26" s="142"/>
      <c r="AO26" s="142"/>
      <c r="AP26" s="142"/>
      <c r="AQ26" s="142"/>
      <c r="AR26" s="142"/>
      <c r="AS26" s="142"/>
      <c r="AT26" s="142"/>
      <c r="AU26" s="142"/>
      <c r="AV26" s="142"/>
      <c r="AW26" s="142"/>
      <c r="AX26" s="142"/>
      <c r="AY26" s="142"/>
      <c r="AZ26" s="142"/>
      <c r="BA26" s="142"/>
      <c r="BB26" s="142"/>
      <c r="BC26" s="142"/>
    </row>
    <row r="27" spans="1:55">
      <c r="A27" s="153"/>
      <c r="C27" s="108" t="s">
        <v>320</v>
      </c>
      <c r="D27" s="108"/>
      <c r="E27" s="866"/>
      <c r="F27" s="154"/>
      <c r="K27" s="142"/>
      <c r="L27" s="142"/>
      <c r="M27" s="142"/>
      <c r="N27" s="142"/>
      <c r="O27" s="142"/>
      <c r="P27" s="142"/>
      <c r="Q27" s="142"/>
      <c r="R27" s="142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  <c r="AF27" s="142"/>
      <c r="AG27" s="142"/>
      <c r="AH27" s="142"/>
      <c r="AI27" s="142"/>
      <c r="AJ27" s="142"/>
      <c r="AK27" s="142"/>
      <c r="AL27" s="142"/>
      <c r="AM27" s="142"/>
      <c r="AN27" s="142"/>
      <c r="AO27" s="142"/>
      <c r="AP27" s="142"/>
      <c r="AQ27" s="142"/>
      <c r="AR27" s="142"/>
      <c r="AS27" s="142"/>
      <c r="AT27" s="142"/>
      <c r="AU27" s="142"/>
      <c r="AV27" s="142"/>
      <c r="AW27" s="142"/>
      <c r="AX27" s="142"/>
      <c r="AY27" s="142"/>
      <c r="AZ27" s="142"/>
      <c r="BA27" s="142"/>
      <c r="BB27" s="142"/>
      <c r="BC27" s="142"/>
    </row>
    <row r="28" spans="1:55">
      <c r="A28" s="166" t="s">
        <v>270</v>
      </c>
      <c r="C28" s="108" t="s">
        <v>321</v>
      </c>
      <c r="D28" s="108"/>
      <c r="E28" s="868" t="s">
        <v>806</v>
      </c>
      <c r="F28" s="154"/>
      <c r="G28" s="444">
        <f>'DE Ohio &amp; Kentucky'!J153+'DE Ohio &amp; Kentucky'!J154</f>
        <v>2504044</v>
      </c>
      <c r="K28" s="142"/>
      <c r="L28" s="142"/>
      <c r="M28" s="142"/>
      <c r="N28" s="142"/>
      <c r="O28" s="142"/>
      <c r="P28" s="142"/>
      <c r="Q28" s="142"/>
      <c r="R28" s="142"/>
      <c r="S28" s="142"/>
      <c r="T28" s="142"/>
      <c r="U28" s="142"/>
      <c r="V28" s="142"/>
      <c r="W28" s="142"/>
      <c r="X28" s="142"/>
      <c r="Y28" s="142"/>
      <c r="Z28" s="142"/>
      <c r="AA28" s="142"/>
      <c r="AB28" s="142"/>
      <c r="AC28" s="142"/>
      <c r="AD28" s="142"/>
      <c r="AE28" s="142"/>
      <c r="AF28" s="142"/>
      <c r="AG28" s="142"/>
      <c r="AH28" s="142"/>
      <c r="AI28" s="142"/>
      <c r="AJ28" s="142"/>
      <c r="AK28" s="142"/>
      <c r="AL28" s="142"/>
      <c r="AM28" s="142"/>
      <c r="AN28" s="142"/>
      <c r="AO28" s="142"/>
      <c r="AP28" s="142"/>
      <c r="AQ28" s="142"/>
      <c r="AR28" s="142"/>
      <c r="AS28" s="142"/>
      <c r="AT28" s="142"/>
      <c r="AU28" s="142"/>
      <c r="AV28" s="142"/>
      <c r="AW28" s="142"/>
      <c r="AX28" s="142"/>
      <c r="AY28" s="142"/>
      <c r="AZ28" s="142"/>
      <c r="BA28" s="142"/>
      <c r="BB28" s="142"/>
      <c r="BC28" s="142"/>
    </row>
    <row r="29" spans="1:55">
      <c r="A29" s="166" t="s">
        <v>271</v>
      </c>
      <c r="C29" s="108" t="s">
        <v>322</v>
      </c>
      <c r="D29" s="108"/>
      <c r="E29" s="868" t="s">
        <v>701</v>
      </c>
      <c r="F29" s="154"/>
      <c r="G29" s="156">
        <f>IF(G28=0,0,G28/G20)</f>
        <v>3.2887631063591638E-3</v>
      </c>
      <c r="I29" s="157">
        <f>G29</f>
        <v>3.2887631063591638E-3</v>
      </c>
      <c r="K29" s="142"/>
      <c r="L29" s="142"/>
      <c r="M29" s="142"/>
      <c r="N29" s="142"/>
      <c r="O29" s="142"/>
      <c r="P29" s="142"/>
      <c r="Q29" s="142"/>
      <c r="R29" s="142"/>
      <c r="S29" s="142"/>
      <c r="T29" s="142"/>
      <c r="U29" s="142"/>
      <c r="V29" s="142"/>
      <c r="W29" s="142"/>
      <c r="X29" s="142"/>
      <c r="Y29" s="142"/>
      <c r="Z29" s="142"/>
      <c r="AA29" s="142"/>
      <c r="AB29" s="142"/>
      <c r="AC29" s="142"/>
      <c r="AD29" s="142"/>
      <c r="AE29" s="142"/>
      <c r="AF29" s="142"/>
      <c r="AG29" s="142"/>
      <c r="AH29" s="142"/>
      <c r="AI29" s="142"/>
      <c r="AJ29" s="142"/>
      <c r="AK29" s="142"/>
      <c r="AL29" s="142"/>
      <c r="AM29" s="142"/>
      <c r="AN29" s="142"/>
      <c r="AO29" s="142"/>
      <c r="AP29" s="142"/>
      <c r="AQ29" s="142"/>
      <c r="AR29" s="142"/>
      <c r="AS29" s="142"/>
      <c r="AT29" s="142"/>
      <c r="AU29" s="142"/>
      <c r="AV29" s="142"/>
      <c r="AW29" s="142"/>
      <c r="AX29" s="142"/>
      <c r="AY29" s="142"/>
      <c r="AZ29" s="142"/>
      <c r="BA29" s="142"/>
      <c r="BB29" s="142"/>
      <c r="BC29" s="142"/>
    </row>
    <row r="30" spans="1:55">
      <c r="A30" s="153"/>
      <c r="E30" s="868"/>
      <c r="F30" s="154"/>
      <c r="K30" s="142"/>
      <c r="L30" s="142"/>
      <c r="M30" s="142"/>
      <c r="N30" s="142"/>
      <c r="O30" s="142"/>
      <c r="P30" s="142"/>
      <c r="Q30" s="142"/>
      <c r="R30" s="142"/>
      <c r="S30" s="142"/>
      <c r="T30" s="142"/>
      <c r="U30" s="142"/>
      <c r="V30" s="142"/>
      <c r="W30" s="142"/>
      <c r="X30" s="142"/>
      <c r="Y30" s="142"/>
      <c r="Z30" s="142"/>
      <c r="AA30" s="142"/>
      <c r="AB30" s="142"/>
      <c r="AC30" s="142"/>
      <c r="AD30" s="142"/>
      <c r="AE30" s="142"/>
      <c r="AF30" s="142"/>
      <c r="AG30" s="142"/>
      <c r="AH30" s="142"/>
      <c r="AI30" s="142"/>
      <c r="AJ30" s="142"/>
      <c r="AK30" s="142"/>
      <c r="AL30" s="142"/>
      <c r="AM30" s="142"/>
      <c r="AN30" s="142"/>
      <c r="AO30" s="142"/>
      <c r="AP30" s="142"/>
      <c r="AQ30" s="142"/>
      <c r="AR30" s="142"/>
      <c r="AS30" s="142"/>
      <c r="AT30" s="142"/>
      <c r="AU30" s="142"/>
      <c r="AV30" s="142"/>
      <c r="AW30" s="142"/>
      <c r="AX30" s="142"/>
      <c r="AY30" s="142"/>
      <c r="AZ30" s="142"/>
      <c r="BA30" s="142"/>
      <c r="BB30" s="142"/>
      <c r="BC30" s="142"/>
    </row>
    <row r="31" spans="1:55">
      <c r="A31" s="160"/>
      <c r="C31" s="108" t="s">
        <v>235</v>
      </c>
      <c r="D31" s="108"/>
      <c r="E31" s="866"/>
      <c r="F31" s="114"/>
      <c r="G31" s="112"/>
      <c r="I31" s="112"/>
      <c r="K31" s="142"/>
      <c r="L31" s="142"/>
      <c r="M31" s="142"/>
      <c r="N31" s="142"/>
      <c r="O31" s="142"/>
      <c r="P31" s="142"/>
      <c r="Q31" s="142"/>
      <c r="R31" s="142"/>
      <c r="S31" s="142"/>
      <c r="T31" s="142"/>
      <c r="U31" s="142"/>
      <c r="V31" s="142"/>
      <c r="W31" s="142"/>
      <c r="X31" s="142"/>
      <c r="Y31" s="142"/>
      <c r="Z31" s="142"/>
      <c r="AA31" s="142"/>
      <c r="AB31" s="142"/>
      <c r="AC31" s="142"/>
      <c r="AD31" s="142"/>
      <c r="AE31" s="142"/>
      <c r="AF31" s="142"/>
      <c r="AG31" s="142"/>
      <c r="AH31" s="142"/>
      <c r="AI31" s="142"/>
      <c r="AJ31" s="142"/>
      <c r="AK31" s="142"/>
      <c r="AL31" s="142"/>
      <c r="AM31" s="142"/>
      <c r="AN31" s="142"/>
      <c r="AO31" s="142"/>
      <c r="AP31" s="142"/>
      <c r="AQ31" s="142"/>
      <c r="AR31" s="142"/>
      <c r="AS31" s="142"/>
      <c r="AT31" s="142"/>
      <c r="AU31" s="142"/>
      <c r="AV31" s="142"/>
      <c r="AW31" s="142"/>
      <c r="AX31" s="142"/>
      <c r="AY31" s="142"/>
      <c r="AZ31" s="142"/>
      <c r="BA31" s="142"/>
      <c r="BB31" s="142"/>
      <c r="BC31" s="142"/>
    </row>
    <row r="32" spans="1:55">
      <c r="A32" s="160" t="s">
        <v>273</v>
      </c>
      <c r="C32" s="108" t="s">
        <v>237</v>
      </c>
      <c r="D32" s="108"/>
      <c r="E32" s="868" t="s">
        <v>807</v>
      </c>
      <c r="F32" s="154"/>
      <c r="G32" s="444">
        <f>'DE Ohio &amp; Kentucky'!J166</f>
        <v>18465287</v>
      </c>
      <c r="K32" s="142"/>
      <c r="L32" s="142"/>
      <c r="M32" s="142"/>
      <c r="N32" s="142"/>
      <c r="O32" s="142"/>
      <c r="P32" s="142"/>
      <c r="Q32" s="142"/>
      <c r="R32" s="142"/>
      <c r="S32" s="142"/>
      <c r="T32" s="142"/>
      <c r="U32" s="142"/>
      <c r="V32" s="142"/>
      <c r="W32" s="142"/>
      <c r="X32" s="142"/>
      <c r="Y32" s="142"/>
      <c r="Z32" s="142"/>
      <c r="AA32" s="142"/>
      <c r="AB32" s="142"/>
      <c r="AC32" s="142"/>
      <c r="AD32" s="142"/>
      <c r="AE32" s="142"/>
      <c r="AF32" s="142"/>
      <c r="AG32" s="142"/>
      <c r="AH32" s="142"/>
      <c r="AI32" s="142"/>
      <c r="AJ32" s="142"/>
      <c r="AK32" s="142"/>
      <c r="AL32" s="142"/>
      <c r="AM32" s="142"/>
      <c r="AN32" s="142"/>
      <c r="AO32" s="142"/>
      <c r="AP32" s="142"/>
      <c r="AQ32" s="142"/>
      <c r="AR32" s="142"/>
      <c r="AS32" s="142"/>
      <c r="AT32" s="142"/>
      <c r="AU32" s="142"/>
      <c r="AV32" s="142"/>
      <c r="AW32" s="142"/>
      <c r="AX32" s="142"/>
      <c r="AY32" s="142"/>
      <c r="AZ32" s="142"/>
      <c r="BA32" s="142"/>
      <c r="BB32" s="142"/>
      <c r="BC32" s="142"/>
    </row>
    <row r="33" spans="1:55">
      <c r="A33" s="160" t="s">
        <v>275</v>
      </c>
      <c r="C33" s="108" t="s">
        <v>272</v>
      </c>
      <c r="D33" s="108"/>
      <c r="E33" s="868" t="s">
        <v>798</v>
      </c>
      <c r="F33" s="154"/>
      <c r="G33" s="156">
        <f>IF(G32=0,0,G32/G20)</f>
        <v>2.4251951896186123E-2</v>
      </c>
      <c r="I33" s="157">
        <f>G33</f>
        <v>2.4251951896186123E-2</v>
      </c>
      <c r="K33" s="142"/>
      <c r="L33" s="142"/>
      <c r="M33" s="142"/>
      <c r="N33" s="142"/>
      <c r="O33" s="142"/>
      <c r="P33" s="142"/>
      <c r="Q33" s="142"/>
      <c r="R33" s="142"/>
      <c r="S33" s="142"/>
      <c r="T33" s="142"/>
      <c r="U33" s="142"/>
      <c r="V33" s="142"/>
      <c r="W33" s="142"/>
      <c r="X33" s="142"/>
      <c r="Y33" s="142"/>
      <c r="Z33" s="142"/>
      <c r="AA33" s="142"/>
      <c r="AB33" s="142"/>
      <c r="AC33" s="142"/>
      <c r="AD33" s="142"/>
      <c r="AE33" s="142"/>
      <c r="AF33" s="142"/>
      <c r="AG33" s="142"/>
      <c r="AH33" s="142"/>
      <c r="AI33" s="142"/>
      <c r="AJ33" s="142"/>
      <c r="AK33" s="142"/>
      <c r="AL33" s="142"/>
      <c r="AM33" s="142"/>
      <c r="AN33" s="142"/>
      <c r="AO33" s="142"/>
      <c r="AP33" s="142"/>
      <c r="AQ33" s="142"/>
      <c r="AR33" s="142"/>
      <c r="AS33" s="142"/>
      <c r="AT33" s="142"/>
      <c r="AU33" s="142"/>
      <c r="AV33" s="142"/>
      <c r="AW33" s="142"/>
      <c r="AX33" s="142"/>
      <c r="AY33" s="142"/>
      <c r="AZ33" s="142"/>
      <c r="BA33" s="142"/>
      <c r="BB33" s="142"/>
      <c r="BC33" s="142"/>
    </row>
    <row r="34" spans="1:55">
      <c r="A34" s="160"/>
      <c r="C34" s="108"/>
      <c r="D34" s="108"/>
      <c r="E34" s="868"/>
      <c r="F34" s="154"/>
      <c r="G34" s="112"/>
      <c r="I34" s="112"/>
      <c r="K34" s="142"/>
      <c r="L34" s="142"/>
      <c r="M34" s="142"/>
      <c r="N34" s="142"/>
      <c r="O34" s="142"/>
      <c r="P34" s="142"/>
      <c r="Q34" s="142"/>
      <c r="R34" s="142"/>
      <c r="S34" s="142"/>
      <c r="T34" s="142"/>
      <c r="U34" s="142"/>
      <c r="V34" s="142"/>
      <c r="W34" s="142"/>
      <c r="X34" s="142"/>
      <c r="Y34" s="142"/>
      <c r="Z34" s="142"/>
      <c r="AA34" s="142"/>
      <c r="AB34" s="142"/>
      <c r="AC34" s="142"/>
      <c r="AD34" s="142"/>
      <c r="AE34" s="142"/>
      <c r="AF34" s="142"/>
      <c r="AG34" s="142"/>
      <c r="AH34" s="142"/>
      <c r="AI34" s="142"/>
      <c r="AJ34" s="142"/>
      <c r="AK34" s="142"/>
      <c r="AL34" s="142"/>
      <c r="AM34" s="142"/>
      <c r="AN34" s="142"/>
      <c r="AO34" s="142"/>
      <c r="AP34" s="142"/>
      <c r="AQ34" s="142"/>
      <c r="AR34" s="142"/>
      <c r="AS34" s="142"/>
      <c r="AT34" s="142"/>
      <c r="AU34" s="142"/>
      <c r="AV34" s="142"/>
      <c r="AW34" s="142"/>
      <c r="AX34" s="142"/>
      <c r="AY34" s="142"/>
      <c r="AZ34" s="142"/>
      <c r="BA34" s="142"/>
      <c r="BB34" s="142"/>
      <c r="BC34" s="142"/>
    </row>
    <row r="35" spans="1:55" ht="15.75">
      <c r="A35" s="162" t="s">
        <v>233</v>
      </c>
      <c r="B35" s="163"/>
      <c r="C35" s="151" t="s">
        <v>274</v>
      </c>
      <c r="D35" s="151"/>
      <c r="E35" s="867" t="s">
        <v>568</v>
      </c>
      <c r="F35" s="148"/>
      <c r="G35" s="164"/>
      <c r="I35" s="165">
        <f>I25+I29+I33</f>
        <v>6.1341535739146746E-2</v>
      </c>
      <c r="K35" s="142"/>
      <c r="L35" s="142"/>
      <c r="M35" s="142"/>
      <c r="N35" s="142"/>
      <c r="O35" s="142"/>
      <c r="P35" s="142"/>
      <c r="Q35" s="142"/>
      <c r="R35" s="142"/>
      <c r="S35" s="142"/>
      <c r="T35" s="142"/>
      <c r="U35" s="142"/>
      <c r="V35" s="142"/>
      <c r="W35" s="142"/>
      <c r="X35" s="142"/>
      <c r="Y35" s="142"/>
      <c r="Z35" s="142"/>
      <c r="AA35" s="142"/>
      <c r="AB35" s="142"/>
      <c r="AC35" s="142"/>
      <c r="AD35" s="142"/>
      <c r="AE35" s="142"/>
      <c r="AF35" s="142"/>
      <c r="AG35" s="142"/>
      <c r="AH35" s="142"/>
      <c r="AI35" s="142"/>
      <c r="AJ35" s="142"/>
      <c r="AK35" s="142"/>
      <c r="AL35" s="142"/>
      <c r="AM35" s="142"/>
      <c r="AN35" s="142"/>
      <c r="AO35" s="142"/>
      <c r="AP35" s="142"/>
      <c r="AQ35" s="142"/>
      <c r="AR35" s="142"/>
      <c r="AS35" s="142"/>
      <c r="AT35" s="142"/>
      <c r="AU35" s="142"/>
      <c r="AV35" s="142"/>
      <c r="AW35" s="142"/>
      <c r="AX35" s="142"/>
      <c r="AY35" s="142"/>
      <c r="AZ35" s="142"/>
      <c r="BA35" s="142"/>
      <c r="BB35" s="142"/>
      <c r="BC35" s="142"/>
    </row>
    <row r="36" spans="1:55">
      <c r="A36" s="371"/>
      <c r="C36" s="108"/>
      <c r="D36" s="108"/>
      <c r="E36" s="868"/>
      <c r="F36" s="154"/>
      <c r="G36" s="112"/>
      <c r="I36" s="112"/>
      <c r="K36" s="142"/>
      <c r="L36" s="142"/>
      <c r="M36" s="142"/>
      <c r="N36" s="142"/>
      <c r="O36" s="142"/>
      <c r="P36" s="142"/>
      <c r="Q36" s="142"/>
      <c r="R36" s="142"/>
      <c r="S36" s="142"/>
      <c r="T36" s="142"/>
      <c r="U36" s="142"/>
      <c r="V36" s="142"/>
      <c r="W36" s="142"/>
      <c r="X36" s="142"/>
      <c r="Y36" s="142"/>
      <c r="Z36" s="142"/>
      <c r="AA36" s="142"/>
      <c r="AB36" s="142"/>
      <c r="AC36" s="142"/>
      <c r="AD36" s="142"/>
      <c r="AE36" s="142"/>
      <c r="AF36" s="142"/>
      <c r="AG36" s="142"/>
      <c r="AH36" s="142"/>
      <c r="AI36" s="142"/>
      <c r="AJ36" s="142"/>
      <c r="AK36" s="142"/>
      <c r="AL36" s="142"/>
      <c r="AM36" s="142"/>
      <c r="AN36" s="142"/>
      <c r="AO36" s="142"/>
      <c r="AP36" s="142"/>
      <c r="AQ36" s="142"/>
      <c r="AR36" s="142"/>
      <c r="AS36" s="142"/>
      <c r="AT36" s="142"/>
      <c r="AU36" s="142"/>
      <c r="AV36" s="142"/>
      <c r="AW36" s="142"/>
      <c r="AX36" s="142"/>
      <c r="AY36" s="142"/>
      <c r="AZ36" s="142"/>
      <c r="BA36" s="142"/>
      <c r="BB36" s="142"/>
      <c r="BC36" s="142"/>
    </row>
    <row r="37" spans="1:55">
      <c r="A37" s="166"/>
      <c r="B37" s="167"/>
      <c r="C37" s="112" t="s">
        <v>239</v>
      </c>
      <c r="D37" s="112"/>
      <c r="E37" s="868"/>
      <c r="F37" s="154"/>
      <c r="G37" s="112"/>
      <c r="I37" s="112"/>
      <c r="K37" s="142"/>
      <c r="L37" s="142"/>
      <c r="M37" s="142"/>
      <c r="N37" s="142"/>
      <c r="O37" s="142"/>
      <c r="P37" s="142"/>
      <c r="Q37" s="142"/>
      <c r="R37" s="142"/>
      <c r="S37" s="142"/>
      <c r="T37" s="142"/>
      <c r="U37" s="142"/>
      <c r="V37" s="142"/>
      <c r="W37" s="142"/>
      <c r="X37" s="142"/>
      <c r="Y37" s="142"/>
      <c r="Z37" s="142"/>
      <c r="AA37" s="142"/>
      <c r="AB37" s="142"/>
      <c r="AC37" s="142"/>
      <c r="AD37" s="142"/>
      <c r="AE37" s="142"/>
      <c r="AF37" s="142"/>
      <c r="AG37" s="142"/>
      <c r="AH37" s="142"/>
      <c r="AI37" s="142"/>
      <c r="AJ37" s="142"/>
      <c r="AK37" s="142"/>
      <c r="AL37" s="142"/>
      <c r="AM37" s="142"/>
      <c r="AN37" s="142"/>
      <c r="AO37" s="142"/>
      <c r="AP37" s="142"/>
      <c r="AQ37" s="142"/>
      <c r="AR37" s="142"/>
      <c r="AS37" s="142"/>
      <c r="AT37" s="142"/>
      <c r="AU37" s="142"/>
      <c r="AV37" s="142"/>
      <c r="AW37" s="142"/>
      <c r="AX37" s="142"/>
      <c r="AY37" s="142"/>
      <c r="AZ37" s="142"/>
      <c r="BA37" s="142"/>
      <c r="BB37" s="142"/>
      <c r="BC37" s="142"/>
    </row>
    <row r="38" spans="1:55">
      <c r="A38" s="160" t="s">
        <v>234</v>
      </c>
      <c r="B38" s="167"/>
      <c r="C38" s="112" t="s">
        <v>150</v>
      </c>
      <c r="D38" s="112"/>
      <c r="E38" s="868" t="s">
        <v>808</v>
      </c>
      <c r="F38" s="154"/>
      <c r="G38" s="444">
        <f>'DE Ohio &amp; Kentucky'!J179</f>
        <v>12199055.305908976</v>
      </c>
      <c r="I38" s="112"/>
      <c r="K38" s="142"/>
      <c r="L38" s="142"/>
      <c r="M38" s="142"/>
      <c r="N38" s="142"/>
      <c r="O38" s="142"/>
      <c r="P38" s="142"/>
      <c r="Q38" s="142"/>
      <c r="R38" s="142"/>
      <c r="S38" s="142"/>
      <c r="T38" s="142"/>
      <c r="U38" s="142"/>
      <c r="V38" s="142"/>
      <c r="W38" s="142"/>
      <c r="X38" s="142"/>
      <c r="Y38" s="142"/>
      <c r="Z38" s="142"/>
      <c r="AA38" s="142"/>
      <c r="AB38" s="142"/>
      <c r="AC38" s="142"/>
      <c r="AD38" s="142"/>
      <c r="AE38" s="142"/>
      <c r="AF38" s="142"/>
      <c r="AG38" s="142"/>
      <c r="AH38" s="142"/>
      <c r="AI38" s="142"/>
      <c r="AJ38" s="142"/>
      <c r="AK38" s="142"/>
      <c r="AL38" s="142"/>
      <c r="AM38" s="142"/>
      <c r="AN38" s="142"/>
      <c r="AO38" s="142"/>
      <c r="AP38" s="142"/>
      <c r="AQ38" s="142"/>
      <c r="AR38" s="142"/>
      <c r="AS38" s="142"/>
      <c r="AT38" s="142"/>
      <c r="AU38" s="142"/>
      <c r="AV38" s="142"/>
      <c r="AW38" s="142"/>
      <c r="AX38" s="142"/>
      <c r="AY38" s="142"/>
      <c r="AZ38" s="142"/>
      <c r="BA38" s="142"/>
      <c r="BB38" s="142"/>
      <c r="BC38" s="142"/>
    </row>
    <row r="39" spans="1:55">
      <c r="A39" s="160" t="s">
        <v>236</v>
      </c>
      <c r="B39" s="167"/>
      <c r="C39" s="112" t="s">
        <v>276</v>
      </c>
      <c r="D39" s="112"/>
      <c r="E39" s="868" t="s">
        <v>702</v>
      </c>
      <c r="F39" s="154"/>
      <c r="G39" s="156">
        <f>IF(G38=0,0,G38/G21)</f>
        <v>2.4041599879370209E-2</v>
      </c>
      <c r="I39" s="157">
        <f>G39</f>
        <v>2.4041599879370209E-2</v>
      </c>
      <c r="K39" s="142"/>
      <c r="L39" s="142"/>
      <c r="M39" s="142"/>
      <c r="N39" s="142"/>
      <c r="O39" s="142"/>
      <c r="P39" s="142"/>
      <c r="Q39" s="142"/>
      <c r="R39" s="142"/>
      <c r="S39" s="142"/>
      <c r="T39" s="142"/>
      <c r="U39" s="142"/>
      <c r="V39" s="142"/>
      <c r="W39" s="142"/>
      <c r="X39" s="142"/>
      <c r="Y39" s="142"/>
      <c r="Z39" s="142"/>
      <c r="AA39" s="142"/>
      <c r="AB39" s="142"/>
      <c r="AC39" s="142"/>
      <c r="AD39" s="142"/>
      <c r="AE39" s="142"/>
      <c r="AF39" s="142"/>
      <c r="AG39" s="142"/>
      <c r="AH39" s="142"/>
      <c r="AI39" s="142"/>
      <c r="AJ39" s="142"/>
      <c r="AK39" s="142"/>
      <c r="AL39" s="142"/>
      <c r="AM39" s="142"/>
      <c r="AN39" s="142"/>
      <c r="AO39" s="142"/>
      <c r="AP39" s="142"/>
      <c r="AQ39" s="142"/>
      <c r="AR39" s="142"/>
      <c r="AS39" s="142"/>
      <c r="AT39" s="142"/>
      <c r="AU39" s="142"/>
      <c r="AV39" s="142"/>
      <c r="AW39" s="142"/>
      <c r="AX39" s="142"/>
      <c r="AY39" s="142"/>
      <c r="AZ39" s="142"/>
      <c r="BA39" s="142"/>
      <c r="BB39" s="142"/>
      <c r="BC39" s="142"/>
    </row>
    <row r="40" spans="1:55">
      <c r="A40" s="160"/>
      <c r="C40" s="112"/>
      <c r="D40" s="112"/>
      <c r="E40" s="868"/>
      <c r="F40" s="154"/>
      <c r="G40" s="112"/>
      <c r="I40" s="112"/>
      <c r="K40" s="142"/>
      <c r="L40" s="142"/>
      <c r="M40" s="142"/>
      <c r="N40" s="142"/>
      <c r="O40" s="142"/>
      <c r="P40" s="142"/>
      <c r="Q40" s="142"/>
      <c r="R40" s="142"/>
      <c r="S40" s="142"/>
      <c r="T40" s="142"/>
      <c r="U40" s="142"/>
      <c r="V40" s="142"/>
      <c r="W40" s="142"/>
      <c r="X40" s="142"/>
      <c r="Y40" s="142"/>
      <c r="Z40" s="142"/>
      <c r="AA40" s="142"/>
      <c r="AB40" s="142"/>
      <c r="AC40" s="142"/>
      <c r="AD40" s="142"/>
      <c r="AE40" s="142"/>
      <c r="AF40" s="142"/>
      <c r="AG40" s="142"/>
      <c r="AH40" s="142"/>
      <c r="AI40" s="142"/>
      <c r="AJ40" s="142"/>
      <c r="AK40" s="142"/>
      <c r="AL40" s="142"/>
      <c r="AM40" s="142"/>
      <c r="AN40" s="142"/>
      <c r="AO40" s="142"/>
      <c r="AP40" s="142"/>
      <c r="AQ40" s="142"/>
      <c r="AR40" s="142"/>
      <c r="AS40" s="142"/>
      <c r="AT40" s="142"/>
      <c r="AU40" s="142"/>
      <c r="AV40" s="142"/>
      <c r="AW40" s="142"/>
      <c r="AX40" s="142"/>
      <c r="AY40" s="142"/>
      <c r="AZ40" s="142"/>
      <c r="BA40" s="142"/>
      <c r="BB40" s="142"/>
      <c r="BC40" s="142"/>
    </row>
    <row r="41" spans="1:55">
      <c r="A41" s="160"/>
      <c r="C41" s="108" t="s">
        <v>73</v>
      </c>
      <c r="D41" s="108"/>
      <c r="E41" s="869"/>
      <c r="F41" s="168"/>
      <c r="K41" s="142"/>
      <c r="L41" s="142"/>
      <c r="M41" s="142"/>
      <c r="N41" s="142"/>
      <c r="O41" s="142"/>
      <c r="P41" s="142"/>
      <c r="Q41" s="142"/>
      <c r="R41" s="142"/>
      <c r="S41" s="142"/>
      <c r="T41" s="142"/>
      <c r="U41" s="142"/>
      <c r="V41" s="142"/>
      <c r="W41" s="142"/>
      <c r="X41" s="142"/>
      <c r="Y41" s="142"/>
      <c r="Z41" s="142"/>
      <c r="AA41" s="142"/>
      <c r="AB41" s="142"/>
      <c r="AC41" s="142"/>
      <c r="AD41" s="142"/>
      <c r="AE41" s="142"/>
      <c r="AF41" s="142"/>
      <c r="AG41" s="142"/>
      <c r="AH41" s="142"/>
      <c r="AI41" s="142"/>
      <c r="AJ41" s="142"/>
      <c r="AK41" s="142"/>
      <c r="AL41" s="142"/>
      <c r="AM41" s="142"/>
      <c r="AN41" s="142"/>
      <c r="AO41" s="142"/>
      <c r="AP41" s="142"/>
      <c r="AQ41" s="142"/>
      <c r="AR41" s="142"/>
      <c r="AS41" s="142"/>
      <c r="AT41" s="142"/>
      <c r="AU41" s="142"/>
      <c r="AV41" s="142"/>
      <c r="AW41" s="142"/>
      <c r="AX41" s="142"/>
      <c r="AY41" s="142"/>
      <c r="AZ41" s="142"/>
      <c r="BA41" s="142"/>
      <c r="BB41" s="142"/>
      <c r="BC41" s="142"/>
    </row>
    <row r="42" spans="1:55">
      <c r="A42" s="160" t="s">
        <v>238</v>
      </c>
      <c r="C42" s="108" t="s">
        <v>240</v>
      </c>
      <c r="D42" s="108"/>
      <c r="E42" s="868" t="s">
        <v>809</v>
      </c>
      <c r="F42" s="154"/>
      <c r="G42" s="444">
        <f>'DE Ohio &amp; Kentucky'!J181</f>
        <v>33414648</v>
      </c>
      <c r="I42" s="112"/>
      <c r="K42" s="142"/>
      <c r="L42" s="142"/>
      <c r="M42" s="142"/>
      <c r="N42" s="142"/>
      <c r="O42" s="142"/>
      <c r="P42" s="142"/>
      <c r="Q42" s="142"/>
      <c r="R42" s="142"/>
      <c r="S42" s="142"/>
      <c r="T42" s="142"/>
      <c r="U42" s="142"/>
      <c r="V42" s="142"/>
      <c r="W42" s="142"/>
      <c r="X42" s="142"/>
      <c r="Y42" s="142"/>
      <c r="Z42" s="142"/>
      <c r="AA42" s="142"/>
      <c r="AB42" s="142"/>
      <c r="AC42" s="142"/>
      <c r="AD42" s="142"/>
      <c r="AE42" s="142"/>
      <c r="AF42" s="142"/>
      <c r="AG42" s="142"/>
      <c r="AH42" s="142"/>
      <c r="AI42" s="142"/>
      <c r="AJ42" s="142"/>
      <c r="AK42" s="142"/>
      <c r="AL42" s="142"/>
      <c r="AM42" s="142"/>
      <c r="AN42" s="142"/>
      <c r="AO42" s="142"/>
      <c r="AP42" s="142"/>
      <c r="AQ42" s="142"/>
      <c r="AR42" s="142"/>
      <c r="AS42" s="142"/>
      <c r="AT42" s="142"/>
      <c r="AU42" s="142"/>
      <c r="AV42" s="142"/>
      <c r="AW42" s="142"/>
      <c r="AX42" s="142"/>
      <c r="AY42" s="142"/>
      <c r="AZ42" s="142"/>
      <c r="BA42" s="142"/>
      <c r="BB42" s="142"/>
      <c r="BC42" s="142"/>
    </row>
    <row r="43" spans="1:55">
      <c r="A43" s="160" t="s">
        <v>323</v>
      </c>
      <c r="B43" s="167"/>
      <c r="C43" s="112" t="s">
        <v>277</v>
      </c>
      <c r="D43" s="112"/>
      <c r="E43" s="868" t="s">
        <v>799</v>
      </c>
      <c r="F43" s="154"/>
      <c r="G43" s="169">
        <f>IF(G42=0,0,G42/G21)</f>
        <v>6.5852771151621511E-2</v>
      </c>
      <c r="I43" s="157">
        <f>G43</f>
        <v>6.5852771151621511E-2</v>
      </c>
      <c r="K43" s="142"/>
      <c r="L43" s="142"/>
      <c r="M43" s="142"/>
      <c r="N43" s="142"/>
      <c r="O43" s="142"/>
      <c r="P43" s="142"/>
      <c r="Q43" s="142"/>
      <c r="R43" s="142"/>
      <c r="S43" s="142"/>
      <c r="T43" s="142"/>
      <c r="U43" s="142"/>
      <c r="V43" s="142"/>
      <c r="W43" s="142"/>
      <c r="X43" s="142"/>
      <c r="Y43" s="142"/>
      <c r="Z43" s="142"/>
      <c r="AA43" s="142"/>
      <c r="AB43" s="142"/>
      <c r="AC43" s="142"/>
      <c r="AD43" s="142"/>
      <c r="AE43" s="142"/>
      <c r="AF43" s="142"/>
      <c r="AG43" s="142"/>
      <c r="AH43" s="142"/>
      <c r="AI43" s="142"/>
      <c r="AJ43" s="142"/>
      <c r="AK43" s="142"/>
      <c r="AL43" s="142"/>
      <c r="AM43" s="142"/>
      <c r="AN43" s="142"/>
      <c r="AO43" s="142"/>
      <c r="AP43" s="142"/>
      <c r="AQ43" s="142"/>
      <c r="AR43" s="142"/>
      <c r="AS43" s="142"/>
      <c r="AT43" s="142"/>
      <c r="AU43" s="142"/>
      <c r="AV43" s="142"/>
      <c r="AW43" s="142"/>
      <c r="AX43" s="142"/>
      <c r="AY43" s="142"/>
      <c r="AZ43" s="142"/>
      <c r="BA43" s="142"/>
      <c r="BB43" s="142"/>
      <c r="BC43" s="142"/>
    </row>
    <row r="44" spans="1:55">
      <c r="A44" s="160"/>
      <c r="C44" s="108"/>
      <c r="D44" s="108"/>
      <c r="E44" s="868"/>
      <c r="F44" s="154"/>
      <c r="G44" s="112"/>
      <c r="I44" s="112"/>
      <c r="K44" s="142"/>
      <c r="L44" s="142"/>
      <c r="M44" s="142"/>
      <c r="N44" s="142"/>
      <c r="O44" s="142"/>
      <c r="P44" s="142"/>
      <c r="Q44" s="142"/>
      <c r="R44" s="142"/>
      <c r="S44" s="142"/>
      <c r="T44" s="142"/>
      <c r="U44" s="142"/>
      <c r="V44" s="142"/>
      <c r="W44" s="142"/>
      <c r="X44" s="142"/>
      <c r="Y44" s="142"/>
      <c r="Z44" s="142"/>
      <c r="AA44" s="142"/>
      <c r="AB44" s="142"/>
      <c r="AC44" s="142"/>
      <c r="AD44" s="142"/>
      <c r="AE44" s="142"/>
      <c r="AF44" s="142"/>
      <c r="AG44" s="142"/>
      <c r="AH44" s="142"/>
      <c r="AI44" s="142"/>
      <c r="AJ44" s="142"/>
      <c r="AK44" s="142"/>
      <c r="AL44" s="142"/>
      <c r="AM44" s="142"/>
      <c r="AN44" s="142"/>
      <c r="AO44" s="142"/>
      <c r="AP44" s="142"/>
      <c r="AQ44" s="142"/>
      <c r="AR44" s="142"/>
      <c r="AS44" s="142"/>
      <c r="AT44" s="142"/>
      <c r="AU44" s="142"/>
      <c r="AV44" s="142"/>
      <c r="AW44" s="142"/>
      <c r="AX44" s="142"/>
      <c r="AY44" s="142"/>
      <c r="AZ44" s="142"/>
      <c r="BA44" s="142"/>
      <c r="BB44" s="142"/>
      <c r="BC44" s="142"/>
    </row>
    <row r="45" spans="1:55" ht="15.75">
      <c r="A45" s="162" t="s">
        <v>324</v>
      </c>
      <c r="B45" s="163"/>
      <c r="C45" s="151" t="s">
        <v>278</v>
      </c>
      <c r="D45" s="151"/>
      <c r="E45" s="867" t="s">
        <v>419</v>
      </c>
      <c r="F45" s="148"/>
      <c r="G45" s="164"/>
      <c r="I45" s="165">
        <f>I39+I43</f>
        <v>8.9894371030991724E-2</v>
      </c>
      <c r="K45" s="142"/>
      <c r="L45" s="142"/>
      <c r="M45" s="142"/>
      <c r="N45" s="142"/>
      <c r="O45" s="142"/>
      <c r="P45" s="142"/>
      <c r="Q45" s="142"/>
      <c r="R45" s="142"/>
      <c r="S45" s="142"/>
      <c r="T45" s="142"/>
      <c r="U45" s="142"/>
      <c r="V45" s="142"/>
      <c r="W45" s="142"/>
      <c r="X45" s="142"/>
      <c r="Y45" s="142"/>
      <c r="Z45" s="142"/>
      <c r="AA45" s="142"/>
      <c r="AB45" s="142"/>
      <c r="AC45" s="142"/>
      <c r="AD45" s="142"/>
      <c r="AE45" s="142"/>
      <c r="AF45" s="142"/>
      <c r="AG45" s="142"/>
      <c r="AH45" s="142"/>
      <c r="AI45" s="142"/>
      <c r="AJ45" s="142"/>
      <c r="AK45" s="142"/>
      <c r="AL45" s="142"/>
      <c r="AM45" s="142"/>
      <c r="AN45" s="142"/>
      <c r="AO45" s="142"/>
      <c r="AP45" s="142"/>
      <c r="AQ45" s="142"/>
      <c r="AR45" s="142"/>
      <c r="AS45" s="142"/>
      <c r="AT45" s="142"/>
      <c r="AU45" s="142"/>
      <c r="AV45" s="142"/>
      <c r="AW45" s="142"/>
      <c r="AX45" s="142"/>
      <c r="AY45" s="142"/>
      <c r="AZ45" s="142"/>
      <c r="BA45" s="142"/>
      <c r="BB45" s="142"/>
      <c r="BC45" s="142"/>
    </row>
    <row r="46" spans="1:55">
      <c r="K46" s="142"/>
      <c r="L46" s="142"/>
      <c r="M46" s="142"/>
      <c r="N46" s="142"/>
      <c r="O46" s="142"/>
      <c r="P46" s="142"/>
      <c r="Q46" s="142"/>
      <c r="R46" s="142"/>
      <c r="S46" s="142"/>
      <c r="T46" s="142"/>
      <c r="U46" s="142"/>
      <c r="V46" s="142"/>
      <c r="W46" s="142"/>
      <c r="X46" s="142"/>
      <c r="Y46" s="142"/>
      <c r="Z46" s="142"/>
      <c r="AA46" s="142"/>
      <c r="AB46" s="142"/>
      <c r="AC46" s="142"/>
      <c r="AD46" s="142"/>
      <c r="AE46" s="142"/>
      <c r="AF46" s="142"/>
      <c r="AG46" s="142"/>
      <c r="AH46" s="142"/>
      <c r="AI46" s="142"/>
      <c r="AJ46" s="142"/>
      <c r="AK46" s="142"/>
      <c r="AL46" s="142"/>
      <c r="AM46" s="142"/>
      <c r="AN46" s="142"/>
      <c r="AO46" s="142"/>
      <c r="AP46" s="142"/>
      <c r="AQ46" s="142"/>
      <c r="AR46" s="142"/>
      <c r="AS46" s="142"/>
      <c r="AT46" s="142"/>
      <c r="AU46" s="142"/>
      <c r="AV46" s="142"/>
      <c r="AW46" s="142"/>
      <c r="AX46" s="142"/>
      <c r="AY46" s="142"/>
      <c r="AZ46" s="142"/>
      <c r="BA46" s="142"/>
      <c r="BB46" s="142"/>
      <c r="BC46" s="142"/>
    </row>
    <row r="47" spans="1:55">
      <c r="A47" s="172"/>
      <c r="B47" s="142"/>
      <c r="C47" s="166"/>
      <c r="D47" s="166"/>
      <c r="E47" s="114"/>
      <c r="F47" s="114"/>
      <c r="G47" s="112"/>
      <c r="H47" s="107"/>
      <c r="I47" s="107"/>
      <c r="J47" s="156"/>
      <c r="K47" s="142"/>
      <c r="L47" s="142"/>
      <c r="M47" s="142"/>
      <c r="N47" s="142"/>
      <c r="O47" s="142"/>
      <c r="P47" s="142"/>
      <c r="Q47" s="142"/>
      <c r="R47" s="142"/>
      <c r="S47" s="142"/>
      <c r="T47" s="142"/>
      <c r="U47" s="142"/>
      <c r="V47" s="142"/>
      <c r="W47" s="142"/>
      <c r="X47" s="142"/>
      <c r="Y47" s="142"/>
      <c r="Z47" s="142"/>
      <c r="AA47" s="142"/>
      <c r="AB47" s="142"/>
      <c r="AC47" s="142"/>
      <c r="AD47" s="142"/>
      <c r="AE47" s="142"/>
      <c r="AF47" s="142"/>
      <c r="AG47" s="142"/>
      <c r="AH47" s="142"/>
      <c r="AI47" s="142"/>
      <c r="AJ47" s="142"/>
      <c r="AK47" s="142"/>
      <c r="AL47" s="142"/>
      <c r="AM47" s="142"/>
      <c r="AN47" s="142"/>
      <c r="AO47" s="142"/>
      <c r="AP47" s="142"/>
      <c r="AQ47" s="142"/>
      <c r="AR47" s="142"/>
      <c r="AS47" s="142"/>
      <c r="AT47" s="142"/>
      <c r="AU47" s="142"/>
      <c r="AV47" s="142"/>
      <c r="AW47" s="142"/>
      <c r="AX47" s="142"/>
      <c r="AY47" s="142"/>
      <c r="AZ47" s="142"/>
      <c r="BA47" s="142"/>
      <c r="BB47" s="142"/>
      <c r="BC47" s="142"/>
    </row>
    <row r="48" spans="1:55">
      <c r="A48" s="143"/>
      <c r="C48" s="107"/>
      <c r="D48" s="107"/>
      <c r="E48" s="107"/>
      <c r="F48" s="107"/>
      <c r="G48" s="112"/>
      <c r="H48" s="107"/>
      <c r="I48" s="107"/>
      <c r="J48" s="107"/>
      <c r="K48" s="142"/>
      <c r="L48" s="142"/>
      <c r="M48" s="142"/>
      <c r="N48" s="142"/>
      <c r="O48" s="142"/>
      <c r="P48" s="142"/>
      <c r="Q48" s="142"/>
      <c r="R48" s="142"/>
      <c r="S48" s="142"/>
      <c r="T48" s="142"/>
      <c r="U48" s="142"/>
      <c r="V48" s="142"/>
      <c r="W48" s="142"/>
      <c r="X48" s="142"/>
      <c r="Y48" s="142"/>
      <c r="Z48" s="142"/>
      <c r="AA48" s="142"/>
      <c r="AB48" s="142"/>
      <c r="AC48" s="142"/>
      <c r="AD48" s="142"/>
      <c r="AE48" s="142"/>
      <c r="AF48" s="142"/>
      <c r="AG48" s="142"/>
      <c r="AH48" s="142"/>
      <c r="AI48" s="142"/>
      <c r="AJ48" s="142"/>
      <c r="AK48" s="142"/>
      <c r="AL48" s="142"/>
      <c r="AM48" s="142"/>
      <c r="AN48" s="142"/>
      <c r="AO48" s="142"/>
      <c r="AP48" s="142"/>
      <c r="AQ48" s="142"/>
      <c r="AR48" s="142"/>
      <c r="AS48" s="142"/>
      <c r="AT48" s="142"/>
      <c r="AU48" s="142"/>
      <c r="AV48" s="142"/>
      <c r="AW48" s="142"/>
      <c r="AX48" s="142"/>
      <c r="AY48" s="142"/>
      <c r="AZ48" s="142"/>
      <c r="BA48" s="142"/>
      <c r="BB48" s="142"/>
      <c r="BC48" s="142"/>
    </row>
    <row r="49" spans="11:55">
      <c r="X49" s="445" t="s">
        <v>369</v>
      </c>
    </row>
    <row r="50" spans="11:55">
      <c r="X50" s="445" t="s">
        <v>366</v>
      </c>
    </row>
    <row r="51" spans="11:55">
      <c r="X51" s="173" t="s">
        <v>241</v>
      </c>
    </row>
    <row r="52" spans="11:55">
      <c r="K52" s="143"/>
      <c r="M52" s="107"/>
      <c r="N52" s="107"/>
      <c r="O52" s="107"/>
      <c r="P52" s="107"/>
      <c r="Q52" s="112"/>
      <c r="R52" s="107"/>
      <c r="S52" s="107"/>
      <c r="T52" s="107"/>
      <c r="U52" s="107"/>
      <c r="W52" s="112"/>
      <c r="X52" s="173" t="str">
        <f>I4</f>
        <v>For the 12 months ended: 12/31/2015</v>
      </c>
      <c r="Y52" s="142"/>
      <c r="Z52" s="142"/>
      <c r="AA52" s="142"/>
      <c r="AB52" s="142"/>
      <c r="AC52" s="142"/>
      <c r="AD52" s="142"/>
      <c r="AE52" s="142"/>
      <c r="AF52" s="142"/>
      <c r="AG52" s="142"/>
      <c r="AH52" s="142"/>
      <c r="AI52" s="142"/>
      <c r="AJ52" s="142"/>
      <c r="AK52" s="142"/>
      <c r="AL52" s="142"/>
      <c r="AM52" s="142"/>
      <c r="AN52" s="142"/>
      <c r="AO52" s="142"/>
      <c r="AP52" s="142"/>
      <c r="AQ52" s="142"/>
      <c r="AR52" s="142"/>
      <c r="AS52" s="142"/>
      <c r="AT52" s="142"/>
      <c r="AU52" s="142"/>
      <c r="AV52" s="142"/>
      <c r="AW52" s="142"/>
      <c r="AX52" s="142"/>
      <c r="AY52" s="142"/>
      <c r="AZ52" s="142"/>
      <c r="BA52" s="142"/>
      <c r="BB52" s="142"/>
      <c r="BC52" s="142"/>
    </row>
    <row r="53" spans="11:55">
      <c r="K53" s="143"/>
      <c r="M53" s="107"/>
      <c r="N53" s="107"/>
      <c r="O53" s="107"/>
      <c r="P53" s="107"/>
      <c r="Q53" s="112"/>
      <c r="R53" s="107"/>
      <c r="S53" s="107"/>
      <c r="T53" s="107"/>
      <c r="U53" s="107"/>
      <c r="W53" s="112"/>
      <c r="Y53" s="142"/>
      <c r="Z53" s="142"/>
      <c r="AA53" s="142"/>
      <c r="AB53" s="142"/>
      <c r="AC53" s="142"/>
      <c r="AD53" s="142"/>
      <c r="AE53" s="142"/>
      <c r="AF53" s="142"/>
      <c r="AG53" s="142"/>
      <c r="AH53" s="142"/>
      <c r="AI53" s="142"/>
      <c r="AJ53" s="142"/>
      <c r="AK53" s="142"/>
      <c r="AL53" s="142"/>
      <c r="AM53" s="142"/>
      <c r="AN53" s="142"/>
      <c r="AO53" s="142"/>
      <c r="AP53" s="142"/>
      <c r="AQ53" s="142"/>
      <c r="AR53" s="142"/>
      <c r="AS53" s="142"/>
      <c r="AT53" s="142"/>
      <c r="AU53" s="142"/>
      <c r="AV53" s="142"/>
      <c r="AW53" s="142"/>
      <c r="AX53" s="142"/>
      <c r="AY53" s="142"/>
      <c r="AZ53" s="142"/>
      <c r="BA53" s="142"/>
      <c r="BB53" s="142"/>
      <c r="BC53" s="142"/>
    </row>
    <row r="54" spans="11:55">
      <c r="K54" s="224" t="str">
        <f>A6</f>
        <v>Rate Formula Template</v>
      </c>
      <c r="L54" s="283"/>
      <c r="M54" s="283"/>
      <c r="N54" s="223"/>
      <c r="O54" s="224"/>
      <c r="P54" s="224"/>
      <c r="Q54" s="283"/>
      <c r="R54" s="224"/>
      <c r="S54" s="224"/>
      <c r="T54" s="224"/>
      <c r="U54" s="224"/>
      <c r="V54" s="283"/>
      <c r="W54" s="222"/>
      <c r="X54" s="283"/>
      <c r="Y54" s="142"/>
      <c r="Z54" s="142"/>
      <c r="AA54" s="142"/>
      <c r="AB54" s="142"/>
      <c r="AC54" s="142"/>
      <c r="AD54" s="142"/>
      <c r="AE54" s="142"/>
      <c r="AF54" s="142"/>
      <c r="AG54" s="142"/>
      <c r="AH54" s="142"/>
      <c r="AI54" s="142"/>
      <c r="AJ54" s="142"/>
      <c r="AK54" s="142"/>
      <c r="AL54" s="142"/>
      <c r="AM54" s="142"/>
      <c r="AN54" s="142"/>
      <c r="AO54" s="142"/>
      <c r="AP54" s="142"/>
      <c r="AQ54" s="142"/>
      <c r="AR54" s="142"/>
      <c r="AS54" s="142"/>
      <c r="AT54" s="142"/>
      <c r="AU54" s="142"/>
      <c r="AV54" s="142"/>
      <c r="AW54" s="142"/>
      <c r="AX54" s="142"/>
      <c r="AY54" s="142"/>
      <c r="AZ54" s="142"/>
      <c r="BA54" s="142"/>
      <c r="BB54" s="142"/>
      <c r="BC54" s="142"/>
    </row>
    <row r="55" spans="11:55">
      <c r="K55" s="224" t="str">
        <f>A7</f>
        <v>Utilizing Attachment H-22A Data</v>
      </c>
      <c r="L55" s="283"/>
      <c r="M55" s="223"/>
      <c r="N55" s="223"/>
      <c r="O55" s="224"/>
      <c r="P55" s="224"/>
      <c r="Q55" s="283"/>
      <c r="R55" s="224"/>
      <c r="S55" s="224"/>
      <c r="T55" s="224"/>
      <c r="U55" s="224"/>
      <c r="V55" s="222"/>
      <c r="W55" s="222"/>
      <c r="X55" s="283"/>
      <c r="Y55" s="142"/>
      <c r="Z55" s="142"/>
      <c r="AA55" s="142"/>
      <c r="AB55" s="142"/>
      <c r="AC55" s="142"/>
      <c r="AD55" s="142"/>
      <c r="AE55" s="142"/>
      <c r="AF55" s="142"/>
      <c r="AG55" s="142"/>
      <c r="AH55" s="142"/>
      <c r="AI55" s="142"/>
      <c r="AJ55" s="142"/>
      <c r="AK55" s="142"/>
      <c r="AL55" s="142"/>
      <c r="AM55" s="142"/>
      <c r="AN55" s="142"/>
      <c r="AO55" s="142"/>
      <c r="AP55" s="142"/>
      <c r="AQ55" s="142"/>
      <c r="AR55" s="142"/>
      <c r="AS55" s="142"/>
      <c r="AT55" s="142"/>
      <c r="AU55" s="142"/>
      <c r="AV55" s="142"/>
      <c r="AW55" s="142"/>
      <c r="AX55" s="142"/>
      <c r="AY55" s="142"/>
      <c r="AZ55" s="142"/>
      <c r="BA55" s="142"/>
      <c r="BB55" s="142"/>
      <c r="BC55" s="142"/>
    </row>
    <row r="56" spans="11:55" ht="14.25" customHeight="1">
      <c r="K56" s="282"/>
      <c r="M56" s="107"/>
      <c r="N56" s="107"/>
      <c r="O56" s="107"/>
      <c r="P56" s="107"/>
      <c r="R56" s="224"/>
      <c r="S56" s="107"/>
      <c r="T56" s="107"/>
      <c r="U56" s="107"/>
      <c r="W56" s="112"/>
      <c r="Y56" s="142"/>
      <c r="Z56" s="142"/>
      <c r="AA56" s="142"/>
      <c r="AB56" s="142"/>
      <c r="AC56" s="142"/>
      <c r="AD56" s="142"/>
      <c r="AE56" s="142"/>
      <c r="AF56" s="142"/>
      <c r="AG56" s="142"/>
      <c r="AH56" s="142"/>
      <c r="AI56" s="142"/>
      <c r="AJ56" s="142"/>
      <c r="AK56" s="142"/>
      <c r="AL56" s="142"/>
      <c r="AM56" s="142"/>
      <c r="AN56" s="142"/>
      <c r="AO56" s="142"/>
      <c r="AP56" s="142"/>
      <c r="AQ56" s="142"/>
      <c r="AR56" s="142"/>
      <c r="AS56" s="142"/>
      <c r="AT56" s="142"/>
      <c r="AU56" s="142"/>
      <c r="AV56" s="142"/>
      <c r="AW56" s="142"/>
      <c r="AX56" s="142"/>
      <c r="AY56" s="142"/>
      <c r="AZ56" s="142"/>
      <c r="BA56" s="142"/>
      <c r="BB56" s="142"/>
      <c r="BC56" s="142"/>
    </row>
    <row r="57" spans="11:55">
      <c r="K57" s="224" t="str">
        <f>A9</f>
        <v>Duke Energy Ohio and Duke Energy Kentucky</v>
      </c>
      <c r="L57" s="283"/>
      <c r="M57" s="283"/>
      <c r="N57" s="283"/>
      <c r="O57" s="224"/>
      <c r="P57" s="224"/>
      <c r="Q57" s="283"/>
      <c r="R57" s="224"/>
      <c r="S57" s="224"/>
      <c r="T57" s="224"/>
      <c r="U57" s="224"/>
      <c r="V57" s="224"/>
      <c r="W57" s="222"/>
      <c r="X57" s="222"/>
      <c r="Y57" s="142"/>
      <c r="Z57" s="142"/>
      <c r="AA57" s="142"/>
      <c r="AB57" s="142"/>
      <c r="AC57" s="142"/>
      <c r="AD57" s="142"/>
      <c r="AE57" s="142"/>
      <c r="AF57" s="142"/>
      <c r="AG57" s="142"/>
      <c r="AH57" s="142"/>
      <c r="AI57" s="142"/>
      <c r="AJ57" s="142"/>
      <c r="AK57" s="142"/>
      <c r="AL57" s="142"/>
      <c r="AM57" s="142"/>
      <c r="AN57" s="142"/>
      <c r="AO57" s="142"/>
      <c r="AP57" s="142"/>
      <c r="AQ57" s="142"/>
      <c r="AR57" s="142"/>
      <c r="AS57" s="142"/>
      <c r="AT57" s="142"/>
      <c r="AU57" s="142"/>
      <c r="AV57" s="142"/>
      <c r="AW57" s="142"/>
      <c r="AX57" s="142"/>
      <c r="AY57" s="142"/>
      <c r="AZ57" s="142"/>
      <c r="BA57" s="142"/>
      <c r="BB57" s="142"/>
      <c r="BC57" s="142"/>
    </row>
    <row r="58" spans="11:55">
      <c r="K58" s="224" t="str">
        <f>A10</f>
        <v>Legacy MTEP Credit</v>
      </c>
      <c r="L58" s="283"/>
      <c r="M58" s="283"/>
      <c r="N58" s="283"/>
      <c r="O58" s="223"/>
      <c r="P58" s="223"/>
      <c r="Q58" s="223"/>
      <c r="R58" s="223"/>
      <c r="S58" s="223"/>
      <c r="T58" s="223"/>
      <c r="U58" s="223"/>
      <c r="V58" s="223"/>
      <c r="W58" s="223"/>
      <c r="X58" s="223"/>
      <c r="Y58" s="142"/>
      <c r="Z58" s="142"/>
      <c r="AA58" s="142"/>
      <c r="AB58" s="142"/>
      <c r="AC58" s="142"/>
      <c r="AD58" s="142"/>
      <c r="AE58" s="142"/>
      <c r="AF58" s="142"/>
      <c r="AG58" s="142"/>
      <c r="AH58" s="142"/>
      <c r="AI58" s="142"/>
      <c r="AJ58" s="142"/>
      <c r="AK58" s="142"/>
      <c r="AL58" s="142"/>
      <c r="AM58" s="142"/>
      <c r="AN58" s="142"/>
      <c r="AO58" s="142"/>
      <c r="AP58" s="142"/>
      <c r="AQ58" s="142"/>
      <c r="AR58" s="142"/>
      <c r="AS58" s="142"/>
      <c r="AT58" s="142"/>
      <c r="AU58" s="142"/>
      <c r="AV58" s="142"/>
      <c r="AW58" s="142"/>
      <c r="AX58" s="142"/>
      <c r="AY58" s="142"/>
      <c r="AZ58" s="142"/>
      <c r="BA58" s="142"/>
      <c r="BB58" s="142"/>
      <c r="BC58" s="142"/>
    </row>
    <row r="59" spans="11:55">
      <c r="K59" s="143"/>
      <c r="O59" s="108"/>
      <c r="P59" s="108"/>
      <c r="Q59" s="108"/>
      <c r="R59" s="108"/>
      <c r="S59" s="108"/>
      <c r="T59" s="108"/>
      <c r="U59" s="108"/>
      <c r="V59" s="108"/>
      <c r="W59" s="108"/>
      <c r="X59" s="108"/>
      <c r="Y59" s="142"/>
      <c r="Z59" s="142"/>
      <c r="AA59" s="142"/>
      <c r="AB59" s="142"/>
      <c r="AC59" s="142"/>
      <c r="AD59" s="142"/>
      <c r="AE59" s="142"/>
      <c r="AF59" s="142"/>
      <c r="AG59" s="142"/>
      <c r="AH59" s="142"/>
      <c r="AI59" s="142"/>
      <c r="AJ59" s="142"/>
      <c r="AK59" s="142"/>
      <c r="AL59" s="142"/>
      <c r="AM59" s="142"/>
      <c r="AN59" s="142"/>
      <c r="AO59" s="142"/>
      <c r="AP59" s="142"/>
      <c r="AQ59" s="142"/>
      <c r="AR59" s="142"/>
      <c r="AS59" s="142"/>
      <c r="AT59" s="142"/>
      <c r="AU59" s="142"/>
      <c r="AV59" s="142"/>
      <c r="AW59" s="142"/>
      <c r="AX59" s="142"/>
      <c r="AY59" s="142"/>
      <c r="AZ59" s="142"/>
      <c r="BA59" s="142"/>
      <c r="BB59" s="142"/>
      <c r="BC59" s="142"/>
    </row>
    <row r="60" spans="11:55" ht="15.75">
      <c r="K60" s="284" t="s">
        <v>333</v>
      </c>
      <c r="L60" s="283"/>
      <c r="M60" s="224"/>
      <c r="N60" s="224"/>
      <c r="O60" s="283"/>
      <c r="P60" s="284"/>
      <c r="Q60" s="283"/>
      <c r="R60" s="223"/>
      <c r="S60" s="223"/>
      <c r="T60" s="223"/>
      <c r="U60" s="223"/>
      <c r="V60" s="223"/>
      <c r="W60" s="222"/>
      <c r="X60" s="222"/>
      <c r="Y60" s="142"/>
      <c r="Z60" s="142"/>
      <c r="AA60" s="142"/>
      <c r="AB60" s="142"/>
      <c r="AC60" s="142"/>
      <c r="AD60" s="142"/>
      <c r="AE60" s="142"/>
      <c r="AF60" s="142"/>
      <c r="AG60" s="142"/>
      <c r="AH60" s="142"/>
      <c r="AI60" s="142"/>
      <c r="AJ60" s="142"/>
      <c r="AK60" s="142"/>
      <c r="AL60" s="142"/>
      <c r="AM60" s="142"/>
      <c r="AN60" s="142"/>
      <c r="AO60" s="142"/>
      <c r="AP60" s="142"/>
      <c r="AQ60" s="142"/>
      <c r="AR60" s="142"/>
      <c r="AS60" s="142"/>
      <c r="AT60" s="142"/>
      <c r="AU60" s="142"/>
      <c r="AV60" s="142"/>
      <c r="AW60" s="142"/>
      <c r="AX60" s="142"/>
      <c r="AY60" s="142"/>
      <c r="AZ60" s="142"/>
      <c r="BA60" s="142"/>
      <c r="BB60" s="142"/>
      <c r="BC60" s="142"/>
    </row>
    <row r="61" spans="11:55" ht="15.75">
      <c r="K61" s="143"/>
      <c r="M61" s="107"/>
      <c r="N61" s="107"/>
      <c r="O61" s="151"/>
      <c r="P61" s="151"/>
      <c r="R61" s="111"/>
      <c r="S61" s="111"/>
      <c r="T61" s="111"/>
      <c r="U61" s="111"/>
      <c r="V61" s="111"/>
      <c r="W61" s="112"/>
      <c r="X61" s="112"/>
      <c r="Y61" s="142"/>
      <c r="Z61" s="142"/>
      <c r="AA61" s="142"/>
      <c r="AB61" s="142"/>
      <c r="AC61" s="142"/>
      <c r="AD61" s="142"/>
      <c r="AE61" s="142"/>
      <c r="AF61" s="142"/>
      <c r="AG61" s="142"/>
      <c r="AH61" s="142"/>
      <c r="AI61" s="142"/>
      <c r="AJ61" s="142"/>
      <c r="AK61" s="142"/>
      <c r="AL61" s="142"/>
      <c r="AM61" s="142"/>
      <c r="AN61" s="142"/>
      <c r="AO61" s="142"/>
      <c r="AP61" s="142"/>
      <c r="AQ61" s="142"/>
      <c r="AR61" s="142"/>
      <c r="AS61" s="142"/>
      <c r="AT61" s="142"/>
      <c r="AU61" s="142"/>
      <c r="AV61" s="142"/>
      <c r="AW61" s="142"/>
      <c r="AX61" s="142"/>
      <c r="AY61" s="142"/>
      <c r="AZ61" s="142"/>
      <c r="BA61" s="142"/>
      <c r="BB61" s="142"/>
      <c r="BC61" s="142"/>
    </row>
    <row r="62" spans="11:55" ht="15.75">
      <c r="K62" s="143"/>
      <c r="M62" s="174">
        <v>-1</v>
      </c>
      <c r="N62" s="174">
        <v>-2</v>
      </c>
      <c r="O62" s="174">
        <v>-3</v>
      </c>
      <c r="P62" s="174">
        <v>-4</v>
      </c>
      <c r="Q62" s="174">
        <v>-5</v>
      </c>
      <c r="R62" s="174">
        <v>-6</v>
      </c>
      <c r="S62" s="174">
        <v>-7</v>
      </c>
      <c r="T62" s="174">
        <v>-8</v>
      </c>
      <c r="U62" s="174">
        <v>-9</v>
      </c>
      <c r="V62" s="174">
        <v>-10</v>
      </c>
      <c r="W62" s="174">
        <v>-11</v>
      </c>
      <c r="X62" s="174">
        <v>-12</v>
      </c>
      <c r="Y62" s="142"/>
      <c r="Z62" s="142"/>
      <c r="AA62" s="142"/>
      <c r="AB62" s="142"/>
      <c r="AC62" s="142"/>
      <c r="AD62" s="142"/>
      <c r="AE62" s="142"/>
      <c r="AF62" s="142"/>
      <c r="AG62" s="142"/>
      <c r="AH62" s="142"/>
      <c r="AI62" s="142"/>
      <c r="AJ62" s="142"/>
      <c r="AK62" s="142"/>
      <c r="AL62" s="142"/>
      <c r="AM62" s="142"/>
      <c r="AN62" s="142"/>
      <c r="AO62" s="142"/>
      <c r="AP62" s="142"/>
      <c r="AQ62" s="142"/>
      <c r="AR62" s="142"/>
      <c r="AS62" s="142"/>
      <c r="AT62" s="142"/>
      <c r="AU62" s="142"/>
      <c r="AV62" s="142"/>
      <c r="AW62" s="142"/>
      <c r="AX62" s="142"/>
      <c r="AY62" s="142"/>
      <c r="AZ62" s="142"/>
      <c r="BA62" s="142"/>
      <c r="BB62" s="142"/>
      <c r="BC62" s="142"/>
    </row>
    <row r="63" spans="11:55" ht="47.25">
      <c r="K63" s="175" t="s">
        <v>279</v>
      </c>
      <c r="L63" s="176"/>
      <c r="M63" s="176" t="s">
        <v>249</v>
      </c>
      <c r="N63" s="177" t="s">
        <v>280</v>
      </c>
      <c r="O63" s="178" t="s">
        <v>281</v>
      </c>
      <c r="P63" s="178" t="s">
        <v>274</v>
      </c>
      <c r="Q63" s="179" t="s">
        <v>282</v>
      </c>
      <c r="R63" s="178" t="s">
        <v>283</v>
      </c>
      <c r="S63" s="178" t="s">
        <v>278</v>
      </c>
      <c r="T63" s="179" t="s">
        <v>284</v>
      </c>
      <c r="U63" s="178" t="s">
        <v>285</v>
      </c>
      <c r="V63" s="180" t="s">
        <v>286</v>
      </c>
      <c r="W63" s="181" t="s">
        <v>287</v>
      </c>
      <c r="X63" s="180" t="s">
        <v>288</v>
      </c>
      <c r="Y63" s="142"/>
      <c r="Z63" s="142"/>
      <c r="AA63" s="142"/>
      <c r="AB63" s="142"/>
      <c r="AC63" s="142"/>
      <c r="AD63" s="142"/>
      <c r="AE63" s="142"/>
      <c r="AF63" s="142"/>
      <c r="AG63" s="142"/>
      <c r="AH63" s="142"/>
      <c r="AI63" s="142"/>
      <c r="AJ63" s="142"/>
      <c r="AK63" s="142"/>
      <c r="AL63" s="142"/>
      <c r="AM63" s="142"/>
      <c r="AN63" s="142"/>
      <c r="AO63" s="142"/>
      <c r="AP63" s="142"/>
      <c r="AQ63" s="142"/>
      <c r="AR63" s="142"/>
      <c r="AS63" s="142"/>
      <c r="AT63" s="142"/>
      <c r="AU63" s="142"/>
      <c r="AV63" s="142"/>
      <c r="AW63" s="142"/>
      <c r="AX63" s="142"/>
      <c r="AY63" s="142"/>
      <c r="AZ63" s="142"/>
      <c r="BA63" s="142"/>
      <c r="BB63" s="142"/>
      <c r="BC63" s="142"/>
    </row>
    <row r="64" spans="11:55" ht="46.5" customHeight="1">
      <c r="K64" s="182"/>
      <c r="L64" s="183"/>
      <c r="M64" s="183"/>
      <c r="N64" s="183"/>
      <c r="O64" s="184" t="s">
        <v>22</v>
      </c>
      <c r="P64" s="870" t="s">
        <v>794</v>
      </c>
      <c r="Q64" s="185" t="s">
        <v>289</v>
      </c>
      <c r="R64" s="184" t="s">
        <v>23</v>
      </c>
      <c r="S64" s="870" t="s">
        <v>795</v>
      </c>
      <c r="T64" s="185" t="s">
        <v>290</v>
      </c>
      <c r="U64" s="184" t="s">
        <v>291</v>
      </c>
      <c r="V64" s="185" t="s">
        <v>292</v>
      </c>
      <c r="W64" s="186" t="s">
        <v>242</v>
      </c>
      <c r="X64" s="187" t="s">
        <v>293</v>
      </c>
      <c r="Y64" s="142"/>
      <c r="Z64" s="142"/>
      <c r="AA64" s="142"/>
      <c r="AB64" s="142"/>
      <c r="AC64" s="142"/>
      <c r="AD64" s="142"/>
      <c r="AE64" s="142"/>
      <c r="AF64" s="142"/>
      <c r="AG64" s="142"/>
      <c r="AH64" s="142"/>
      <c r="AI64" s="142"/>
      <c r="AJ64" s="142"/>
      <c r="AK64" s="142"/>
      <c r="AL64" s="142"/>
      <c r="AM64" s="142"/>
      <c r="AN64" s="142"/>
      <c r="AO64" s="142"/>
      <c r="AP64" s="142"/>
      <c r="AQ64" s="142"/>
      <c r="AR64" s="142"/>
      <c r="AS64" s="142"/>
      <c r="AT64" s="142"/>
      <c r="AU64" s="142"/>
      <c r="AV64" s="142"/>
      <c r="AW64" s="142"/>
      <c r="AX64" s="142"/>
      <c r="AY64" s="142"/>
      <c r="AZ64" s="142"/>
      <c r="BA64" s="142"/>
      <c r="BB64" s="142"/>
      <c r="BC64" s="142"/>
    </row>
    <row r="65" spans="11:55">
      <c r="K65" s="188"/>
      <c r="L65" s="111"/>
      <c r="M65" s="111"/>
      <c r="N65" s="111"/>
      <c r="O65" s="111"/>
      <c r="P65" s="111"/>
      <c r="Q65" s="189"/>
      <c r="R65" s="111"/>
      <c r="S65" s="111"/>
      <c r="T65" s="189"/>
      <c r="U65" s="111"/>
      <c r="V65" s="189"/>
      <c r="W65" s="112"/>
      <c r="X65" s="190"/>
      <c r="Y65" s="142"/>
      <c r="Z65" s="142"/>
      <c r="AA65" s="142"/>
      <c r="AB65" s="142"/>
      <c r="AC65" s="142"/>
      <c r="AD65" s="142"/>
      <c r="AE65" s="142"/>
      <c r="AF65" s="142"/>
      <c r="AG65" s="142"/>
      <c r="AH65" s="142"/>
      <c r="AI65" s="142"/>
      <c r="AJ65" s="142"/>
      <c r="AK65" s="142"/>
      <c r="AL65" s="142"/>
      <c r="AM65" s="142"/>
      <c r="AN65" s="142"/>
      <c r="AO65" s="142"/>
      <c r="AP65" s="142"/>
      <c r="AQ65" s="142"/>
      <c r="AR65" s="142"/>
      <c r="AS65" s="142"/>
      <c r="AT65" s="142"/>
      <c r="AU65" s="142"/>
      <c r="AV65" s="142"/>
      <c r="AW65" s="142"/>
      <c r="AX65" s="142"/>
      <c r="AY65" s="142"/>
      <c r="AZ65" s="142"/>
      <c r="BA65" s="142"/>
      <c r="BB65" s="142"/>
      <c r="BC65" s="142"/>
    </row>
    <row r="66" spans="11:55">
      <c r="K66" s="501" t="s">
        <v>3</v>
      </c>
      <c r="L66" s="435"/>
      <c r="M66" s="435" t="str">
        <f>'Appx C - DEO(MTEP)'!M66</f>
        <v>Hillcrest 345 kV</v>
      </c>
      <c r="N66" s="499">
        <f>'Appx C - DEO(MTEP)'!N66</f>
        <v>91</v>
      </c>
      <c r="O66" s="500">
        <f>'Appx C - DEO(MTEP)'!O66</f>
        <v>17629793</v>
      </c>
      <c r="P66" s="157">
        <f>$I$35</f>
        <v>6.1341535739146746E-2</v>
      </c>
      <c r="Q66" s="193">
        <f t="shared" ref="Q66" si="0">O66*P66</f>
        <v>1081438.5773832591</v>
      </c>
      <c r="R66" s="447">
        <f>'Appx C - DEO(MTEP)'!R66</f>
        <v>15337887</v>
      </c>
      <c r="S66" s="157">
        <f>$I$45</f>
        <v>8.9894371030991724E-2</v>
      </c>
      <c r="T66" s="193">
        <f t="shared" ref="T66" si="1">R66*S66</f>
        <v>1378789.7048094245</v>
      </c>
      <c r="U66" s="448">
        <f>'Appx C - DEO(MTEP)'!U66</f>
        <v>306572</v>
      </c>
      <c r="V66" s="193">
        <f t="shared" ref="V66" si="2">Q66+T66+U66</f>
        <v>2766800.2821926838</v>
      </c>
      <c r="W66" s="447">
        <f>'Appx C - DEO(MTEP)'!W66</f>
        <v>0</v>
      </c>
      <c r="X66" s="193">
        <f t="shared" ref="X66" si="3">V66+W66</f>
        <v>2766800.2821926838</v>
      </c>
    </row>
    <row r="67" spans="11:55">
      <c r="K67" s="501" t="s">
        <v>296</v>
      </c>
      <c r="L67" s="435"/>
      <c r="M67" s="502" t="s">
        <v>297</v>
      </c>
      <c r="N67" s="435" t="s">
        <v>301</v>
      </c>
      <c r="O67" s="500">
        <v>0</v>
      </c>
      <c r="P67" s="157">
        <f>$I$35</f>
        <v>6.1341535739146746E-2</v>
      </c>
      <c r="Q67" s="193">
        <f>O67*P67</f>
        <v>0</v>
      </c>
      <c r="R67" s="447">
        <v>0</v>
      </c>
      <c r="S67" s="157">
        <f>$I$45</f>
        <v>8.9894371030991724E-2</v>
      </c>
      <c r="T67" s="193">
        <f>R67*S67</f>
        <v>0</v>
      </c>
      <c r="U67" s="448">
        <v>0</v>
      </c>
      <c r="V67" s="193">
        <f>Q67+T67+U67</f>
        <v>0</v>
      </c>
      <c r="W67" s="447">
        <v>0</v>
      </c>
      <c r="X67" s="193">
        <f>V67+W67</f>
        <v>0</v>
      </c>
    </row>
    <row r="68" spans="11:55">
      <c r="K68" s="498" t="s">
        <v>299</v>
      </c>
      <c r="L68" s="435"/>
      <c r="M68" s="435" t="s">
        <v>300</v>
      </c>
      <c r="N68" s="435" t="s">
        <v>301</v>
      </c>
      <c r="O68" s="500">
        <v>0</v>
      </c>
      <c r="P68" s="157">
        <f>$I$35</f>
        <v>6.1341535739146746E-2</v>
      </c>
      <c r="Q68" s="193">
        <f>O68*P68</f>
        <v>0</v>
      </c>
      <c r="R68" s="447">
        <v>0</v>
      </c>
      <c r="S68" s="157">
        <f>$I$45</f>
        <v>8.9894371030991724E-2</v>
      </c>
      <c r="T68" s="193">
        <f>R68*S68</f>
        <v>0</v>
      </c>
      <c r="U68" s="448">
        <v>0</v>
      </c>
      <c r="V68" s="193">
        <f>Q68+T68+U68</f>
        <v>0</v>
      </c>
      <c r="W68" s="447">
        <v>0</v>
      </c>
      <c r="X68" s="193">
        <f>V68+W68</f>
        <v>0</v>
      </c>
    </row>
    <row r="69" spans="11:55">
      <c r="K69" s="191"/>
      <c r="Q69" s="193"/>
      <c r="T69" s="193"/>
      <c r="V69" s="193"/>
      <c r="X69" s="193"/>
    </row>
    <row r="70" spans="11:55">
      <c r="K70" s="191"/>
      <c r="Q70" s="193"/>
      <c r="T70" s="193"/>
      <c r="V70" s="193"/>
      <c r="X70" s="193"/>
    </row>
    <row r="71" spans="11:55">
      <c r="K71" s="191"/>
      <c r="Q71" s="193"/>
      <c r="T71" s="193"/>
      <c r="V71" s="193"/>
      <c r="X71" s="193"/>
    </row>
    <row r="72" spans="11:55">
      <c r="K72" s="191"/>
      <c r="Q72" s="193"/>
      <c r="T72" s="193"/>
      <c r="V72" s="193"/>
      <c r="X72" s="193"/>
    </row>
    <row r="73" spans="11:55">
      <c r="K73" s="191"/>
      <c r="Q73" s="193"/>
      <c r="T73" s="193"/>
      <c r="V73" s="193"/>
      <c r="X73" s="193"/>
    </row>
    <row r="74" spans="11:55">
      <c r="K74" s="191"/>
      <c r="M74" s="196"/>
      <c r="N74" s="196"/>
      <c r="O74" s="196"/>
      <c r="P74" s="196"/>
      <c r="Q74" s="197"/>
      <c r="R74" s="196"/>
      <c r="S74" s="196"/>
      <c r="T74" s="197"/>
      <c r="U74" s="196"/>
      <c r="V74" s="197"/>
      <c r="W74" s="196"/>
      <c r="X74" s="197"/>
    </row>
    <row r="75" spans="11:55">
      <c r="K75" s="191"/>
      <c r="M75" s="196"/>
      <c r="N75" s="196"/>
      <c r="O75" s="196"/>
      <c r="P75" s="196"/>
      <c r="Q75" s="197"/>
      <c r="R75" s="196"/>
      <c r="S75" s="196"/>
      <c r="T75" s="197"/>
      <c r="U75" s="196"/>
      <c r="V75" s="197"/>
      <c r="W75" s="196"/>
      <c r="X75" s="197"/>
    </row>
    <row r="76" spans="11:55">
      <c r="K76" s="191"/>
      <c r="M76" s="196"/>
      <c r="N76" s="196"/>
      <c r="O76" s="196"/>
      <c r="P76" s="196"/>
      <c r="Q76" s="197"/>
      <c r="R76" s="196"/>
      <c r="S76" s="196"/>
      <c r="T76" s="197"/>
      <c r="U76" s="196"/>
      <c r="V76" s="197"/>
      <c r="W76" s="196"/>
      <c r="X76" s="197"/>
    </row>
    <row r="77" spans="11:55">
      <c r="K77" s="191"/>
      <c r="M77" s="196"/>
      <c r="N77" s="196"/>
      <c r="O77" s="196"/>
      <c r="P77" s="196"/>
      <c r="Q77" s="197"/>
      <c r="R77" s="196"/>
      <c r="S77" s="196"/>
      <c r="T77" s="197"/>
      <c r="U77" s="196"/>
      <c r="V77" s="197"/>
      <c r="W77" s="196"/>
      <c r="X77" s="197"/>
    </row>
    <row r="78" spans="11:55">
      <c r="K78" s="191"/>
      <c r="M78" s="196"/>
      <c r="N78" s="196"/>
      <c r="O78" s="196"/>
      <c r="P78" s="196"/>
      <c r="Q78" s="197"/>
      <c r="R78" s="196"/>
      <c r="S78" s="196"/>
      <c r="T78" s="197"/>
      <c r="U78" s="196"/>
      <c r="V78" s="197"/>
      <c r="W78" s="196"/>
      <c r="X78" s="197"/>
    </row>
    <row r="79" spans="11:55">
      <c r="K79" s="191"/>
      <c r="M79" s="196"/>
      <c r="N79" s="196"/>
      <c r="O79" s="196"/>
      <c r="P79" s="196"/>
      <c r="Q79" s="197"/>
      <c r="R79" s="196"/>
      <c r="S79" s="196"/>
      <c r="T79" s="197"/>
      <c r="U79" s="196"/>
      <c r="V79" s="197"/>
      <c r="W79" s="196"/>
      <c r="X79" s="197"/>
    </row>
    <row r="80" spans="11:55">
      <c r="K80" s="191"/>
      <c r="M80" s="196"/>
      <c r="N80" s="196"/>
      <c r="O80" s="196"/>
      <c r="P80" s="196"/>
      <c r="Q80" s="197"/>
      <c r="R80" s="196"/>
      <c r="S80" s="196"/>
      <c r="T80" s="197"/>
      <c r="U80" s="196"/>
      <c r="V80" s="197"/>
      <c r="W80" s="196"/>
      <c r="X80" s="197"/>
    </row>
    <row r="81" spans="11:24">
      <c r="K81" s="191"/>
      <c r="M81" s="196"/>
      <c r="N81" s="196"/>
      <c r="O81" s="196"/>
      <c r="P81" s="196"/>
      <c r="Q81" s="197"/>
      <c r="R81" s="196"/>
      <c r="S81" s="196"/>
      <c r="T81" s="197"/>
      <c r="U81" s="196"/>
      <c r="V81" s="197"/>
      <c r="W81" s="196"/>
      <c r="X81" s="197"/>
    </row>
    <row r="82" spans="11:24">
      <c r="K82" s="191"/>
      <c r="M82" s="196"/>
      <c r="N82" s="196"/>
      <c r="O82" s="196"/>
      <c r="P82" s="196"/>
      <c r="Q82" s="197"/>
      <c r="R82" s="196"/>
      <c r="S82" s="196"/>
      <c r="T82" s="197"/>
      <c r="U82" s="196"/>
      <c r="V82" s="197"/>
      <c r="W82" s="196"/>
      <c r="X82" s="197"/>
    </row>
    <row r="83" spans="11:24">
      <c r="K83" s="191"/>
      <c r="M83" s="196"/>
      <c r="N83" s="196"/>
      <c r="O83" s="196"/>
      <c r="P83" s="196"/>
      <c r="Q83" s="197"/>
      <c r="R83" s="196"/>
      <c r="S83" s="196"/>
      <c r="T83" s="197"/>
      <c r="U83" s="196"/>
      <c r="V83" s="197"/>
      <c r="W83" s="196"/>
      <c r="X83" s="197"/>
    </row>
    <row r="84" spans="11:24">
      <c r="K84" s="191"/>
      <c r="M84" s="196"/>
      <c r="N84" s="196"/>
      <c r="O84" s="196"/>
      <c r="P84" s="196"/>
      <c r="Q84" s="197"/>
      <c r="R84" s="196"/>
      <c r="S84" s="196"/>
      <c r="T84" s="197"/>
      <c r="U84" s="196"/>
      <c r="V84" s="197"/>
      <c r="W84" s="196"/>
      <c r="X84" s="197"/>
    </row>
    <row r="85" spans="11:24">
      <c r="K85" s="198"/>
      <c r="L85" s="199"/>
      <c r="M85" s="200"/>
      <c r="N85" s="200"/>
      <c r="O85" s="200"/>
      <c r="P85" s="200"/>
      <c r="Q85" s="201"/>
      <c r="R85" s="200"/>
      <c r="S85" s="200"/>
      <c r="T85" s="201"/>
      <c r="U85" s="200"/>
      <c r="V85" s="201"/>
      <c r="W85" s="200"/>
      <c r="X85" s="201"/>
    </row>
    <row r="86" spans="11:24">
      <c r="K86" s="145" t="s">
        <v>302</v>
      </c>
      <c r="L86" s="167"/>
      <c r="M86" s="108" t="s">
        <v>303</v>
      </c>
      <c r="N86" s="108"/>
      <c r="O86" s="114"/>
      <c r="P86" s="114"/>
      <c r="Q86" s="112"/>
      <c r="R86" s="112"/>
      <c r="S86" s="112"/>
      <c r="T86" s="112"/>
      <c r="U86" s="112"/>
      <c r="V86" s="203">
        <f>SUM(V66:V85)</f>
        <v>2766800.2821926838</v>
      </c>
      <c r="W86" s="203">
        <f>SUM(W66:W85)</f>
        <v>0</v>
      </c>
      <c r="X86" s="203">
        <f>SUM(X66:X85)</f>
        <v>2766800.2821926838</v>
      </c>
    </row>
    <row r="87" spans="11:24">
      <c r="K87" s="99"/>
      <c r="L87" s="196"/>
      <c r="M87" s="196"/>
      <c r="N87" s="196"/>
      <c r="O87" s="196"/>
      <c r="P87" s="196"/>
      <c r="Q87" s="196"/>
      <c r="R87" s="196"/>
      <c r="S87" s="196"/>
      <c r="T87" s="196"/>
      <c r="U87" s="196"/>
      <c r="V87" s="196"/>
      <c r="W87" s="196"/>
      <c r="X87" s="196"/>
    </row>
    <row r="88" spans="11:24">
      <c r="K88" s="202">
        <v>3</v>
      </c>
      <c r="L88" s="196"/>
      <c r="M88" s="872" t="s">
        <v>715</v>
      </c>
      <c r="N88" s="196"/>
      <c r="O88" s="196"/>
      <c r="P88" s="196"/>
      <c r="Q88" s="196"/>
      <c r="R88" s="196"/>
      <c r="S88" s="196"/>
      <c r="T88" s="196"/>
      <c r="U88" s="196"/>
      <c r="V88" s="203"/>
      <c r="W88" s="196"/>
      <c r="X88" s="203">
        <f>X86</f>
        <v>2766800.2821926838</v>
      </c>
    </row>
    <row r="89" spans="11:24">
      <c r="K89" s="196"/>
      <c r="L89" s="196"/>
      <c r="M89" s="196"/>
      <c r="N89" s="196"/>
      <c r="O89" s="196"/>
      <c r="P89" s="196"/>
      <c r="Q89" s="196"/>
      <c r="R89" s="196"/>
      <c r="S89" s="196"/>
      <c r="T89" s="196"/>
      <c r="U89" s="196"/>
      <c r="V89" s="196"/>
      <c r="W89" s="196"/>
      <c r="X89" s="196"/>
    </row>
    <row r="90" spans="11:24">
      <c r="K90" s="196"/>
      <c r="L90" s="196"/>
      <c r="M90" s="196"/>
      <c r="N90" s="196"/>
      <c r="O90" s="196"/>
      <c r="P90" s="196"/>
      <c r="Q90" s="196"/>
      <c r="R90" s="196"/>
      <c r="S90" s="196"/>
      <c r="T90" s="196"/>
      <c r="U90" s="196"/>
      <c r="V90" s="196"/>
      <c r="W90" s="196"/>
      <c r="X90" s="196"/>
    </row>
    <row r="91" spans="11:24">
      <c r="K91" s="107" t="s">
        <v>113</v>
      </c>
      <c r="L91" s="196"/>
      <c r="M91" s="196"/>
      <c r="N91" s="196"/>
      <c r="O91" s="196"/>
      <c r="P91" s="196"/>
      <c r="Q91" s="196"/>
      <c r="R91" s="196"/>
      <c r="S91" s="196"/>
      <c r="T91" s="196"/>
      <c r="U91" s="196"/>
      <c r="V91" s="196"/>
      <c r="W91" s="196"/>
      <c r="X91" s="196"/>
    </row>
    <row r="92" spans="11:24" ht="15.75" thickBot="1">
      <c r="K92" s="204" t="s">
        <v>114</v>
      </c>
      <c r="L92" s="196"/>
      <c r="M92" s="196"/>
      <c r="N92" s="196"/>
      <c r="O92" s="196"/>
      <c r="P92" s="196"/>
      <c r="Q92" s="196"/>
      <c r="R92" s="196"/>
      <c r="S92" s="196"/>
      <c r="T92" s="196"/>
      <c r="U92" s="196"/>
      <c r="V92" s="196"/>
      <c r="W92" s="196"/>
      <c r="X92" s="196"/>
    </row>
    <row r="93" spans="11:24">
      <c r="K93" s="205" t="s">
        <v>115</v>
      </c>
      <c r="L93" s="110"/>
      <c r="M93" s="1034" t="s">
        <v>387</v>
      </c>
      <c r="N93" s="1032"/>
      <c r="O93" s="1032"/>
      <c r="P93" s="1032"/>
      <c r="Q93" s="1032"/>
      <c r="R93" s="1032"/>
      <c r="S93" s="1032"/>
      <c r="T93" s="1032"/>
      <c r="U93" s="1032"/>
      <c r="V93" s="1032"/>
      <c r="W93" s="1032"/>
      <c r="X93" s="1032"/>
    </row>
    <row r="94" spans="11:24">
      <c r="K94" s="205" t="s">
        <v>116</v>
      </c>
      <c r="L94" s="110"/>
      <c r="M94" s="1032" t="s">
        <v>388</v>
      </c>
      <c r="N94" s="1032"/>
      <c r="O94" s="1032"/>
      <c r="P94" s="1032"/>
      <c r="Q94" s="1032"/>
      <c r="R94" s="1032"/>
      <c r="S94" s="1032"/>
      <c r="T94" s="1032"/>
      <c r="U94" s="1032"/>
      <c r="V94" s="1032"/>
      <c r="W94" s="1032"/>
      <c r="X94" s="1032"/>
    </row>
    <row r="95" spans="11:24" ht="27.75" customHeight="1">
      <c r="K95" s="206" t="s">
        <v>117</v>
      </c>
      <c r="L95" s="110"/>
      <c r="M95" s="1033" t="s">
        <v>304</v>
      </c>
      <c r="N95" s="1033"/>
      <c r="O95" s="1033"/>
      <c r="P95" s="1033"/>
      <c r="Q95" s="1033"/>
      <c r="R95" s="1033"/>
      <c r="S95" s="1033"/>
      <c r="T95" s="1033"/>
      <c r="U95" s="1033"/>
      <c r="V95" s="1033"/>
      <c r="W95" s="1033"/>
      <c r="X95" s="1033"/>
    </row>
    <row r="96" spans="11:24" ht="15" customHeight="1">
      <c r="K96" s="206" t="s">
        <v>118</v>
      </c>
      <c r="L96" s="110"/>
      <c r="M96" s="1033" t="s">
        <v>305</v>
      </c>
      <c r="N96" s="1033"/>
      <c r="O96" s="1033"/>
      <c r="P96" s="1033"/>
      <c r="Q96" s="1033"/>
      <c r="R96" s="1033"/>
      <c r="S96" s="1033"/>
      <c r="T96" s="1033"/>
      <c r="U96" s="1033"/>
      <c r="V96" s="1033"/>
      <c r="W96" s="1033"/>
      <c r="X96" s="1033"/>
    </row>
    <row r="97" spans="11:24">
      <c r="K97" s="205" t="s">
        <v>119</v>
      </c>
      <c r="L97" s="110"/>
      <c r="M97" s="1032" t="s">
        <v>389</v>
      </c>
      <c r="N97" s="1032"/>
      <c r="O97" s="1032"/>
      <c r="P97" s="1032"/>
      <c r="Q97" s="1032"/>
      <c r="R97" s="1032"/>
      <c r="S97" s="1032"/>
      <c r="T97" s="1032"/>
      <c r="U97" s="1032"/>
      <c r="V97" s="1032"/>
      <c r="W97" s="1032"/>
      <c r="X97" s="1032"/>
    </row>
    <row r="98" spans="11:24">
      <c r="K98" s="205" t="s">
        <v>120</v>
      </c>
      <c r="L98" s="110"/>
      <c r="M98" s="1032" t="s">
        <v>306</v>
      </c>
      <c r="N98" s="1032"/>
      <c r="O98" s="1032"/>
      <c r="P98" s="1032"/>
      <c r="Q98" s="1032"/>
      <c r="R98" s="1032"/>
      <c r="S98" s="1032"/>
      <c r="T98" s="1032"/>
      <c r="U98" s="1032"/>
      <c r="V98" s="1032"/>
      <c r="W98" s="1032"/>
      <c r="X98" s="1032"/>
    </row>
    <row r="99" spans="11:24">
      <c r="K99" s="205" t="s">
        <v>121</v>
      </c>
      <c r="L99" s="110"/>
      <c r="M99" s="1032" t="s">
        <v>307</v>
      </c>
      <c r="N99" s="1032"/>
      <c r="O99" s="1032"/>
      <c r="P99" s="1032"/>
      <c r="Q99" s="1032"/>
      <c r="R99" s="1032"/>
      <c r="S99" s="1032"/>
      <c r="T99" s="1032"/>
      <c r="U99" s="1032"/>
      <c r="V99" s="1032"/>
      <c r="W99" s="1032"/>
      <c r="X99" s="1032"/>
    </row>
    <row r="100" spans="11:24">
      <c r="K100" s="418" t="s">
        <v>123</v>
      </c>
      <c r="L100" s="142"/>
      <c r="M100" s="1031" t="s">
        <v>416</v>
      </c>
      <c r="N100" s="1031"/>
      <c r="O100" s="1031"/>
      <c r="P100" s="1031"/>
      <c r="Q100" s="1031"/>
      <c r="R100" s="1031"/>
      <c r="S100" s="1031"/>
      <c r="T100" s="1031"/>
      <c r="U100" s="1031"/>
      <c r="V100" s="1031"/>
      <c r="W100" s="1031"/>
      <c r="X100" s="1031"/>
    </row>
    <row r="101" spans="11:24" ht="15.75">
      <c r="K101" s="170"/>
      <c r="L101" s="207"/>
      <c r="M101" s="208"/>
      <c r="N101" s="166"/>
      <c r="O101" s="114"/>
      <c r="P101" s="114"/>
      <c r="Q101" s="112"/>
      <c r="R101" s="107"/>
      <c r="S101" s="107"/>
      <c r="T101" s="156"/>
      <c r="U101" s="107"/>
      <c r="W101" s="112"/>
      <c r="X101" s="171"/>
    </row>
    <row r="102" spans="11:24" ht="15.75">
      <c r="K102" s="170"/>
      <c r="L102" s="207"/>
      <c r="M102" s="208"/>
      <c r="N102" s="166"/>
      <c r="O102" s="114"/>
      <c r="P102" s="114"/>
      <c r="Q102" s="112"/>
      <c r="R102" s="107"/>
      <c r="S102" s="107"/>
      <c r="T102" s="156"/>
      <c r="U102" s="107"/>
      <c r="W102" s="112"/>
      <c r="X102" s="158"/>
    </row>
    <row r="103" spans="11:24">
      <c r="M103" s="196"/>
      <c r="N103" s="196"/>
      <c r="O103" s="196"/>
      <c r="P103" s="196"/>
      <c r="Q103" s="196"/>
      <c r="R103" s="196"/>
      <c r="S103" s="196"/>
      <c r="T103" s="196"/>
      <c r="U103" s="196"/>
      <c r="V103" s="196"/>
      <c r="W103" s="196"/>
      <c r="X103" s="196"/>
    </row>
    <row r="104" spans="11:24">
      <c r="M104" s="196"/>
      <c r="N104" s="196"/>
      <c r="O104" s="196"/>
      <c r="P104" s="196"/>
      <c r="Q104" s="196"/>
      <c r="R104" s="196"/>
      <c r="S104" s="196"/>
      <c r="T104" s="196"/>
      <c r="U104" s="196"/>
      <c r="V104" s="196"/>
      <c r="W104" s="196"/>
      <c r="X104" s="196"/>
    </row>
    <row r="105" spans="11:24">
      <c r="M105" s="196"/>
      <c r="N105" s="196"/>
      <c r="O105" s="196"/>
      <c r="P105" s="196"/>
      <c r="Q105" s="196"/>
      <c r="R105" s="196"/>
      <c r="S105" s="196"/>
      <c r="T105" s="196"/>
      <c r="U105" s="196"/>
      <c r="V105" s="196"/>
      <c r="W105" s="196"/>
      <c r="X105" s="196"/>
    </row>
    <row r="106" spans="11:24">
      <c r="M106" s="196"/>
      <c r="N106" s="196"/>
      <c r="O106" s="196"/>
      <c r="P106" s="196"/>
      <c r="Q106" s="196"/>
      <c r="R106" s="196"/>
      <c r="S106" s="196"/>
      <c r="T106" s="196"/>
      <c r="U106" s="196"/>
      <c r="V106" s="196"/>
      <c r="W106" s="196"/>
      <c r="X106" s="196"/>
    </row>
    <row r="107" spans="11:24">
      <c r="M107" s="196"/>
      <c r="N107" s="196"/>
      <c r="O107" s="196"/>
      <c r="P107" s="196"/>
      <c r="Q107" s="196"/>
      <c r="R107" s="196"/>
      <c r="S107" s="196"/>
      <c r="T107" s="196"/>
      <c r="U107" s="196"/>
      <c r="V107" s="196"/>
      <c r="W107" s="196"/>
      <c r="X107" s="196"/>
    </row>
    <row r="108" spans="11:24">
      <c r="M108" s="196"/>
      <c r="N108" s="196"/>
      <c r="O108" s="196"/>
      <c r="P108" s="196"/>
      <c r="Q108" s="196"/>
      <c r="R108" s="196"/>
      <c r="S108" s="196"/>
      <c r="T108" s="196"/>
      <c r="U108" s="196"/>
      <c r="V108" s="196"/>
      <c r="W108" s="196"/>
      <c r="X108" s="196"/>
    </row>
    <row r="109" spans="11:24">
      <c r="M109" s="196"/>
      <c r="N109" s="196"/>
      <c r="O109" s="196"/>
      <c r="P109" s="196"/>
      <c r="Q109" s="196"/>
      <c r="R109" s="196"/>
      <c r="S109" s="196"/>
      <c r="T109" s="196"/>
      <c r="U109" s="196"/>
      <c r="V109" s="196"/>
      <c r="W109" s="196"/>
      <c r="X109" s="196"/>
    </row>
    <row r="110" spans="11:24">
      <c r="M110" s="196"/>
      <c r="N110" s="196"/>
      <c r="O110" s="196"/>
      <c r="P110" s="196"/>
      <c r="Q110" s="196"/>
      <c r="R110" s="196"/>
      <c r="S110" s="196"/>
      <c r="T110" s="196"/>
      <c r="U110" s="196"/>
      <c r="V110" s="196"/>
      <c r="W110" s="196"/>
      <c r="X110" s="196"/>
    </row>
    <row r="111" spans="11:24">
      <c r="M111" s="196"/>
      <c r="N111" s="196"/>
      <c r="O111" s="196"/>
      <c r="P111" s="196"/>
      <c r="Q111" s="196"/>
      <c r="R111" s="196"/>
      <c r="S111" s="196"/>
      <c r="T111" s="196"/>
      <c r="U111" s="196"/>
      <c r="V111" s="196"/>
      <c r="W111" s="196"/>
      <c r="X111" s="196"/>
    </row>
    <row r="112" spans="11:24">
      <c r="M112" s="196"/>
      <c r="N112" s="196"/>
      <c r="O112" s="196"/>
      <c r="P112" s="196"/>
      <c r="Q112" s="196"/>
      <c r="R112" s="196"/>
      <c r="S112" s="196"/>
      <c r="T112" s="196"/>
      <c r="U112" s="196"/>
      <c r="V112" s="196"/>
      <c r="W112" s="196"/>
      <c r="X112" s="196"/>
    </row>
    <row r="113" spans="13:24">
      <c r="M113" s="196"/>
      <c r="N113" s="196"/>
      <c r="O113" s="196"/>
      <c r="P113" s="196"/>
      <c r="Q113" s="196"/>
      <c r="R113" s="196"/>
      <c r="S113" s="196"/>
      <c r="T113" s="196"/>
      <c r="U113" s="196"/>
      <c r="V113" s="196"/>
      <c r="W113" s="196"/>
      <c r="X113" s="196"/>
    </row>
    <row r="114" spans="13:24">
      <c r="M114" s="196"/>
      <c r="N114" s="196"/>
      <c r="O114" s="196"/>
      <c r="P114" s="196"/>
      <c r="Q114" s="196"/>
      <c r="R114" s="196"/>
      <c r="S114" s="196"/>
      <c r="T114" s="196"/>
      <c r="U114" s="196"/>
      <c r="V114" s="196"/>
      <c r="W114" s="196"/>
      <c r="X114" s="196"/>
    </row>
    <row r="115" spans="13:24">
      <c r="M115" s="196"/>
      <c r="N115" s="196"/>
      <c r="O115" s="196"/>
      <c r="P115" s="196"/>
      <c r="Q115" s="196"/>
      <c r="R115" s="196"/>
      <c r="S115" s="196"/>
      <c r="T115" s="196"/>
      <c r="U115" s="196"/>
      <c r="V115" s="196"/>
      <c r="W115" s="196"/>
      <c r="X115" s="196"/>
    </row>
    <row r="116" spans="13:24">
      <c r="M116" s="196"/>
      <c r="N116" s="196"/>
      <c r="O116" s="196"/>
      <c r="P116" s="196"/>
      <c r="Q116" s="196"/>
      <c r="R116" s="196"/>
      <c r="S116" s="196"/>
      <c r="T116" s="196"/>
      <c r="U116" s="196"/>
      <c r="V116" s="196"/>
      <c r="W116" s="196"/>
      <c r="X116" s="196"/>
    </row>
    <row r="117" spans="13:24">
      <c r="M117" s="196"/>
      <c r="N117" s="196"/>
      <c r="O117" s="196"/>
      <c r="P117" s="196"/>
      <c r="Q117" s="196"/>
      <c r="R117" s="196"/>
      <c r="S117" s="196"/>
      <c r="T117" s="196"/>
      <c r="U117" s="196"/>
      <c r="V117" s="196"/>
      <c r="W117" s="196"/>
      <c r="X117" s="196"/>
    </row>
    <row r="118" spans="13:24">
      <c r="M118" s="196"/>
      <c r="N118" s="196"/>
      <c r="O118" s="196"/>
      <c r="P118" s="196"/>
      <c r="Q118" s="196"/>
      <c r="R118" s="196"/>
      <c r="S118" s="196"/>
      <c r="T118" s="196"/>
      <c r="U118" s="196"/>
      <c r="V118" s="196"/>
      <c r="W118" s="196"/>
      <c r="X118" s="196"/>
    </row>
    <row r="119" spans="13:24">
      <c r="M119" s="196"/>
      <c r="N119" s="196"/>
      <c r="O119" s="196"/>
      <c r="P119" s="196"/>
      <c r="Q119" s="196"/>
      <c r="R119" s="196"/>
      <c r="S119" s="196"/>
      <c r="T119" s="196"/>
      <c r="U119" s="196"/>
      <c r="V119" s="196"/>
      <c r="W119" s="196"/>
      <c r="X119" s="196"/>
    </row>
    <row r="120" spans="13:24">
      <c r="M120" s="196"/>
      <c r="N120" s="196"/>
      <c r="O120" s="196"/>
      <c r="P120" s="196"/>
      <c r="Q120" s="196"/>
      <c r="R120" s="196"/>
      <c r="S120" s="196"/>
      <c r="T120" s="196"/>
      <c r="U120" s="196"/>
      <c r="V120" s="196"/>
      <c r="W120" s="196"/>
      <c r="X120" s="196"/>
    </row>
    <row r="121" spans="13:24">
      <c r="M121" s="196"/>
      <c r="N121" s="196"/>
      <c r="O121" s="196"/>
      <c r="P121" s="196"/>
      <c r="Q121" s="196"/>
      <c r="R121" s="196"/>
      <c r="S121" s="196"/>
      <c r="T121" s="196"/>
      <c r="U121" s="196"/>
      <c r="V121" s="196"/>
      <c r="W121" s="196"/>
      <c r="X121" s="196"/>
    </row>
    <row r="122" spans="13:24">
      <c r="M122" s="196"/>
      <c r="N122" s="196"/>
      <c r="O122" s="196"/>
      <c r="P122" s="196"/>
      <c r="Q122" s="196"/>
      <c r="R122" s="196"/>
      <c r="S122" s="196"/>
      <c r="T122" s="196"/>
      <c r="U122" s="196"/>
      <c r="V122" s="196"/>
      <c r="W122" s="196"/>
      <c r="X122" s="196"/>
    </row>
    <row r="123" spans="13:24">
      <c r="M123" s="196"/>
      <c r="N123" s="196"/>
      <c r="O123" s="196"/>
      <c r="P123" s="196"/>
      <c r="Q123" s="196"/>
      <c r="R123" s="196"/>
      <c r="S123" s="196"/>
      <c r="T123" s="196"/>
      <c r="U123" s="196"/>
      <c r="V123" s="196"/>
      <c r="W123" s="196"/>
      <c r="X123" s="196"/>
    </row>
    <row r="124" spans="13:24">
      <c r="M124" s="196"/>
      <c r="N124" s="196"/>
      <c r="O124" s="196"/>
      <c r="P124" s="196"/>
      <c r="Q124" s="196"/>
      <c r="R124" s="196"/>
      <c r="S124" s="196"/>
      <c r="T124" s="196"/>
      <c r="U124" s="196"/>
      <c r="V124" s="196"/>
      <c r="W124" s="196"/>
      <c r="X124" s="196"/>
    </row>
    <row r="125" spans="13:24">
      <c r="M125" s="196"/>
      <c r="N125" s="196"/>
      <c r="O125" s="196"/>
      <c r="P125" s="196"/>
      <c r="Q125" s="196"/>
      <c r="R125" s="196"/>
      <c r="S125" s="196"/>
      <c r="T125" s="196"/>
      <c r="U125" s="196"/>
      <c r="V125" s="196"/>
      <c r="W125" s="196"/>
      <c r="X125" s="196"/>
    </row>
    <row r="126" spans="13:24">
      <c r="M126" s="196"/>
      <c r="N126" s="196"/>
      <c r="O126" s="196"/>
      <c r="P126" s="196"/>
      <c r="Q126" s="196"/>
      <c r="R126" s="196"/>
      <c r="S126" s="196"/>
      <c r="T126" s="196"/>
      <c r="U126" s="196"/>
      <c r="V126" s="196"/>
      <c r="W126" s="196"/>
      <c r="X126" s="196"/>
    </row>
    <row r="127" spans="13:24">
      <c r="M127" s="196"/>
      <c r="N127" s="196"/>
      <c r="O127" s="196"/>
      <c r="P127" s="196"/>
      <c r="Q127" s="196"/>
      <c r="R127" s="196"/>
      <c r="S127" s="196"/>
      <c r="T127" s="196"/>
      <c r="U127" s="196"/>
      <c r="V127" s="196"/>
      <c r="W127" s="196"/>
      <c r="X127" s="196"/>
    </row>
    <row r="128" spans="13:24">
      <c r="M128" s="196"/>
      <c r="N128" s="196"/>
      <c r="O128" s="196"/>
      <c r="P128" s="196"/>
      <c r="Q128" s="196"/>
      <c r="R128" s="196"/>
      <c r="S128" s="196"/>
      <c r="T128" s="196"/>
      <c r="U128" s="196"/>
      <c r="V128" s="196"/>
      <c r="W128" s="196"/>
      <c r="X128" s="196"/>
    </row>
    <row r="129" spans="3:24">
      <c r="M129" s="196"/>
      <c r="N129" s="196"/>
      <c r="O129" s="196"/>
      <c r="P129" s="196"/>
      <c r="Q129" s="196"/>
      <c r="R129" s="196"/>
      <c r="S129" s="196"/>
      <c r="T129" s="196"/>
      <c r="U129" s="196"/>
      <c r="V129" s="196"/>
      <c r="W129" s="196"/>
      <c r="X129" s="196"/>
    </row>
    <row r="130" spans="3:24">
      <c r="M130" s="196"/>
      <c r="N130" s="196"/>
      <c r="O130" s="196"/>
      <c r="P130" s="196"/>
      <c r="Q130" s="196"/>
      <c r="R130" s="196"/>
      <c r="S130" s="196"/>
      <c r="T130" s="196"/>
      <c r="U130" s="196"/>
      <c r="V130" s="196"/>
      <c r="W130" s="196"/>
      <c r="X130" s="196"/>
    </row>
    <row r="131" spans="3:24">
      <c r="M131" s="196"/>
      <c r="N131" s="196"/>
      <c r="O131" s="196"/>
      <c r="P131" s="196"/>
      <c r="Q131" s="196"/>
      <c r="R131" s="196"/>
      <c r="S131" s="196"/>
      <c r="T131" s="196"/>
      <c r="U131" s="196"/>
      <c r="V131" s="196"/>
      <c r="W131" s="196"/>
      <c r="X131" s="196"/>
    </row>
    <row r="132" spans="3:24">
      <c r="M132" s="196"/>
      <c r="N132" s="196"/>
      <c r="O132" s="196"/>
      <c r="P132" s="196"/>
      <c r="Q132" s="196"/>
      <c r="R132" s="196"/>
      <c r="S132" s="196"/>
      <c r="T132" s="196"/>
      <c r="U132" s="196"/>
      <c r="V132" s="196"/>
      <c r="W132" s="196"/>
      <c r="X132" s="196"/>
    </row>
    <row r="133" spans="3:24">
      <c r="M133" s="196"/>
      <c r="N133" s="196"/>
      <c r="O133" s="196"/>
      <c r="P133" s="196"/>
      <c r="Q133" s="196"/>
      <c r="R133" s="196"/>
      <c r="S133" s="196"/>
      <c r="T133" s="196"/>
      <c r="U133" s="196"/>
      <c r="V133" s="196"/>
      <c r="W133" s="196"/>
      <c r="X133" s="196"/>
    </row>
    <row r="134" spans="3:24">
      <c r="M134" s="196"/>
      <c r="N134" s="196"/>
      <c r="O134" s="196"/>
      <c r="P134" s="196"/>
      <c r="Q134" s="196"/>
      <c r="R134" s="196"/>
      <c r="S134" s="196"/>
      <c r="T134" s="196"/>
      <c r="U134" s="196"/>
      <c r="V134" s="196"/>
      <c r="W134" s="196"/>
      <c r="X134" s="196"/>
    </row>
    <row r="135" spans="3:24">
      <c r="M135" s="196"/>
      <c r="N135" s="196"/>
      <c r="O135" s="196"/>
      <c r="P135" s="196"/>
      <c r="Q135" s="196"/>
      <c r="R135" s="196"/>
      <c r="S135" s="196"/>
      <c r="T135" s="196"/>
      <c r="U135" s="196"/>
      <c r="V135" s="196"/>
      <c r="W135" s="196"/>
      <c r="X135" s="196"/>
    </row>
    <row r="136" spans="3:24">
      <c r="M136" s="196"/>
      <c r="N136" s="196"/>
      <c r="O136" s="196"/>
      <c r="P136" s="196"/>
      <c r="Q136" s="196"/>
      <c r="R136" s="196"/>
      <c r="S136" s="196"/>
      <c r="T136" s="196"/>
      <c r="U136" s="196"/>
      <c r="V136" s="196"/>
      <c r="W136" s="196"/>
      <c r="X136" s="196"/>
    </row>
    <row r="137" spans="3:24">
      <c r="M137" s="196"/>
      <c r="N137" s="196"/>
      <c r="O137" s="196"/>
      <c r="P137" s="196"/>
      <c r="Q137" s="196"/>
      <c r="R137" s="196"/>
      <c r="S137" s="196"/>
      <c r="T137" s="196"/>
      <c r="U137" s="196"/>
      <c r="V137" s="196"/>
      <c r="W137" s="196"/>
      <c r="X137" s="196"/>
    </row>
    <row r="138" spans="3:24">
      <c r="M138" s="196"/>
      <c r="N138" s="196"/>
      <c r="O138" s="196"/>
      <c r="P138" s="196"/>
      <c r="Q138" s="196"/>
      <c r="R138" s="196"/>
      <c r="S138" s="196"/>
      <c r="T138" s="196"/>
      <c r="U138" s="196"/>
      <c r="V138" s="196"/>
      <c r="W138" s="196"/>
      <c r="X138" s="196"/>
    </row>
    <row r="139" spans="3:24">
      <c r="M139" s="196"/>
      <c r="N139" s="196"/>
      <c r="O139" s="196"/>
      <c r="P139" s="196"/>
      <c r="Q139" s="196"/>
      <c r="R139" s="196"/>
      <c r="S139" s="196"/>
      <c r="T139" s="196"/>
      <c r="U139" s="196"/>
      <c r="V139" s="196"/>
      <c r="W139" s="196"/>
      <c r="X139" s="196"/>
    </row>
    <row r="140" spans="3:24">
      <c r="C140" s="196"/>
      <c r="D140" s="196"/>
      <c r="E140" s="196"/>
      <c r="F140" s="196"/>
      <c r="G140" s="196"/>
      <c r="H140" s="196"/>
      <c r="I140" s="196"/>
      <c r="J140" s="196"/>
      <c r="K140" s="196"/>
    </row>
    <row r="141" spans="3:24">
      <c r="C141" s="196"/>
      <c r="D141" s="196"/>
      <c r="E141" s="196"/>
      <c r="F141" s="196"/>
      <c r="G141" s="196"/>
      <c r="H141" s="196"/>
      <c r="I141" s="196"/>
      <c r="J141" s="196"/>
      <c r="K141" s="196"/>
    </row>
    <row r="142" spans="3:24">
      <c r="C142" s="196"/>
      <c r="D142" s="196"/>
      <c r="E142" s="196"/>
      <c r="F142" s="196"/>
      <c r="G142" s="196"/>
      <c r="H142" s="196"/>
      <c r="I142" s="196"/>
      <c r="J142" s="196"/>
      <c r="K142" s="196"/>
    </row>
    <row r="143" spans="3:24">
      <c r="C143" s="196"/>
      <c r="D143" s="196"/>
      <c r="E143" s="196"/>
      <c r="F143" s="196"/>
      <c r="G143" s="196"/>
      <c r="H143" s="196"/>
      <c r="I143" s="196"/>
      <c r="J143" s="196"/>
      <c r="K143" s="196"/>
    </row>
    <row r="144" spans="3:24">
      <c r="C144" s="196"/>
      <c r="D144" s="196"/>
      <c r="E144" s="196"/>
      <c r="F144" s="196"/>
      <c r="G144" s="196"/>
      <c r="H144" s="196"/>
      <c r="I144" s="196"/>
      <c r="J144" s="196"/>
      <c r="K144" s="196"/>
    </row>
    <row r="145" spans="3:11">
      <c r="C145" s="196"/>
      <c r="D145" s="196"/>
      <c r="E145" s="196"/>
      <c r="F145" s="196"/>
      <c r="G145" s="196"/>
      <c r="H145" s="196"/>
      <c r="I145" s="196"/>
      <c r="J145" s="196"/>
      <c r="K145" s="196"/>
    </row>
    <row r="146" spans="3:11">
      <c r="C146" s="196"/>
      <c r="D146" s="196"/>
      <c r="E146" s="196"/>
      <c r="F146" s="196"/>
      <c r="G146" s="196"/>
      <c r="H146" s="196"/>
      <c r="I146" s="196"/>
      <c r="J146" s="196"/>
      <c r="K146" s="196"/>
    </row>
    <row r="147" spans="3:11">
      <c r="C147" s="196"/>
      <c r="D147" s="196"/>
      <c r="E147" s="196"/>
      <c r="F147" s="196"/>
      <c r="G147" s="196"/>
      <c r="H147" s="196"/>
      <c r="I147" s="196"/>
      <c r="J147" s="196"/>
      <c r="K147" s="196"/>
    </row>
    <row r="148" spans="3:11">
      <c r="C148" s="196"/>
      <c r="D148" s="196"/>
      <c r="E148" s="196"/>
      <c r="F148" s="196"/>
      <c r="G148" s="196"/>
      <c r="H148" s="196"/>
      <c r="I148" s="196"/>
      <c r="J148" s="196"/>
      <c r="K148" s="196"/>
    </row>
    <row r="149" spans="3:11">
      <c r="C149" s="196"/>
      <c r="D149" s="196"/>
      <c r="E149" s="196"/>
      <c r="F149" s="196"/>
      <c r="G149" s="196"/>
      <c r="H149" s="196"/>
      <c r="I149" s="196"/>
      <c r="J149" s="196"/>
      <c r="K149" s="196"/>
    </row>
    <row r="150" spans="3:11">
      <c r="C150" s="196"/>
      <c r="D150" s="196"/>
      <c r="E150" s="196"/>
      <c r="F150" s="196"/>
      <c r="G150" s="196"/>
      <c r="H150" s="196"/>
      <c r="I150" s="196"/>
      <c r="J150" s="196"/>
      <c r="K150" s="196"/>
    </row>
    <row r="151" spans="3:11">
      <c r="C151" s="196"/>
      <c r="D151" s="196"/>
      <c r="E151" s="196"/>
      <c r="F151" s="196"/>
      <c r="G151" s="196"/>
      <c r="H151" s="196"/>
      <c r="I151" s="196"/>
      <c r="J151" s="196"/>
      <c r="K151" s="196"/>
    </row>
    <row r="152" spans="3:11">
      <c r="C152" s="196"/>
      <c r="D152" s="196"/>
      <c r="E152" s="196"/>
      <c r="F152" s="196"/>
      <c r="G152" s="196"/>
      <c r="H152" s="196"/>
      <c r="I152" s="196"/>
      <c r="J152" s="196"/>
      <c r="K152" s="196"/>
    </row>
    <row r="153" spans="3:11">
      <c r="C153" s="196"/>
      <c r="D153" s="196"/>
      <c r="E153" s="196"/>
      <c r="F153" s="196"/>
      <c r="G153" s="196"/>
      <c r="H153" s="196"/>
      <c r="I153" s="196"/>
      <c r="J153" s="196"/>
      <c r="K153" s="196"/>
    </row>
    <row r="154" spans="3:11">
      <c r="C154" s="196"/>
      <c r="D154" s="196"/>
      <c r="E154" s="196"/>
      <c r="F154" s="196"/>
      <c r="G154" s="196"/>
      <c r="H154" s="196"/>
      <c r="I154" s="196"/>
      <c r="J154" s="196"/>
      <c r="K154" s="196"/>
    </row>
    <row r="155" spans="3:11">
      <c r="C155" s="196"/>
      <c r="D155" s="196"/>
      <c r="E155" s="196"/>
      <c r="F155" s="196"/>
      <c r="G155" s="196"/>
      <c r="H155" s="196"/>
      <c r="I155" s="196"/>
      <c r="J155" s="196"/>
      <c r="K155" s="196"/>
    </row>
    <row r="156" spans="3:11">
      <c r="C156" s="196"/>
      <c r="D156" s="196"/>
      <c r="E156" s="196"/>
      <c r="F156" s="196"/>
      <c r="G156" s="196"/>
      <c r="H156" s="196"/>
      <c r="I156" s="196"/>
      <c r="J156" s="196"/>
      <c r="K156" s="196"/>
    </row>
    <row r="157" spans="3:11">
      <c r="C157" s="196"/>
      <c r="D157" s="196"/>
      <c r="E157" s="196"/>
      <c r="F157" s="196"/>
      <c r="G157" s="196"/>
      <c r="H157" s="196"/>
      <c r="I157" s="196"/>
      <c r="J157" s="196"/>
      <c r="K157" s="196"/>
    </row>
    <row r="158" spans="3:11">
      <c r="C158" s="196"/>
      <c r="D158" s="196"/>
      <c r="E158" s="196"/>
      <c r="F158" s="196"/>
      <c r="G158" s="196"/>
      <c r="H158" s="196"/>
      <c r="I158" s="196"/>
      <c r="J158" s="196"/>
      <c r="K158" s="196"/>
    </row>
    <row r="159" spans="3:11">
      <c r="C159" s="196"/>
      <c r="D159" s="196"/>
      <c r="E159" s="196"/>
      <c r="F159" s="196"/>
      <c r="G159" s="196"/>
      <c r="H159" s="196"/>
      <c r="I159" s="196"/>
      <c r="J159" s="196"/>
      <c r="K159" s="196"/>
    </row>
    <row r="160" spans="3:11">
      <c r="C160" s="196"/>
      <c r="D160" s="196"/>
      <c r="E160" s="196"/>
      <c r="F160" s="196"/>
      <c r="G160" s="196"/>
      <c r="H160" s="196"/>
      <c r="I160" s="196"/>
      <c r="J160" s="196"/>
      <c r="K160" s="196"/>
    </row>
    <row r="161" spans="3:11">
      <c r="C161" s="196"/>
      <c r="D161" s="196"/>
      <c r="E161" s="196"/>
      <c r="F161" s="196"/>
      <c r="G161" s="196"/>
      <c r="H161" s="196"/>
      <c r="I161" s="196"/>
      <c r="J161" s="196"/>
      <c r="K161" s="196"/>
    </row>
    <row r="162" spans="3:11">
      <c r="C162" s="196"/>
      <c r="D162" s="196"/>
      <c r="E162" s="196"/>
      <c r="F162" s="196"/>
      <c r="G162" s="196"/>
      <c r="H162" s="196"/>
      <c r="I162" s="196"/>
      <c r="J162" s="196"/>
      <c r="K162" s="196"/>
    </row>
    <row r="163" spans="3:11">
      <c r="C163" s="196"/>
      <c r="D163" s="196"/>
      <c r="E163" s="196"/>
      <c r="F163" s="196"/>
      <c r="G163" s="196"/>
      <c r="H163" s="196"/>
      <c r="I163" s="196"/>
      <c r="J163" s="196"/>
      <c r="K163" s="196"/>
    </row>
    <row r="164" spans="3:11">
      <c r="C164" s="196"/>
      <c r="D164" s="196"/>
      <c r="E164" s="196"/>
      <c r="F164" s="196"/>
      <c r="G164" s="196"/>
      <c r="H164" s="196"/>
      <c r="I164" s="196"/>
      <c r="J164" s="196"/>
      <c r="K164" s="196"/>
    </row>
    <row r="165" spans="3:11">
      <c r="C165" s="196"/>
      <c r="D165" s="196"/>
      <c r="E165" s="196"/>
      <c r="F165" s="196"/>
      <c r="G165" s="196"/>
      <c r="H165" s="196"/>
      <c r="I165" s="196"/>
      <c r="J165" s="196"/>
      <c r="K165" s="196"/>
    </row>
    <row r="166" spans="3:11">
      <c r="C166" s="196"/>
      <c r="D166" s="196"/>
      <c r="E166" s="196"/>
      <c r="F166" s="196"/>
      <c r="G166" s="196"/>
      <c r="H166" s="196"/>
      <c r="I166" s="196"/>
      <c r="J166" s="196"/>
      <c r="K166" s="196"/>
    </row>
    <row r="167" spans="3:11">
      <c r="C167" s="196"/>
      <c r="D167" s="196"/>
      <c r="E167" s="196"/>
      <c r="F167" s="196"/>
      <c r="G167" s="196"/>
      <c r="H167" s="196"/>
      <c r="I167" s="196"/>
      <c r="J167" s="196"/>
      <c r="K167" s="196"/>
    </row>
    <row r="168" spans="3:11">
      <c r="C168" s="196"/>
      <c r="D168" s="196"/>
      <c r="E168" s="196"/>
      <c r="F168" s="196"/>
      <c r="G168" s="196"/>
      <c r="H168" s="196"/>
      <c r="I168" s="196"/>
      <c r="J168" s="196"/>
      <c r="K168" s="196"/>
    </row>
    <row r="169" spans="3:11">
      <c r="C169" s="196"/>
      <c r="D169" s="196"/>
      <c r="E169" s="196"/>
      <c r="F169" s="196"/>
      <c r="G169" s="196"/>
      <c r="H169" s="196"/>
      <c r="I169" s="196"/>
      <c r="J169" s="196"/>
      <c r="K169" s="196"/>
    </row>
    <row r="170" spans="3:11">
      <c r="C170" s="196"/>
      <c r="D170" s="196"/>
      <c r="E170" s="196"/>
      <c r="F170" s="196"/>
      <c r="G170" s="196"/>
      <c r="H170" s="196"/>
      <c r="I170" s="196"/>
      <c r="J170" s="196"/>
      <c r="K170" s="196"/>
    </row>
    <row r="171" spans="3:11">
      <c r="C171" s="196"/>
      <c r="D171" s="196"/>
      <c r="E171" s="196"/>
      <c r="F171" s="196"/>
      <c r="G171" s="196"/>
      <c r="H171" s="196"/>
      <c r="I171" s="196"/>
      <c r="J171" s="196"/>
      <c r="K171" s="196"/>
    </row>
    <row r="172" spans="3:11">
      <c r="C172" s="196"/>
      <c r="D172" s="196"/>
      <c r="E172" s="196"/>
      <c r="F172" s="196"/>
      <c r="G172" s="196"/>
      <c r="H172" s="196"/>
      <c r="I172" s="196"/>
      <c r="J172" s="196"/>
      <c r="K172" s="196"/>
    </row>
    <row r="173" spans="3:11">
      <c r="C173" s="196"/>
      <c r="D173" s="196"/>
      <c r="E173" s="196"/>
      <c r="F173" s="196"/>
      <c r="G173" s="196"/>
      <c r="H173" s="196"/>
      <c r="I173" s="196"/>
      <c r="J173" s="196"/>
      <c r="K173" s="196"/>
    </row>
    <row r="174" spans="3:11">
      <c r="C174" s="196"/>
      <c r="D174" s="196"/>
      <c r="E174" s="196"/>
      <c r="F174" s="196"/>
      <c r="G174" s="196"/>
      <c r="H174" s="196"/>
      <c r="I174" s="196"/>
      <c r="J174" s="196"/>
      <c r="K174" s="196"/>
    </row>
    <row r="175" spans="3:11">
      <c r="C175" s="196"/>
      <c r="D175" s="196"/>
      <c r="E175" s="196"/>
      <c r="F175" s="196"/>
      <c r="G175" s="196"/>
      <c r="H175" s="196"/>
      <c r="I175" s="196"/>
      <c r="J175" s="196"/>
      <c r="K175" s="196"/>
    </row>
    <row r="176" spans="3:11">
      <c r="C176" s="196"/>
      <c r="D176" s="196"/>
      <c r="E176" s="196"/>
      <c r="F176" s="196"/>
      <c r="G176" s="196"/>
      <c r="H176" s="196"/>
      <c r="I176" s="196"/>
      <c r="J176" s="196"/>
      <c r="K176" s="196"/>
    </row>
    <row r="177" spans="3:11">
      <c r="C177" s="196"/>
      <c r="D177" s="196"/>
      <c r="E177" s="196"/>
      <c r="F177" s="196"/>
      <c r="G177" s="196"/>
      <c r="H177" s="196"/>
      <c r="I177" s="196"/>
      <c r="J177" s="196"/>
      <c r="K177" s="196"/>
    </row>
    <row r="178" spans="3:11">
      <c r="C178" s="196"/>
      <c r="D178" s="196"/>
      <c r="E178" s="196"/>
      <c r="F178" s="196"/>
      <c r="G178" s="196"/>
      <c r="H178" s="196"/>
      <c r="I178" s="196"/>
      <c r="J178" s="196"/>
      <c r="K178" s="196"/>
    </row>
    <row r="179" spans="3:11">
      <c r="C179" s="196"/>
      <c r="D179" s="196"/>
      <c r="E179" s="196"/>
      <c r="F179" s="196"/>
      <c r="G179" s="196"/>
      <c r="H179" s="196"/>
      <c r="I179" s="196"/>
      <c r="J179" s="196"/>
      <c r="K179" s="196"/>
    </row>
    <row r="180" spans="3:11">
      <c r="C180" s="196"/>
      <c r="D180" s="196"/>
      <c r="E180" s="196"/>
      <c r="F180" s="196"/>
      <c r="G180" s="196"/>
      <c r="H180" s="196"/>
      <c r="I180" s="196"/>
      <c r="J180" s="196"/>
      <c r="K180" s="196"/>
    </row>
    <row r="181" spans="3:11">
      <c r="C181" s="196"/>
      <c r="D181" s="196"/>
      <c r="E181" s="196"/>
      <c r="F181" s="196"/>
      <c r="G181" s="196"/>
      <c r="H181" s="196"/>
      <c r="I181" s="196"/>
      <c r="J181" s="196"/>
      <c r="K181" s="196"/>
    </row>
    <row r="182" spans="3:11">
      <c r="C182" s="196"/>
      <c r="D182" s="196"/>
      <c r="E182" s="196"/>
      <c r="F182" s="196"/>
      <c r="G182" s="196"/>
      <c r="H182" s="196"/>
      <c r="I182" s="196"/>
      <c r="J182" s="196"/>
      <c r="K182" s="196"/>
    </row>
    <row r="183" spans="3:11">
      <c r="C183" s="196"/>
      <c r="D183" s="196"/>
      <c r="E183" s="196"/>
      <c r="F183" s="196"/>
      <c r="G183" s="196"/>
      <c r="H183" s="196"/>
      <c r="I183" s="196"/>
      <c r="J183" s="196"/>
      <c r="K183" s="196"/>
    </row>
    <row r="184" spans="3:11">
      <c r="C184" s="196"/>
      <c r="D184" s="196"/>
      <c r="E184" s="196"/>
      <c r="F184" s="196"/>
      <c r="G184" s="196"/>
      <c r="H184" s="196"/>
      <c r="I184" s="196"/>
      <c r="J184" s="196"/>
      <c r="K184" s="196"/>
    </row>
    <row r="185" spans="3:11">
      <c r="C185" s="196"/>
      <c r="D185" s="196"/>
      <c r="E185" s="196"/>
      <c r="F185" s="196"/>
      <c r="G185" s="196"/>
      <c r="H185" s="196"/>
      <c r="I185" s="196"/>
      <c r="J185" s="196"/>
      <c r="K185" s="196"/>
    </row>
    <row r="186" spans="3:11">
      <c r="C186" s="196"/>
      <c r="D186" s="196"/>
      <c r="E186" s="196"/>
      <c r="F186" s="196"/>
      <c r="G186" s="196"/>
      <c r="H186" s="196"/>
      <c r="I186" s="196"/>
      <c r="J186" s="196"/>
      <c r="K186" s="196"/>
    </row>
    <row r="187" spans="3:11">
      <c r="C187" s="196"/>
      <c r="D187" s="196"/>
      <c r="E187" s="196"/>
      <c r="F187" s="196"/>
      <c r="G187" s="196"/>
      <c r="H187" s="196"/>
      <c r="I187" s="196"/>
      <c r="J187" s="196"/>
      <c r="K187" s="196"/>
    </row>
    <row r="188" spans="3:11">
      <c r="C188" s="196"/>
      <c r="D188" s="196"/>
      <c r="E188" s="196"/>
      <c r="F188" s="196"/>
      <c r="G188" s="196"/>
      <c r="H188" s="196"/>
      <c r="I188" s="196"/>
      <c r="J188" s="196"/>
      <c r="K188" s="196"/>
    </row>
    <row r="189" spans="3:11">
      <c r="C189" s="196"/>
      <c r="D189" s="196"/>
      <c r="E189" s="196"/>
      <c r="F189" s="196"/>
      <c r="G189" s="196"/>
      <c r="H189" s="196"/>
      <c r="I189" s="196"/>
      <c r="J189" s="196"/>
      <c r="K189" s="196"/>
    </row>
    <row r="190" spans="3:11">
      <c r="C190" s="196"/>
      <c r="D190" s="196"/>
      <c r="E190" s="196"/>
      <c r="F190" s="196"/>
      <c r="G190" s="196"/>
      <c r="H190" s="196"/>
      <c r="I190" s="196"/>
      <c r="J190" s="196"/>
      <c r="K190" s="196"/>
    </row>
    <row r="191" spans="3:11">
      <c r="C191" s="196"/>
      <c r="D191" s="196"/>
      <c r="E191" s="196"/>
      <c r="F191" s="196"/>
      <c r="G191" s="196"/>
      <c r="H191" s="196"/>
      <c r="I191" s="196"/>
      <c r="J191" s="196"/>
      <c r="K191" s="196"/>
    </row>
    <row r="192" spans="3:11">
      <c r="C192" s="196"/>
      <c r="D192" s="196"/>
      <c r="E192" s="196"/>
      <c r="F192" s="196"/>
      <c r="G192" s="196"/>
      <c r="H192" s="196"/>
      <c r="I192" s="196"/>
      <c r="J192" s="196"/>
      <c r="K192" s="196"/>
    </row>
    <row r="193" spans="3:11">
      <c r="C193" s="196"/>
      <c r="D193" s="196"/>
      <c r="E193" s="196"/>
      <c r="F193" s="196"/>
      <c r="G193" s="196"/>
      <c r="H193" s="196"/>
      <c r="I193" s="196"/>
      <c r="J193" s="196"/>
      <c r="K193" s="196"/>
    </row>
    <row r="194" spans="3:11">
      <c r="C194" s="196"/>
      <c r="D194" s="196"/>
      <c r="E194" s="196"/>
      <c r="F194" s="196"/>
      <c r="G194" s="196"/>
      <c r="H194" s="196"/>
      <c r="I194" s="196"/>
      <c r="J194" s="196"/>
      <c r="K194" s="196"/>
    </row>
    <row r="195" spans="3:11">
      <c r="C195" s="196"/>
      <c r="D195" s="196"/>
      <c r="E195" s="196"/>
      <c r="F195" s="196"/>
      <c r="G195" s="196"/>
      <c r="H195" s="196"/>
      <c r="I195" s="196"/>
      <c r="J195" s="196"/>
      <c r="K195" s="196"/>
    </row>
    <row r="196" spans="3:11">
      <c r="C196" s="196"/>
      <c r="D196" s="196"/>
      <c r="E196" s="196"/>
      <c r="F196" s="196"/>
      <c r="G196" s="196"/>
      <c r="H196" s="196"/>
      <c r="I196" s="196"/>
      <c r="J196" s="196"/>
      <c r="K196" s="196"/>
    </row>
    <row r="197" spans="3:11">
      <c r="C197" s="196"/>
      <c r="D197" s="196"/>
      <c r="E197" s="196"/>
      <c r="F197" s="196"/>
      <c r="G197" s="196"/>
      <c r="H197" s="196"/>
      <c r="I197" s="196"/>
      <c r="J197" s="196"/>
      <c r="K197" s="196"/>
    </row>
    <row r="198" spans="3:11">
      <c r="C198" s="196"/>
      <c r="D198" s="196"/>
      <c r="E198" s="196"/>
      <c r="F198" s="196"/>
      <c r="G198" s="196"/>
      <c r="H198" s="196"/>
      <c r="I198" s="196"/>
      <c r="J198" s="196"/>
      <c r="K198" s="196"/>
    </row>
    <row r="199" spans="3:11">
      <c r="C199" s="196"/>
      <c r="D199" s="196"/>
      <c r="E199" s="196"/>
      <c r="F199" s="196"/>
      <c r="G199" s="196"/>
      <c r="H199" s="196"/>
      <c r="I199" s="196"/>
      <c r="J199" s="196"/>
      <c r="K199" s="196"/>
    </row>
    <row r="200" spans="3:11">
      <c r="C200" s="196"/>
      <c r="D200" s="196"/>
      <c r="E200" s="196"/>
      <c r="F200" s="196"/>
      <c r="G200" s="196"/>
      <c r="H200" s="196"/>
      <c r="I200" s="196"/>
      <c r="J200" s="196"/>
      <c r="K200" s="196"/>
    </row>
    <row r="201" spans="3:11">
      <c r="C201" s="196"/>
      <c r="D201" s="196"/>
      <c r="E201" s="196"/>
      <c r="F201" s="196"/>
      <c r="G201" s="196"/>
      <c r="H201" s="196"/>
      <c r="I201" s="196"/>
      <c r="J201" s="196"/>
      <c r="K201" s="196"/>
    </row>
    <row r="202" spans="3:11">
      <c r="C202" s="196"/>
      <c r="D202" s="196"/>
      <c r="E202" s="196"/>
      <c r="F202" s="196"/>
      <c r="G202" s="196"/>
      <c r="H202" s="196"/>
      <c r="I202" s="196"/>
      <c r="J202" s="196"/>
      <c r="K202" s="196"/>
    </row>
    <row r="203" spans="3:11">
      <c r="C203" s="196"/>
      <c r="D203" s="196"/>
      <c r="E203" s="196"/>
      <c r="F203" s="196"/>
      <c r="G203" s="196"/>
      <c r="H203" s="196"/>
      <c r="I203" s="196"/>
      <c r="J203" s="196"/>
      <c r="K203" s="196"/>
    </row>
    <row r="204" spans="3:11">
      <c r="C204" s="196"/>
      <c r="D204" s="196"/>
      <c r="E204" s="196"/>
      <c r="F204" s="196"/>
      <c r="G204" s="196"/>
      <c r="H204" s="196"/>
      <c r="I204" s="196"/>
      <c r="J204" s="196"/>
      <c r="K204" s="196"/>
    </row>
    <row r="205" spans="3:11">
      <c r="C205" s="196"/>
      <c r="D205" s="196"/>
      <c r="E205" s="196"/>
      <c r="F205" s="196"/>
      <c r="G205" s="196"/>
      <c r="H205" s="196"/>
      <c r="I205" s="196"/>
      <c r="J205" s="196"/>
      <c r="K205" s="196"/>
    </row>
    <row r="206" spans="3:11">
      <c r="C206" s="196"/>
      <c r="D206" s="196"/>
      <c r="E206" s="196"/>
      <c r="F206" s="196"/>
      <c r="G206" s="196"/>
      <c r="H206" s="196"/>
      <c r="I206" s="196"/>
      <c r="J206" s="196"/>
      <c r="K206" s="196"/>
    </row>
    <row r="207" spans="3:11">
      <c r="C207" s="196"/>
      <c r="D207" s="196"/>
      <c r="E207" s="196"/>
      <c r="F207" s="196"/>
      <c r="G207" s="196"/>
      <c r="H207" s="196"/>
      <c r="I207" s="196"/>
      <c r="J207" s="196"/>
      <c r="K207" s="196"/>
    </row>
    <row r="208" spans="3:11">
      <c r="C208" s="196"/>
      <c r="D208" s="196"/>
      <c r="E208" s="196"/>
      <c r="F208" s="196"/>
      <c r="G208" s="196"/>
      <c r="H208" s="196"/>
      <c r="I208" s="196"/>
      <c r="J208" s="196"/>
      <c r="K208" s="196"/>
    </row>
    <row r="209" spans="3:11">
      <c r="C209" s="196"/>
      <c r="D209" s="196"/>
      <c r="E209" s="196"/>
      <c r="F209" s="196"/>
      <c r="G209" s="196"/>
      <c r="H209" s="196"/>
      <c r="I209" s="196"/>
      <c r="J209" s="196"/>
      <c r="K209" s="196"/>
    </row>
    <row r="210" spans="3:11">
      <c r="C210" s="196"/>
      <c r="D210" s="196"/>
      <c r="E210" s="196"/>
      <c r="F210" s="196"/>
      <c r="G210" s="196"/>
      <c r="H210" s="196"/>
      <c r="I210" s="196"/>
      <c r="J210" s="196"/>
      <c r="K210" s="196"/>
    </row>
    <row r="211" spans="3:11">
      <c r="C211" s="196"/>
      <c r="D211" s="196"/>
      <c r="E211" s="196"/>
      <c r="F211" s="196"/>
      <c r="G211" s="196"/>
      <c r="H211" s="196"/>
      <c r="I211" s="196"/>
      <c r="J211" s="196"/>
      <c r="K211" s="196"/>
    </row>
    <row r="212" spans="3:11">
      <c r="C212" s="196"/>
      <c r="D212" s="196"/>
      <c r="E212" s="196"/>
      <c r="F212" s="196"/>
      <c r="G212" s="196"/>
      <c r="H212" s="196"/>
      <c r="I212" s="196"/>
      <c r="J212" s="196"/>
      <c r="K212" s="196"/>
    </row>
    <row r="213" spans="3:11">
      <c r="C213" s="196"/>
      <c r="D213" s="196"/>
      <c r="E213" s="196"/>
      <c r="F213" s="196"/>
      <c r="G213" s="196"/>
      <c r="H213" s="196"/>
      <c r="I213" s="196"/>
      <c r="J213" s="196"/>
      <c r="K213" s="196"/>
    </row>
    <row r="214" spans="3:11">
      <c r="C214" s="196"/>
      <c r="D214" s="196"/>
      <c r="E214" s="196"/>
      <c r="F214" s="196"/>
      <c r="G214" s="196"/>
      <c r="H214" s="196"/>
      <c r="I214" s="196"/>
      <c r="J214" s="196"/>
      <c r="K214" s="196"/>
    </row>
    <row r="215" spans="3:11">
      <c r="C215" s="196"/>
      <c r="D215" s="196"/>
      <c r="E215" s="196"/>
      <c r="F215" s="196"/>
      <c r="G215" s="196"/>
      <c r="H215" s="196"/>
      <c r="I215" s="196"/>
      <c r="J215" s="196"/>
      <c r="K215" s="196"/>
    </row>
    <row r="216" spans="3:11">
      <c r="C216" s="196"/>
      <c r="D216" s="196"/>
      <c r="E216" s="196"/>
      <c r="F216" s="196"/>
      <c r="G216" s="196"/>
      <c r="H216" s="196"/>
      <c r="I216" s="196"/>
      <c r="J216" s="196"/>
      <c r="K216" s="196"/>
    </row>
    <row r="217" spans="3:11">
      <c r="C217" s="196"/>
      <c r="D217" s="196"/>
      <c r="E217" s="196"/>
      <c r="F217" s="196"/>
      <c r="G217" s="196"/>
      <c r="H217" s="196"/>
      <c r="I217" s="196"/>
      <c r="J217" s="196"/>
      <c r="K217" s="196"/>
    </row>
    <row r="218" spans="3:11">
      <c r="C218" s="196"/>
      <c r="D218" s="196"/>
      <c r="E218" s="196"/>
      <c r="F218" s="196"/>
      <c r="G218" s="196"/>
      <c r="H218" s="196"/>
      <c r="I218" s="196"/>
      <c r="J218" s="196"/>
      <c r="K218" s="196"/>
    </row>
    <row r="219" spans="3:11">
      <c r="C219" s="196"/>
      <c r="D219" s="196"/>
      <c r="E219" s="196"/>
      <c r="F219" s="196"/>
      <c r="G219" s="196"/>
      <c r="H219" s="196"/>
      <c r="I219" s="196"/>
      <c r="J219" s="196"/>
      <c r="K219" s="196"/>
    </row>
    <row r="220" spans="3:11">
      <c r="C220" s="196"/>
      <c r="D220" s="196"/>
      <c r="E220" s="196"/>
      <c r="F220" s="196"/>
      <c r="G220" s="196"/>
      <c r="H220" s="196"/>
      <c r="I220" s="196"/>
      <c r="J220" s="196"/>
      <c r="K220" s="196"/>
    </row>
    <row r="221" spans="3:11">
      <c r="C221" s="196"/>
      <c r="D221" s="196"/>
      <c r="E221" s="196"/>
      <c r="F221" s="196"/>
      <c r="G221" s="196"/>
      <c r="H221" s="196"/>
      <c r="I221" s="196"/>
      <c r="J221" s="196"/>
      <c r="K221" s="196"/>
    </row>
    <row r="222" spans="3:11">
      <c r="C222" s="196"/>
      <c r="D222" s="196"/>
      <c r="E222" s="196"/>
      <c r="F222" s="196"/>
      <c r="G222" s="196"/>
      <c r="H222" s="196"/>
      <c r="I222" s="196"/>
      <c r="J222" s="196"/>
      <c r="K222" s="196"/>
    </row>
    <row r="223" spans="3:11">
      <c r="C223" s="196"/>
      <c r="D223" s="196"/>
      <c r="E223" s="196"/>
      <c r="F223" s="196"/>
      <c r="G223" s="196"/>
      <c r="H223" s="196"/>
      <c r="I223" s="196"/>
      <c r="J223" s="196"/>
      <c r="K223" s="196"/>
    </row>
    <row r="224" spans="3:11">
      <c r="C224" s="196"/>
      <c r="D224" s="196"/>
      <c r="E224" s="196"/>
      <c r="F224" s="196"/>
      <c r="G224" s="196"/>
      <c r="H224" s="196"/>
      <c r="I224" s="196"/>
      <c r="J224" s="196"/>
      <c r="K224" s="196"/>
    </row>
    <row r="225" spans="3:11">
      <c r="C225" s="196"/>
      <c r="D225" s="196"/>
      <c r="E225" s="196"/>
      <c r="F225" s="196"/>
      <c r="G225" s="196"/>
      <c r="H225" s="196"/>
      <c r="I225" s="196"/>
      <c r="J225" s="196"/>
      <c r="K225" s="196"/>
    </row>
    <row r="226" spans="3:11">
      <c r="C226" s="196"/>
      <c r="D226" s="196"/>
      <c r="E226" s="196"/>
      <c r="F226" s="196"/>
      <c r="G226" s="196"/>
      <c r="H226" s="196"/>
      <c r="I226" s="196"/>
      <c r="J226" s="196"/>
      <c r="K226" s="196"/>
    </row>
    <row r="227" spans="3:11">
      <c r="C227" s="196"/>
      <c r="D227" s="196"/>
      <c r="E227" s="196"/>
      <c r="F227" s="196"/>
      <c r="G227" s="196"/>
      <c r="H227" s="196"/>
      <c r="I227" s="196"/>
      <c r="J227" s="196"/>
      <c r="K227" s="196"/>
    </row>
    <row r="228" spans="3:11">
      <c r="C228" s="196"/>
      <c r="D228" s="196"/>
      <c r="E228" s="196"/>
      <c r="F228" s="196"/>
      <c r="G228" s="196"/>
      <c r="H228" s="196"/>
      <c r="I228" s="196"/>
      <c r="J228" s="196"/>
      <c r="K228" s="196"/>
    </row>
    <row r="229" spans="3:11">
      <c r="C229" s="196"/>
      <c r="D229" s="196"/>
      <c r="E229" s="196"/>
      <c r="F229" s="196"/>
      <c r="G229" s="196"/>
      <c r="H229" s="196"/>
      <c r="I229" s="196"/>
      <c r="J229" s="196"/>
      <c r="K229" s="196"/>
    </row>
    <row r="230" spans="3:11">
      <c r="C230" s="196"/>
      <c r="D230" s="196"/>
      <c r="E230" s="196"/>
      <c r="F230" s="196"/>
      <c r="G230" s="196"/>
      <c r="H230" s="196"/>
      <c r="I230" s="196"/>
      <c r="J230" s="196"/>
      <c r="K230" s="196"/>
    </row>
    <row r="231" spans="3:11">
      <c r="C231" s="196"/>
      <c r="D231" s="196"/>
      <c r="E231" s="196"/>
      <c r="F231" s="196"/>
      <c r="G231" s="196"/>
      <c r="H231" s="196"/>
      <c r="I231" s="196"/>
      <c r="J231" s="196"/>
      <c r="K231" s="196"/>
    </row>
    <row r="232" spans="3:11">
      <c r="C232" s="196"/>
      <c r="D232" s="196"/>
      <c r="E232" s="196"/>
      <c r="F232" s="196"/>
      <c r="G232" s="196"/>
      <c r="H232" s="196"/>
      <c r="I232" s="196"/>
      <c r="J232" s="196"/>
      <c r="K232" s="196"/>
    </row>
    <row r="233" spans="3:11">
      <c r="C233" s="196"/>
      <c r="D233" s="196"/>
      <c r="E233" s="196"/>
      <c r="F233" s="196"/>
      <c r="G233" s="196"/>
      <c r="H233" s="196"/>
      <c r="I233" s="196"/>
      <c r="J233" s="196"/>
      <c r="K233" s="196"/>
    </row>
    <row r="234" spans="3:11">
      <c r="C234" s="196"/>
      <c r="D234" s="196"/>
      <c r="E234" s="196"/>
      <c r="F234" s="196"/>
      <c r="G234" s="196"/>
      <c r="H234" s="196"/>
      <c r="I234" s="196"/>
      <c r="J234" s="196"/>
      <c r="K234" s="196"/>
    </row>
    <row r="235" spans="3:11">
      <c r="C235" s="196"/>
      <c r="D235" s="196"/>
      <c r="E235" s="196"/>
      <c r="F235" s="196"/>
      <c r="G235" s="196"/>
      <c r="H235" s="196"/>
      <c r="I235" s="196"/>
      <c r="J235" s="196"/>
      <c r="K235" s="196"/>
    </row>
    <row r="236" spans="3:11">
      <c r="C236" s="196"/>
      <c r="D236" s="196"/>
      <c r="E236" s="196"/>
      <c r="F236" s="196"/>
      <c r="G236" s="196"/>
      <c r="H236" s="196"/>
      <c r="I236" s="196"/>
      <c r="J236" s="196"/>
      <c r="K236" s="196"/>
    </row>
    <row r="237" spans="3:11">
      <c r="C237" s="196"/>
      <c r="D237" s="196"/>
      <c r="E237" s="196"/>
      <c r="F237" s="196"/>
      <c r="G237" s="196"/>
      <c r="H237" s="196"/>
      <c r="I237" s="196"/>
      <c r="J237" s="196"/>
      <c r="K237" s="196"/>
    </row>
    <row r="238" spans="3:11">
      <c r="C238" s="196"/>
      <c r="D238" s="196"/>
      <c r="E238" s="196"/>
      <c r="F238" s="196"/>
      <c r="G238" s="196"/>
      <c r="H238" s="196"/>
      <c r="I238" s="196"/>
      <c r="J238" s="196"/>
      <c r="K238" s="196"/>
    </row>
    <row r="239" spans="3:11">
      <c r="C239" s="196"/>
      <c r="D239" s="196"/>
      <c r="E239" s="196"/>
      <c r="F239" s="196"/>
      <c r="G239" s="196"/>
      <c r="H239" s="196"/>
      <c r="I239" s="196"/>
      <c r="J239" s="196"/>
      <c r="K239" s="196"/>
    </row>
    <row r="240" spans="3:11">
      <c r="C240" s="196"/>
      <c r="D240" s="196"/>
      <c r="E240" s="196"/>
      <c r="F240" s="196"/>
      <c r="G240" s="196"/>
      <c r="H240" s="196"/>
      <c r="I240" s="196"/>
      <c r="J240" s="196"/>
      <c r="K240" s="196"/>
    </row>
    <row r="241" spans="3:11">
      <c r="C241" s="196"/>
      <c r="D241" s="196"/>
      <c r="E241" s="196"/>
      <c r="F241" s="196"/>
      <c r="G241" s="196"/>
      <c r="H241" s="196"/>
      <c r="I241" s="196"/>
      <c r="J241" s="196"/>
      <c r="K241" s="196"/>
    </row>
    <row r="242" spans="3:11">
      <c r="C242" s="196"/>
      <c r="D242" s="196"/>
      <c r="E242" s="196"/>
      <c r="F242" s="196"/>
      <c r="G242" s="196"/>
      <c r="H242" s="196"/>
      <c r="I242" s="196"/>
      <c r="J242" s="196"/>
      <c r="K242" s="196"/>
    </row>
    <row r="243" spans="3:11">
      <c r="C243" s="196"/>
      <c r="D243" s="196"/>
      <c r="E243" s="196"/>
      <c r="F243" s="196"/>
      <c r="G243" s="196"/>
      <c r="H243" s="196"/>
      <c r="I243" s="196"/>
      <c r="J243" s="196"/>
      <c r="K243" s="196"/>
    </row>
    <row r="244" spans="3:11">
      <c r="C244" s="196"/>
      <c r="D244" s="196"/>
      <c r="E244" s="196"/>
      <c r="F244" s="196"/>
      <c r="G244" s="196"/>
      <c r="H244" s="196"/>
      <c r="I244" s="196"/>
      <c r="J244" s="196"/>
      <c r="K244" s="196"/>
    </row>
    <row r="245" spans="3:11">
      <c r="C245" s="196"/>
      <c r="D245" s="196"/>
      <c r="E245" s="196"/>
      <c r="F245" s="196"/>
      <c r="G245" s="196"/>
      <c r="H245" s="196"/>
      <c r="I245" s="196"/>
      <c r="J245" s="196"/>
      <c r="K245" s="196"/>
    </row>
    <row r="246" spans="3:11">
      <c r="C246" s="196"/>
      <c r="D246" s="196"/>
      <c r="E246" s="196"/>
      <c r="F246" s="196"/>
      <c r="G246" s="196"/>
      <c r="H246" s="196"/>
      <c r="I246" s="196"/>
      <c r="J246" s="196"/>
      <c r="K246" s="196"/>
    </row>
    <row r="247" spans="3:11">
      <c r="C247" s="196"/>
      <c r="D247" s="196"/>
      <c r="E247" s="196"/>
      <c r="F247" s="196"/>
      <c r="G247" s="196"/>
      <c r="H247" s="196"/>
      <c r="I247" s="196"/>
      <c r="J247" s="196"/>
      <c r="K247" s="196"/>
    </row>
    <row r="248" spans="3:11">
      <c r="C248" s="196"/>
      <c r="D248" s="196"/>
      <c r="E248" s="196"/>
      <c r="F248" s="196"/>
      <c r="G248" s="196"/>
      <c r="H248" s="196"/>
      <c r="I248" s="196"/>
      <c r="J248" s="196"/>
      <c r="K248" s="196"/>
    </row>
    <row r="249" spans="3:11">
      <c r="C249" s="196"/>
      <c r="D249" s="196"/>
      <c r="E249" s="196"/>
      <c r="F249" s="196"/>
      <c r="G249" s="196"/>
      <c r="H249" s="196"/>
      <c r="I249" s="196"/>
      <c r="J249" s="196"/>
      <c r="K249" s="196"/>
    </row>
    <row r="250" spans="3:11">
      <c r="C250" s="196"/>
      <c r="D250" s="196"/>
      <c r="E250" s="196"/>
      <c r="F250" s="196"/>
      <c r="G250" s="196"/>
      <c r="H250" s="196"/>
      <c r="I250" s="196"/>
      <c r="J250" s="196"/>
      <c r="K250" s="196"/>
    </row>
    <row r="251" spans="3:11">
      <c r="C251" s="196"/>
      <c r="D251" s="196"/>
      <c r="E251" s="196"/>
      <c r="F251" s="196"/>
      <c r="G251" s="196"/>
      <c r="H251" s="196"/>
      <c r="I251" s="196"/>
      <c r="J251" s="196"/>
      <c r="K251" s="196"/>
    </row>
    <row r="252" spans="3:11">
      <c r="C252" s="196"/>
      <c r="D252" s="196"/>
      <c r="E252" s="196"/>
      <c r="F252" s="196"/>
      <c r="G252" s="196"/>
      <c r="H252" s="196"/>
      <c r="I252" s="196"/>
      <c r="J252" s="196"/>
      <c r="K252" s="196"/>
    </row>
    <row r="253" spans="3:11">
      <c r="C253" s="196"/>
      <c r="D253" s="196"/>
      <c r="E253" s="196"/>
      <c r="F253" s="196"/>
      <c r="G253" s="196"/>
      <c r="H253" s="196"/>
      <c r="I253" s="196"/>
      <c r="J253" s="196"/>
      <c r="K253" s="196"/>
    </row>
    <row r="254" spans="3:11">
      <c r="C254" s="196"/>
      <c r="D254" s="196"/>
      <c r="E254" s="196"/>
      <c r="F254" s="196"/>
      <c r="G254" s="196"/>
      <c r="H254" s="196"/>
      <c r="I254" s="196"/>
      <c r="J254" s="196"/>
      <c r="K254" s="196"/>
    </row>
    <row r="255" spans="3:11">
      <c r="C255" s="196"/>
      <c r="D255" s="196"/>
      <c r="E255" s="196"/>
      <c r="F255" s="196"/>
      <c r="G255" s="196"/>
      <c r="H255" s="196"/>
      <c r="I255" s="196"/>
      <c r="J255" s="196"/>
      <c r="K255" s="196"/>
    </row>
    <row r="256" spans="3:11">
      <c r="C256" s="196"/>
      <c r="D256" s="196"/>
      <c r="E256" s="196"/>
      <c r="F256" s="196"/>
      <c r="G256" s="196"/>
      <c r="H256" s="196"/>
      <c r="I256" s="196"/>
      <c r="J256" s="196"/>
      <c r="K256" s="196"/>
    </row>
    <row r="257" spans="3:11">
      <c r="C257" s="196"/>
      <c r="D257" s="196"/>
      <c r="E257" s="196"/>
      <c r="F257" s="196"/>
      <c r="G257" s="196"/>
      <c r="H257" s="196"/>
      <c r="I257" s="196"/>
      <c r="J257" s="196"/>
      <c r="K257" s="196"/>
    </row>
    <row r="258" spans="3:11">
      <c r="C258" s="196"/>
      <c r="D258" s="196"/>
      <c r="E258" s="196"/>
      <c r="F258" s="196"/>
      <c r="G258" s="196"/>
      <c r="H258" s="196"/>
      <c r="I258" s="196"/>
      <c r="J258" s="196"/>
      <c r="K258" s="196"/>
    </row>
    <row r="259" spans="3:11">
      <c r="C259" s="196"/>
      <c r="D259" s="196"/>
      <c r="E259" s="196"/>
      <c r="F259" s="196"/>
      <c r="G259" s="196"/>
      <c r="H259" s="196"/>
      <c r="I259" s="196"/>
      <c r="J259" s="196"/>
      <c r="K259" s="196"/>
    </row>
    <row r="260" spans="3:11">
      <c r="C260" s="196"/>
      <c r="D260" s="196"/>
      <c r="E260" s="196"/>
      <c r="F260" s="196"/>
      <c r="G260" s="196"/>
      <c r="H260" s="196"/>
      <c r="I260" s="196"/>
      <c r="J260" s="196"/>
      <c r="K260" s="196"/>
    </row>
    <row r="261" spans="3:11">
      <c r="C261" s="196"/>
      <c r="D261" s="196"/>
      <c r="E261" s="196"/>
      <c r="F261" s="196"/>
      <c r="G261" s="196"/>
      <c r="H261" s="196"/>
      <c r="I261" s="196"/>
      <c r="J261" s="196"/>
      <c r="K261" s="196"/>
    </row>
    <row r="262" spans="3:11">
      <c r="C262" s="196"/>
      <c r="D262" s="196"/>
      <c r="E262" s="196"/>
      <c r="F262" s="196"/>
      <c r="G262" s="196"/>
      <c r="H262" s="196"/>
      <c r="I262" s="196"/>
      <c r="J262" s="196"/>
      <c r="K262" s="196"/>
    </row>
    <row r="263" spans="3:11">
      <c r="C263" s="196"/>
      <c r="D263" s="196"/>
      <c r="E263" s="196"/>
      <c r="F263" s="196"/>
      <c r="G263" s="196"/>
      <c r="H263" s="196"/>
      <c r="I263" s="196"/>
      <c r="J263" s="196"/>
      <c r="K263" s="196"/>
    </row>
    <row r="264" spans="3:11">
      <c r="C264" s="196"/>
      <c r="D264" s="196"/>
      <c r="E264" s="196"/>
      <c r="F264" s="196"/>
      <c r="G264" s="196"/>
      <c r="H264" s="196"/>
      <c r="I264" s="196"/>
      <c r="J264" s="196"/>
      <c r="K264" s="196"/>
    </row>
    <row r="265" spans="3:11">
      <c r="C265" s="196"/>
      <c r="D265" s="196"/>
      <c r="E265" s="196"/>
      <c r="F265" s="196"/>
      <c r="G265" s="196"/>
      <c r="H265" s="196"/>
      <c r="I265" s="196"/>
      <c r="J265" s="196"/>
      <c r="K265" s="196"/>
    </row>
    <row r="266" spans="3:11">
      <c r="C266" s="196"/>
      <c r="D266" s="196"/>
      <c r="E266" s="196"/>
      <c r="F266" s="196"/>
      <c r="G266" s="196"/>
      <c r="H266" s="196"/>
      <c r="I266" s="196"/>
      <c r="J266" s="196"/>
      <c r="K266" s="196"/>
    </row>
    <row r="267" spans="3:11">
      <c r="C267" s="196"/>
      <c r="D267" s="196"/>
      <c r="E267" s="196"/>
      <c r="F267" s="196"/>
      <c r="G267" s="196"/>
      <c r="H267" s="196"/>
      <c r="I267" s="196"/>
      <c r="J267" s="196"/>
      <c r="K267" s="196"/>
    </row>
    <row r="268" spans="3:11">
      <c r="C268" s="196"/>
      <c r="D268" s="196"/>
      <c r="E268" s="196"/>
      <c r="F268" s="196"/>
      <c r="G268" s="196"/>
      <c r="H268" s="196"/>
      <c r="I268" s="196"/>
      <c r="J268" s="196"/>
      <c r="K268" s="196"/>
    </row>
    <row r="269" spans="3:11">
      <c r="C269" s="196"/>
      <c r="D269" s="196"/>
      <c r="E269" s="196"/>
      <c r="F269" s="196"/>
      <c r="G269" s="196"/>
      <c r="H269" s="196"/>
      <c r="I269" s="196"/>
      <c r="J269" s="196"/>
      <c r="K269" s="196"/>
    </row>
    <row r="270" spans="3:11">
      <c r="C270" s="196"/>
      <c r="D270" s="196"/>
      <c r="E270" s="196"/>
      <c r="F270" s="196"/>
      <c r="G270" s="196"/>
      <c r="H270" s="196"/>
      <c r="I270" s="196"/>
      <c r="J270" s="196"/>
      <c r="K270" s="196"/>
    </row>
    <row r="271" spans="3:11">
      <c r="C271" s="196"/>
      <c r="D271" s="196"/>
      <c r="E271" s="196"/>
      <c r="F271" s="196"/>
      <c r="G271" s="196"/>
      <c r="H271" s="196"/>
      <c r="I271" s="196"/>
      <c r="J271" s="196"/>
      <c r="K271" s="196"/>
    </row>
    <row r="272" spans="3:11">
      <c r="C272" s="196"/>
      <c r="D272" s="196"/>
      <c r="E272" s="196"/>
      <c r="F272" s="196"/>
      <c r="G272" s="196"/>
      <c r="H272" s="196"/>
      <c r="I272" s="196"/>
      <c r="J272" s="196"/>
      <c r="K272" s="196"/>
    </row>
    <row r="273" spans="3:11">
      <c r="C273" s="196"/>
      <c r="D273" s="196"/>
      <c r="E273" s="196"/>
      <c r="F273" s="196"/>
      <c r="G273" s="196"/>
      <c r="H273" s="196"/>
      <c r="I273" s="196"/>
      <c r="J273" s="196"/>
      <c r="K273" s="196"/>
    </row>
    <row r="274" spans="3:11">
      <c r="C274" s="196"/>
      <c r="D274" s="196"/>
      <c r="E274" s="196"/>
      <c r="F274" s="196"/>
      <c r="G274" s="196"/>
      <c r="H274" s="196"/>
      <c r="I274" s="196"/>
      <c r="J274" s="196"/>
      <c r="K274" s="196"/>
    </row>
    <row r="275" spans="3:11">
      <c r="C275" s="196"/>
      <c r="D275" s="196"/>
      <c r="E275" s="196"/>
      <c r="F275" s="196"/>
      <c r="G275" s="196"/>
      <c r="H275" s="196"/>
      <c r="I275" s="196"/>
      <c r="J275" s="196"/>
      <c r="K275" s="196"/>
    </row>
    <row r="276" spans="3:11">
      <c r="C276" s="196"/>
      <c r="D276" s="196"/>
      <c r="E276" s="196"/>
      <c r="F276" s="196"/>
      <c r="G276" s="196"/>
      <c r="H276" s="196"/>
      <c r="I276" s="196"/>
      <c r="J276" s="196"/>
      <c r="K276" s="196"/>
    </row>
    <row r="277" spans="3:11">
      <c r="C277" s="196"/>
      <c r="D277" s="196"/>
      <c r="E277" s="196"/>
      <c r="F277" s="196"/>
      <c r="G277" s="196"/>
      <c r="H277" s="196"/>
      <c r="I277" s="196"/>
      <c r="J277" s="196"/>
      <c r="K277" s="196"/>
    </row>
    <row r="278" spans="3:11">
      <c r="C278" s="196"/>
      <c r="D278" s="196"/>
      <c r="E278" s="196"/>
      <c r="F278" s="196"/>
      <c r="G278" s="196"/>
      <c r="H278" s="196"/>
      <c r="I278" s="196"/>
      <c r="J278" s="196"/>
      <c r="K278" s="196"/>
    </row>
    <row r="279" spans="3:11">
      <c r="C279" s="196"/>
      <c r="D279" s="196"/>
      <c r="E279" s="196"/>
      <c r="F279" s="196"/>
      <c r="G279" s="196"/>
      <c r="H279" s="196"/>
      <c r="I279" s="196"/>
      <c r="J279" s="196"/>
      <c r="K279" s="196"/>
    </row>
    <row r="280" spans="3:11">
      <c r="C280" s="196"/>
      <c r="D280" s="196"/>
      <c r="E280" s="196"/>
      <c r="F280" s="196"/>
      <c r="G280" s="196"/>
      <c r="H280" s="196"/>
      <c r="I280" s="196"/>
      <c r="J280" s="196"/>
      <c r="K280" s="196"/>
    </row>
    <row r="281" spans="3:11">
      <c r="C281" s="196"/>
      <c r="D281" s="196"/>
      <c r="E281" s="196"/>
      <c r="F281" s="196"/>
      <c r="G281" s="196"/>
      <c r="H281" s="196"/>
      <c r="I281" s="196"/>
      <c r="J281" s="196"/>
      <c r="K281" s="196"/>
    </row>
    <row r="282" spans="3:11">
      <c r="C282" s="196"/>
      <c r="D282" s="196"/>
      <c r="E282" s="196"/>
      <c r="F282" s="196"/>
      <c r="G282" s="196"/>
      <c r="H282" s="196"/>
      <c r="I282" s="196"/>
      <c r="J282" s="196"/>
      <c r="K282" s="196"/>
    </row>
    <row r="283" spans="3:11">
      <c r="C283" s="196"/>
      <c r="D283" s="196"/>
      <c r="E283" s="196"/>
      <c r="F283" s="196"/>
      <c r="G283" s="196"/>
      <c r="H283" s="196"/>
      <c r="I283" s="196"/>
      <c r="J283" s="196"/>
      <c r="K283" s="196"/>
    </row>
    <row r="284" spans="3:11">
      <c r="C284" s="196"/>
      <c r="D284" s="196"/>
      <c r="E284" s="196"/>
      <c r="F284" s="196"/>
      <c r="G284" s="196"/>
      <c r="H284" s="196"/>
      <c r="I284" s="196"/>
      <c r="J284" s="196"/>
      <c r="K284" s="196"/>
    </row>
    <row r="285" spans="3:11">
      <c r="C285" s="196"/>
      <c r="D285" s="196"/>
      <c r="E285" s="196"/>
      <c r="F285" s="196"/>
      <c r="G285" s="196"/>
      <c r="H285" s="196"/>
      <c r="I285" s="196"/>
      <c r="J285" s="196"/>
      <c r="K285" s="196"/>
    </row>
    <row r="286" spans="3:11">
      <c r="C286" s="196"/>
      <c r="D286" s="196"/>
      <c r="E286" s="196"/>
      <c r="F286" s="196"/>
      <c r="G286" s="196"/>
      <c r="H286" s="196"/>
      <c r="I286" s="196"/>
      <c r="J286" s="196"/>
      <c r="K286" s="196"/>
    </row>
    <row r="287" spans="3:11">
      <c r="C287" s="196"/>
      <c r="D287" s="196"/>
      <c r="E287" s="196"/>
      <c r="F287" s="196"/>
      <c r="G287" s="196"/>
      <c r="H287" s="196"/>
      <c r="I287" s="196"/>
      <c r="J287" s="196"/>
      <c r="K287" s="196"/>
    </row>
    <row r="288" spans="3:11">
      <c r="C288" s="196"/>
      <c r="D288" s="196"/>
      <c r="E288" s="196"/>
      <c r="F288" s="196"/>
      <c r="G288" s="196"/>
      <c r="H288" s="196"/>
      <c r="I288" s="196"/>
      <c r="J288" s="196"/>
      <c r="K288" s="196"/>
    </row>
    <row r="289" spans="3:11">
      <c r="C289" s="196"/>
      <c r="D289" s="196"/>
      <c r="E289" s="196"/>
      <c r="F289" s="196"/>
      <c r="G289" s="196"/>
      <c r="H289" s="196"/>
      <c r="I289" s="196"/>
      <c r="J289" s="196"/>
      <c r="K289" s="196"/>
    </row>
    <row r="290" spans="3:11">
      <c r="C290" s="196"/>
      <c r="D290" s="196"/>
      <c r="E290" s="196"/>
      <c r="F290" s="196"/>
      <c r="G290" s="196"/>
      <c r="H290" s="196"/>
      <c r="I290" s="196"/>
      <c r="J290" s="196"/>
      <c r="K290" s="196"/>
    </row>
    <row r="291" spans="3:11">
      <c r="C291" s="196"/>
      <c r="D291" s="196"/>
      <c r="E291" s="196"/>
      <c r="F291" s="196"/>
      <c r="G291" s="196"/>
      <c r="H291" s="196"/>
      <c r="I291" s="196"/>
      <c r="J291" s="196"/>
    </row>
    <row r="292" spans="3:11">
      <c r="C292" s="196"/>
      <c r="D292" s="196"/>
      <c r="E292" s="196"/>
      <c r="F292" s="196"/>
      <c r="G292" s="196"/>
      <c r="H292" s="196"/>
      <c r="I292" s="196"/>
      <c r="J292" s="196"/>
    </row>
    <row r="293" spans="3:11">
      <c r="C293" s="196"/>
      <c r="D293" s="196"/>
      <c r="E293" s="196"/>
      <c r="F293" s="196"/>
      <c r="G293" s="196"/>
      <c r="H293" s="196"/>
      <c r="I293" s="196"/>
      <c r="J293" s="196"/>
    </row>
    <row r="294" spans="3:11">
      <c r="C294" s="196"/>
      <c r="D294" s="196"/>
      <c r="E294" s="196"/>
      <c r="F294" s="196"/>
      <c r="G294" s="196"/>
      <c r="H294" s="196"/>
      <c r="I294" s="196"/>
      <c r="J294" s="196"/>
    </row>
    <row r="295" spans="3:11">
      <c r="C295" s="196"/>
      <c r="D295" s="196"/>
      <c r="E295" s="196"/>
      <c r="F295" s="196"/>
      <c r="G295" s="196"/>
      <c r="H295" s="196"/>
      <c r="I295" s="196"/>
      <c r="J295" s="196"/>
    </row>
    <row r="296" spans="3:11">
      <c r="C296" s="196"/>
      <c r="D296" s="196"/>
      <c r="E296" s="196"/>
      <c r="F296" s="196"/>
      <c r="G296" s="196"/>
      <c r="H296" s="196"/>
      <c r="I296" s="196"/>
      <c r="J296" s="196"/>
    </row>
    <row r="297" spans="3:11">
      <c r="C297" s="196"/>
      <c r="D297" s="196"/>
      <c r="E297" s="196"/>
      <c r="F297" s="196"/>
      <c r="G297" s="196"/>
      <c r="H297" s="196"/>
      <c r="I297" s="196"/>
      <c r="J297" s="196"/>
    </row>
    <row r="298" spans="3:11">
      <c r="C298" s="196"/>
      <c r="D298" s="196"/>
      <c r="E298" s="196"/>
      <c r="F298" s="196"/>
      <c r="G298" s="196"/>
      <c r="H298" s="196"/>
      <c r="I298" s="196"/>
      <c r="J298" s="196"/>
    </row>
  </sheetData>
  <mergeCells count="8">
    <mergeCell ref="M100:X100"/>
    <mergeCell ref="M99:X99"/>
    <mergeCell ref="M93:X93"/>
    <mergeCell ref="M94:X94"/>
    <mergeCell ref="M95:X95"/>
    <mergeCell ref="M96:X96"/>
    <mergeCell ref="M97:X97"/>
    <mergeCell ref="M98:X98"/>
  </mergeCells>
  <printOptions horizontalCentered="1"/>
  <pageMargins left="0.75" right="0.75" top="0.75" bottom="0.5" header="0.5" footer="0.5"/>
  <pageSetup scale="56" orientation="landscape" r:id="rId1"/>
  <headerFooter alignWithMargins="0"/>
  <rowBreaks count="1" manualBreakCount="1">
    <brk id="48" min="10" max="2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>
    <tabColor rgb="FFFF3300"/>
    <pageSetUpPr fitToPage="1"/>
  </sheetPr>
  <dimension ref="A1:BB298"/>
  <sheetViews>
    <sheetView zoomScale="75" zoomScaleNormal="75" workbookViewId="0">
      <selection activeCell="A2" sqref="A2"/>
    </sheetView>
  </sheetViews>
  <sheetFormatPr defaultRowHeight="15"/>
  <cols>
    <col min="1" max="1" width="6" style="138" customWidth="1"/>
    <col min="2" max="2" width="1.44140625" style="138" customWidth="1"/>
    <col min="3" max="3" width="52.33203125" style="138" customWidth="1"/>
    <col min="4" max="4" width="1.109375" style="138" customWidth="1"/>
    <col min="5" max="5" width="37.109375" style="138" customWidth="1"/>
    <col min="6" max="6" width="1.21875" style="138" customWidth="1"/>
    <col min="7" max="7" width="14.109375" style="138" customWidth="1"/>
    <col min="8" max="8" width="0.88671875" style="138" customWidth="1"/>
    <col min="9" max="9" width="12.77734375" style="138" customWidth="1"/>
    <col min="10" max="10" width="3.77734375" style="138" customWidth="1"/>
    <col min="11" max="11" width="5.21875" style="138" customWidth="1"/>
    <col min="12" max="12" width="1.88671875" style="138" customWidth="1"/>
    <col min="13" max="13" width="22.5546875" style="138" customWidth="1"/>
    <col min="14" max="14" width="8.77734375" style="138"/>
    <col min="15" max="15" width="13.77734375" style="138" customWidth="1"/>
    <col min="16" max="16" width="17" style="138" bestFit="1" customWidth="1"/>
    <col min="17" max="17" width="13.77734375" style="138" customWidth="1"/>
    <col min="18" max="18" width="12.44140625" style="138" customWidth="1"/>
    <col min="19" max="19" width="13" style="138" customWidth="1"/>
    <col min="20" max="20" width="13.21875" style="138" customWidth="1"/>
    <col min="21" max="21" width="12.6640625" style="138" customWidth="1"/>
    <col min="22" max="22" width="15.21875" style="138" customWidth="1"/>
    <col min="23" max="23" width="12.5546875" style="138" customWidth="1"/>
    <col min="24" max="24" width="16.21875" style="138" customWidth="1"/>
    <col min="25" max="245" width="8.77734375" style="138"/>
    <col min="246" max="246" width="6" style="138" customWidth="1"/>
    <col min="247" max="247" width="1.44140625" style="138" customWidth="1"/>
    <col min="248" max="248" width="39.109375" style="138" customWidth="1"/>
    <col min="249" max="249" width="12" style="138" customWidth="1"/>
    <col min="250" max="250" width="14.44140625" style="138" customWidth="1"/>
    <col min="251" max="251" width="11.88671875" style="138" customWidth="1"/>
    <col min="252" max="252" width="14.109375" style="138" customWidth="1"/>
    <col min="253" max="253" width="13.88671875" style="138" customWidth="1"/>
    <col min="254" max="255" width="12.77734375" style="138" customWidth="1"/>
    <col min="256" max="256" width="13.5546875" style="138" customWidth="1"/>
    <col min="257" max="257" width="15.33203125" style="138" customWidth="1"/>
    <col min="258" max="258" width="12.77734375" style="138" customWidth="1"/>
    <col min="259" max="259" width="13.88671875" style="138" customWidth="1"/>
    <col min="260" max="260" width="1.88671875" style="138" customWidth="1"/>
    <col min="261" max="261" width="13" style="138" customWidth="1"/>
    <col min="262" max="501" width="8.77734375" style="138"/>
    <col min="502" max="502" width="6" style="138" customWidth="1"/>
    <col min="503" max="503" width="1.44140625" style="138" customWidth="1"/>
    <col min="504" max="504" width="39.109375" style="138" customWidth="1"/>
    <col min="505" max="505" width="12" style="138" customWidth="1"/>
    <col min="506" max="506" width="14.44140625" style="138" customWidth="1"/>
    <col min="507" max="507" width="11.88671875" style="138" customWidth="1"/>
    <col min="508" max="508" width="14.109375" style="138" customWidth="1"/>
    <col min="509" max="509" width="13.88671875" style="138" customWidth="1"/>
    <col min="510" max="511" width="12.77734375" style="138" customWidth="1"/>
    <col min="512" max="512" width="13.5546875" style="138" customWidth="1"/>
    <col min="513" max="513" width="15.33203125" style="138" customWidth="1"/>
    <col min="514" max="514" width="12.77734375" style="138" customWidth="1"/>
    <col min="515" max="515" width="13.88671875" style="138" customWidth="1"/>
    <col min="516" max="516" width="1.88671875" style="138" customWidth="1"/>
    <col min="517" max="517" width="13" style="138" customWidth="1"/>
    <col min="518" max="757" width="8.77734375" style="138"/>
    <col min="758" max="758" width="6" style="138" customWidth="1"/>
    <col min="759" max="759" width="1.44140625" style="138" customWidth="1"/>
    <col min="760" max="760" width="39.109375" style="138" customWidth="1"/>
    <col min="761" max="761" width="12" style="138" customWidth="1"/>
    <col min="762" max="762" width="14.44140625" style="138" customWidth="1"/>
    <col min="763" max="763" width="11.88671875" style="138" customWidth="1"/>
    <col min="764" max="764" width="14.109375" style="138" customWidth="1"/>
    <col min="765" max="765" width="13.88671875" style="138" customWidth="1"/>
    <col min="766" max="767" width="12.77734375" style="138" customWidth="1"/>
    <col min="768" max="768" width="13.5546875" style="138" customWidth="1"/>
    <col min="769" max="769" width="15.33203125" style="138" customWidth="1"/>
    <col min="770" max="770" width="12.77734375" style="138" customWidth="1"/>
    <col min="771" max="771" width="13.88671875" style="138" customWidth="1"/>
    <col min="772" max="772" width="1.88671875" style="138" customWidth="1"/>
    <col min="773" max="773" width="13" style="138" customWidth="1"/>
    <col min="774" max="1013" width="8.77734375" style="138"/>
    <col min="1014" max="1014" width="6" style="138" customWidth="1"/>
    <col min="1015" max="1015" width="1.44140625" style="138" customWidth="1"/>
    <col min="1016" max="1016" width="39.109375" style="138" customWidth="1"/>
    <col min="1017" max="1017" width="12" style="138" customWidth="1"/>
    <col min="1018" max="1018" width="14.44140625" style="138" customWidth="1"/>
    <col min="1019" max="1019" width="11.88671875" style="138" customWidth="1"/>
    <col min="1020" max="1020" width="14.109375" style="138" customWidth="1"/>
    <col min="1021" max="1021" width="13.88671875" style="138" customWidth="1"/>
    <col min="1022" max="1023" width="12.77734375" style="138" customWidth="1"/>
    <col min="1024" max="1024" width="13.5546875" style="138" customWidth="1"/>
    <col min="1025" max="1025" width="15.33203125" style="138" customWidth="1"/>
    <col min="1026" max="1026" width="12.77734375" style="138" customWidth="1"/>
    <col min="1027" max="1027" width="13.88671875" style="138" customWidth="1"/>
    <col min="1028" max="1028" width="1.88671875" style="138" customWidth="1"/>
    <col min="1029" max="1029" width="13" style="138" customWidth="1"/>
    <col min="1030" max="1269" width="8.77734375" style="138"/>
    <col min="1270" max="1270" width="6" style="138" customWidth="1"/>
    <col min="1271" max="1271" width="1.44140625" style="138" customWidth="1"/>
    <col min="1272" max="1272" width="39.109375" style="138" customWidth="1"/>
    <col min="1273" max="1273" width="12" style="138" customWidth="1"/>
    <col min="1274" max="1274" width="14.44140625" style="138" customWidth="1"/>
    <col min="1275" max="1275" width="11.88671875" style="138" customWidth="1"/>
    <col min="1276" max="1276" width="14.109375" style="138" customWidth="1"/>
    <col min="1277" max="1277" width="13.88671875" style="138" customWidth="1"/>
    <col min="1278" max="1279" width="12.77734375" style="138" customWidth="1"/>
    <col min="1280" max="1280" width="13.5546875" style="138" customWidth="1"/>
    <col min="1281" max="1281" width="15.33203125" style="138" customWidth="1"/>
    <col min="1282" max="1282" width="12.77734375" style="138" customWidth="1"/>
    <col min="1283" max="1283" width="13.88671875" style="138" customWidth="1"/>
    <col min="1284" max="1284" width="1.88671875" style="138" customWidth="1"/>
    <col min="1285" max="1285" width="13" style="138" customWidth="1"/>
    <col min="1286" max="1525" width="8.77734375" style="138"/>
    <col min="1526" max="1526" width="6" style="138" customWidth="1"/>
    <col min="1527" max="1527" width="1.44140625" style="138" customWidth="1"/>
    <col min="1528" max="1528" width="39.109375" style="138" customWidth="1"/>
    <col min="1529" max="1529" width="12" style="138" customWidth="1"/>
    <col min="1530" max="1530" width="14.44140625" style="138" customWidth="1"/>
    <col min="1531" max="1531" width="11.88671875" style="138" customWidth="1"/>
    <col min="1532" max="1532" width="14.109375" style="138" customWidth="1"/>
    <col min="1533" max="1533" width="13.88671875" style="138" customWidth="1"/>
    <col min="1534" max="1535" width="12.77734375" style="138" customWidth="1"/>
    <col min="1536" max="1536" width="13.5546875" style="138" customWidth="1"/>
    <col min="1537" max="1537" width="15.33203125" style="138" customWidth="1"/>
    <col min="1538" max="1538" width="12.77734375" style="138" customWidth="1"/>
    <col min="1539" max="1539" width="13.88671875" style="138" customWidth="1"/>
    <col min="1540" max="1540" width="1.88671875" style="138" customWidth="1"/>
    <col min="1541" max="1541" width="13" style="138" customWidth="1"/>
    <col min="1542" max="1781" width="8.77734375" style="138"/>
    <col min="1782" max="1782" width="6" style="138" customWidth="1"/>
    <col min="1783" max="1783" width="1.44140625" style="138" customWidth="1"/>
    <col min="1784" max="1784" width="39.109375" style="138" customWidth="1"/>
    <col min="1785" max="1785" width="12" style="138" customWidth="1"/>
    <col min="1786" max="1786" width="14.44140625" style="138" customWidth="1"/>
    <col min="1787" max="1787" width="11.88671875" style="138" customWidth="1"/>
    <col min="1788" max="1788" width="14.109375" style="138" customWidth="1"/>
    <col min="1789" max="1789" width="13.88671875" style="138" customWidth="1"/>
    <col min="1790" max="1791" width="12.77734375" style="138" customWidth="1"/>
    <col min="1792" max="1792" width="13.5546875" style="138" customWidth="1"/>
    <col min="1793" max="1793" width="15.33203125" style="138" customWidth="1"/>
    <col min="1794" max="1794" width="12.77734375" style="138" customWidth="1"/>
    <col min="1795" max="1795" width="13.88671875" style="138" customWidth="1"/>
    <col min="1796" max="1796" width="1.88671875" style="138" customWidth="1"/>
    <col min="1797" max="1797" width="13" style="138" customWidth="1"/>
    <col min="1798" max="2037" width="8.77734375" style="138"/>
    <col min="2038" max="2038" width="6" style="138" customWidth="1"/>
    <col min="2039" max="2039" width="1.44140625" style="138" customWidth="1"/>
    <col min="2040" max="2040" width="39.109375" style="138" customWidth="1"/>
    <col min="2041" max="2041" width="12" style="138" customWidth="1"/>
    <col min="2042" max="2042" width="14.44140625" style="138" customWidth="1"/>
    <col min="2043" max="2043" width="11.88671875" style="138" customWidth="1"/>
    <col min="2044" max="2044" width="14.109375" style="138" customWidth="1"/>
    <col min="2045" max="2045" width="13.88671875" style="138" customWidth="1"/>
    <col min="2046" max="2047" width="12.77734375" style="138" customWidth="1"/>
    <col min="2048" max="2048" width="13.5546875" style="138" customWidth="1"/>
    <col min="2049" max="2049" width="15.33203125" style="138" customWidth="1"/>
    <col min="2050" max="2050" width="12.77734375" style="138" customWidth="1"/>
    <col min="2051" max="2051" width="13.88671875" style="138" customWidth="1"/>
    <col min="2052" max="2052" width="1.88671875" style="138" customWidth="1"/>
    <col min="2053" max="2053" width="13" style="138" customWidth="1"/>
    <col min="2054" max="2293" width="8.77734375" style="138"/>
    <col min="2294" max="2294" width="6" style="138" customWidth="1"/>
    <col min="2295" max="2295" width="1.44140625" style="138" customWidth="1"/>
    <col min="2296" max="2296" width="39.109375" style="138" customWidth="1"/>
    <col min="2297" max="2297" width="12" style="138" customWidth="1"/>
    <col min="2298" max="2298" width="14.44140625" style="138" customWidth="1"/>
    <col min="2299" max="2299" width="11.88671875" style="138" customWidth="1"/>
    <col min="2300" max="2300" width="14.109375" style="138" customWidth="1"/>
    <col min="2301" max="2301" width="13.88671875" style="138" customWidth="1"/>
    <col min="2302" max="2303" width="12.77734375" style="138" customWidth="1"/>
    <col min="2304" max="2304" width="13.5546875" style="138" customWidth="1"/>
    <col min="2305" max="2305" width="15.33203125" style="138" customWidth="1"/>
    <col min="2306" max="2306" width="12.77734375" style="138" customWidth="1"/>
    <col min="2307" max="2307" width="13.88671875" style="138" customWidth="1"/>
    <col min="2308" max="2308" width="1.88671875" style="138" customWidth="1"/>
    <col min="2309" max="2309" width="13" style="138" customWidth="1"/>
    <col min="2310" max="2549" width="8.77734375" style="138"/>
    <col min="2550" max="2550" width="6" style="138" customWidth="1"/>
    <col min="2551" max="2551" width="1.44140625" style="138" customWidth="1"/>
    <col min="2552" max="2552" width="39.109375" style="138" customWidth="1"/>
    <col min="2553" max="2553" width="12" style="138" customWidth="1"/>
    <col min="2554" max="2554" width="14.44140625" style="138" customWidth="1"/>
    <col min="2555" max="2555" width="11.88671875" style="138" customWidth="1"/>
    <col min="2556" max="2556" width="14.109375" style="138" customWidth="1"/>
    <col min="2557" max="2557" width="13.88671875" style="138" customWidth="1"/>
    <col min="2558" max="2559" width="12.77734375" style="138" customWidth="1"/>
    <col min="2560" max="2560" width="13.5546875" style="138" customWidth="1"/>
    <col min="2561" max="2561" width="15.33203125" style="138" customWidth="1"/>
    <col min="2562" max="2562" width="12.77734375" style="138" customWidth="1"/>
    <col min="2563" max="2563" width="13.88671875" style="138" customWidth="1"/>
    <col min="2564" max="2564" width="1.88671875" style="138" customWidth="1"/>
    <col min="2565" max="2565" width="13" style="138" customWidth="1"/>
    <col min="2566" max="2805" width="8.77734375" style="138"/>
    <col min="2806" max="2806" width="6" style="138" customWidth="1"/>
    <col min="2807" max="2807" width="1.44140625" style="138" customWidth="1"/>
    <col min="2808" max="2808" width="39.109375" style="138" customWidth="1"/>
    <col min="2809" max="2809" width="12" style="138" customWidth="1"/>
    <col min="2810" max="2810" width="14.44140625" style="138" customWidth="1"/>
    <col min="2811" max="2811" width="11.88671875" style="138" customWidth="1"/>
    <col min="2812" max="2812" width="14.109375" style="138" customWidth="1"/>
    <col min="2813" max="2813" width="13.88671875" style="138" customWidth="1"/>
    <col min="2814" max="2815" width="12.77734375" style="138" customWidth="1"/>
    <col min="2816" max="2816" width="13.5546875" style="138" customWidth="1"/>
    <col min="2817" max="2817" width="15.33203125" style="138" customWidth="1"/>
    <col min="2818" max="2818" width="12.77734375" style="138" customWidth="1"/>
    <col min="2819" max="2819" width="13.88671875" style="138" customWidth="1"/>
    <col min="2820" max="2820" width="1.88671875" style="138" customWidth="1"/>
    <col min="2821" max="2821" width="13" style="138" customWidth="1"/>
    <col min="2822" max="3061" width="8.77734375" style="138"/>
    <col min="3062" max="3062" width="6" style="138" customWidth="1"/>
    <col min="3063" max="3063" width="1.44140625" style="138" customWidth="1"/>
    <col min="3064" max="3064" width="39.109375" style="138" customWidth="1"/>
    <col min="3065" max="3065" width="12" style="138" customWidth="1"/>
    <col min="3066" max="3066" width="14.44140625" style="138" customWidth="1"/>
    <col min="3067" max="3067" width="11.88671875" style="138" customWidth="1"/>
    <col min="3068" max="3068" width="14.109375" style="138" customWidth="1"/>
    <col min="3069" max="3069" width="13.88671875" style="138" customWidth="1"/>
    <col min="3070" max="3071" width="12.77734375" style="138" customWidth="1"/>
    <col min="3072" max="3072" width="13.5546875" style="138" customWidth="1"/>
    <col min="3073" max="3073" width="15.33203125" style="138" customWidth="1"/>
    <col min="3074" max="3074" width="12.77734375" style="138" customWidth="1"/>
    <col min="3075" max="3075" width="13.88671875" style="138" customWidth="1"/>
    <col min="3076" max="3076" width="1.88671875" style="138" customWidth="1"/>
    <col min="3077" max="3077" width="13" style="138" customWidth="1"/>
    <col min="3078" max="3317" width="8.77734375" style="138"/>
    <col min="3318" max="3318" width="6" style="138" customWidth="1"/>
    <col min="3319" max="3319" width="1.44140625" style="138" customWidth="1"/>
    <col min="3320" max="3320" width="39.109375" style="138" customWidth="1"/>
    <col min="3321" max="3321" width="12" style="138" customWidth="1"/>
    <col min="3322" max="3322" width="14.44140625" style="138" customWidth="1"/>
    <col min="3323" max="3323" width="11.88671875" style="138" customWidth="1"/>
    <col min="3324" max="3324" width="14.109375" style="138" customWidth="1"/>
    <col min="3325" max="3325" width="13.88671875" style="138" customWidth="1"/>
    <col min="3326" max="3327" width="12.77734375" style="138" customWidth="1"/>
    <col min="3328" max="3328" width="13.5546875" style="138" customWidth="1"/>
    <col min="3329" max="3329" width="15.33203125" style="138" customWidth="1"/>
    <col min="3330" max="3330" width="12.77734375" style="138" customWidth="1"/>
    <col min="3331" max="3331" width="13.88671875" style="138" customWidth="1"/>
    <col min="3332" max="3332" width="1.88671875" style="138" customWidth="1"/>
    <col min="3333" max="3333" width="13" style="138" customWidth="1"/>
    <col min="3334" max="3573" width="8.77734375" style="138"/>
    <col min="3574" max="3574" width="6" style="138" customWidth="1"/>
    <col min="3575" max="3575" width="1.44140625" style="138" customWidth="1"/>
    <col min="3576" max="3576" width="39.109375" style="138" customWidth="1"/>
    <col min="3577" max="3577" width="12" style="138" customWidth="1"/>
    <col min="3578" max="3578" width="14.44140625" style="138" customWidth="1"/>
    <col min="3579" max="3579" width="11.88671875" style="138" customWidth="1"/>
    <col min="3580" max="3580" width="14.109375" style="138" customWidth="1"/>
    <col min="3581" max="3581" width="13.88671875" style="138" customWidth="1"/>
    <col min="3582" max="3583" width="12.77734375" style="138" customWidth="1"/>
    <col min="3584" max="3584" width="13.5546875" style="138" customWidth="1"/>
    <col min="3585" max="3585" width="15.33203125" style="138" customWidth="1"/>
    <col min="3586" max="3586" width="12.77734375" style="138" customWidth="1"/>
    <col min="3587" max="3587" width="13.88671875" style="138" customWidth="1"/>
    <col min="3588" max="3588" width="1.88671875" style="138" customWidth="1"/>
    <col min="3589" max="3589" width="13" style="138" customWidth="1"/>
    <col min="3590" max="3829" width="8.77734375" style="138"/>
    <col min="3830" max="3830" width="6" style="138" customWidth="1"/>
    <col min="3831" max="3831" width="1.44140625" style="138" customWidth="1"/>
    <col min="3832" max="3832" width="39.109375" style="138" customWidth="1"/>
    <col min="3833" max="3833" width="12" style="138" customWidth="1"/>
    <col min="3834" max="3834" width="14.44140625" style="138" customWidth="1"/>
    <col min="3835" max="3835" width="11.88671875" style="138" customWidth="1"/>
    <col min="3836" max="3836" width="14.109375" style="138" customWidth="1"/>
    <col min="3837" max="3837" width="13.88671875" style="138" customWidth="1"/>
    <col min="3838" max="3839" width="12.77734375" style="138" customWidth="1"/>
    <col min="3840" max="3840" width="13.5546875" style="138" customWidth="1"/>
    <col min="3841" max="3841" width="15.33203125" style="138" customWidth="1"/>
    <col min="3842" max="3842" width="12.77734375" style="138" customWidth="1"/>
    <col min="3843" max="3843" width="13.88671875" style="138" customWidth="1"/>
    <col min="3844" max="3844" width="1.88671875" style="138" customWidth="1"/>
    <col min="3845" max="3845" width="13" style="138" customWidth="1"/>
    <col min="3846" max="4085" width="8.77734375" style="138"/>
    <col min="4086" max="4086" width="6" style="138" customWidth="1"/>
    <col min="4087" max="4087" width="1.44140625" style="138" customWidth="1"/>
    <col min="4088" max="4088" width="39.109375" style="138" customWidth="1"/>
    <col min="4089" max="4089" width="12" style="138" customWidth="1"/>
    <col min="4090" max="4090" width="14.44140625" style="138" customWidth="1"/>
    <col min="4091" max="4091" width="11.88671875" style="138" customWidth="1"/>
    <col min="4092" max="4092" width="14.109375" style="138" customWidth="1"/>
    <col min="4093" max="4093" width="13.88671875" style="138" customWidth="1"/>
    <col min="4094" max="4095" width="12.77734375" style="138" customWidth="1"/>
    <col min="4096" max="4096" width="13.5546875" style="138" customWidth="1"/>
    <col min="4097" max="4097" width="15.33203125" style="138" customWidth="1"/>
    <col min="4098" max="4098" width="12.77734375" style="138" customWidth="1"/>
    <col min="4099" max="4099" width="13.88671875" style="138" customWidth="1"/>
    <col min="4100" max="4100" width="1.88671875" style="138" customWidth="1"/>
    <col min="4101" max="4101" width="13" style="138" customWidth="1"/>
    <col min="4102" max="4341" width="8.77734375" style="138"/>
    <col min="4342" max="4342" width="6" style="138" customWidth="1"/>
    <col min="4343" max="4343" width="1.44140625" style="138" customWidth="1"/>
    <col min="4344" max="4344" width="39.109375" style="138" customWidth="1"/>
    <col min="4345" max="4345" width="12" style="138" customWidth="1"/>
    <col min="4346" max="4346" width="14.44140625" style="138" customWidth="1"/>
    <col min="4347" max="4347" width="11.88671875" style="138" customWidth="1"/>
    <col min="4348" max="4348" width="14.109375" style="138" customWidth="1"/>
    <col min="4349" max="4349" width="13.88671875" style="138" customWidth="1"/>
    <col min="4350" max="4351" width="12.77734375" style="138" customWidth="1"/>
    <col min="4352" max="4352" width="13.5546875" style="138" customWidth="1"/>
    <col min="4353" max="4353" width="15.33203125" style="138" customWidth="1"/>
    <col min="4354" max="4354" width="12.77734375" style="138" customWidth="1"/>
    <col min="4355" max="4355" width="13.88671875" style="138" customWidth="1"/>
    <col min="4356" max="4356" width="1.88671875" style="138" customWidth="1"/>
    <col min="4357" max="4357" width="13" style="138" customWidth="1"/>
    <col min="4358" max="4597" width="8.77734375" style="138"/>
    <col min="4598" max="4598" width="6" style="138" customWidth="1"/>
    <col min="4599" max="4599" width="1.44140625" style="138" customWidth="1"/>
    <col min="4600" max="4600" width="39.109375" style="138" customWidth="1"/>
    <col min="4601" max="4601" width="12" style="138" customWidth="1"/>
    <col min="4602" max="4602" width="14.44140625" style="138" customWidth="1"/>
    <col min="4603" max="4603" width="11.88671875" style="138" customWidth="1"/>
    <col min="4604" max="4604" width="14.109375" style="138" customWidth="1"/>
    <col min="4605" max="4605" width="13.88671875" style="138" customWidth="1"/>
    <col min="4606" max="4607" width="12.77734375" style="138" customWidth="1"/>
    <col min="4608" max="4608" width="13.5546875" style="138" customWidth="1"/>
    <col min="4609" max="4609" width="15.33203125" style="138" customWidth="1"/>
    <col min="4610" max="4610" width="12.77734375" style="138" customWidth="1"/>
    <col min="4611" max="4611" width="13.88671875" style="138" customWidth="1"/>
    <col min="4612" max="4612" width="1.88671875" style="138" customWidth="1"/>
    <col min="4613" max="4613" width="13" style="138" customWidth="1"/>
    <col min="4614" max="4853" width="8.77734375" style="138"/>
    <col min="4854" max="4854" width="6" style="138" customWidth="1"/>
    <col min="4855" max="4855" width="1.44140625" style="138" customWidth="1"/>
    <col min="4856" max="4856" width="39.109375" style="138" customWidth="1"/>
    <col min="4857" max="4857" width="12" style="138" customWidth="1"/>
    <col min="4858" max="4858" width="14.44140625" style="138" customWidth="1"/>
    <col min="4859" max="4859" width="11.88671875" style="138" customWidth="1"/>
    <col min="4860" max="4860" width="14.109375" style="138" customWidth="1"/>
    <col min="4861" max="4861" width="13.88671875" style="138" customWidth="1"/>
    <col min="4862" max="4863" width="12.77734375" style="138" customWidth="1"/>
    <col min="4864" max="4864" width="13.5546875" style="138" customWidth="1"/>
    <col min="4865" max="4865" width="15.33203125" style="138" customWidth="1"/>
    <col min="4866" max="4866" width="12.77734375" style="138" customWidth="1"/>
    <col min="4867" max="4867" width="13.88671875" style="138" customWidth="1"/>
    <col min="4868" max="4868" width="1.88671875" style="138" customWidth="1"/>
    <col min="4869" max="4869" width="13" style="138" customWidth="1"/>
    <col min="4870" max="5109" width="8.77734375" style="138"/>
    <col min="5110" max="5110" width="6" style="138" customWidth="1"/>
    <col min="5111" max="5111" width="1.44140625" style="138" customWidth="1"/>
    <col min="5112" max="5112" width="39.109375" style="138" customWidth="1"/>
    <col min="5113" max="5113" width="12" style="138" customWidth="1"/>
    <col min="5114" max="5114" width="14.44140625" style="138" customWidth="1"/>
    <col min="5115" max="5115" width="11.88671875" style="138" customWidth="1"/>
    <col min="5116" max="5116" width="14.109375" style="138" customWidth="1"/>
    <col min="5117" max="5117" width="13.88671875" style="138" customWidth="1"/>
    <col min="5118" max="5119" width="12.77734375" style="138" customWidth="1"/>
    <col min="5120" max="5120" width="13.5546875" style="138" customWidth="1"/>
    <col min="5121" max="5121" width="15.33203125" style="138" customWidth="1"/>
    <col min="5122" max="5122" width="12.77734375" style="138" customWidth="1"/>
    <col min="5123" max="5123" width="13.88671875" style="138" customWidth="1"/>
    <col min="5124" max="5124" width="1.88671875" style="138" customWidth="1"/>
    <col min="5125" max="5125" width="13" style="138" customWidth="1"/>
    <col min="5126" max="5365" width="8.77734375" style="138"/>
    <col min="5366" max="5366" width="6" style="138" customWidth="1"/>
    <col min="5367" max="5367" width="1.44140625" style="138" customWidth="1"/>
    <col min="5368" max="5368" width="39.109375" style="138" customWidth="1"/>
    <col min="5369" max="5369" width="12" style="138" customWidth="1"/>
    <col min="5370" max="5370" width="14.44140625" style="138" customWidth="1"/>
    <col min="5371" max="5371" width="11.88671875" style="138" customWidth="1"/>
    <col min="5372" max="5372" width="14.109375" style="138" customWidth="1"/>
    <col min="5373" max="5373" width="13.88671875" style="138" customWidth="1"/>
    <col min="5374" max="5375" width="12.77734375" style="138" customWidth="1"/>
    <col min="5376" max="5376" width="13.5546875" style="138" customWidth="1"/>
    <col min="5377" max="5377" width="15.33203125" style="138" customWidth="1"/>
    <col min="5378" max="5378" width="12.77734375" style="138" customWidth="1"/>
    <col min="5379" max="5379" width="13.88671875" style="138" customWidth="1"/>
    <col min="5380" max="5380" width="1.88671875" style="138" customWidth="1"/>
    <col min="5381" max="5381" width="13" style="138" customWidth="1"/>
    <col min="5382" max="5621" width="8.77734375" style="138"/>
    <col min="5622" max="5622" width="6" style="138" customWidth="1"/>
    <col min="5623" max="5623" width="1.44140625" style="138" customWidth="1"/>
    <col min="5624" max="5624" width="39.109375" style="138" customWidth="1"/>
    <col min="5625" max="5625" width="12" style="138" customWidth="1"/>
    <col min="5626" max="5626" width="14.44140625" style="138" customWidth="1"/>
    <col min="5627" max="5627" width="11.88671875" style="138" customWidth="1"/>
    <col min="5628" max="5628" width="14.109375" style="138" customWidth="1"/>
    <col min="5629" max="5629" width="13.88671875" style="138" customWidth="1"/>
    <col min="5630" max="5631" width="12.77734375" style="138" customWidth="1"/>
    <col min="5632" max="5632" width="13.5546875" style="138" customWidth="1"/>
    <col min="5633" max="5633" width="15.33203125" style="138" customWidth="1"/>
    <col min="5634" max="5634" width="12.77734375" style="138" customWidth="1"/>
    <col min="5635" max="5635" width="13.88671875" style="138" customWidth="1"/>
    <col min="5636" max="5636" width="1.88671875" style="138" customWidth="1"/>
    <col min="5637" max="5637" width="13" style="138" customWidth="1"/>
    <col min="5638" max="5877" width="8.77734375" style="138"/>
    <col min="5878" max="5878" width="6" style="138" customWidth="1"/>
    <col min="5879" max="5879" width="1.44140625" style="138" customWidth="1"/>
    <col min="5880" max="5880" width="39.109375" style="138" customWidth="1"/>
    <col min="5881" max="5881" width="12" style="138" customWidth="1"/>
    <col min="5882" max="5882" width="14.44140625" style="138" customWidth="1"/>
    <col min="5883" max="5883" width="11.88671875" style="138" customWidth="1"/>
    <col min="5884" max="5884" width="14.109375" style="138" customWidth="1"/>
    <col min="5885" max="5885" width="13.88671875" style="138" customWidth="1"/>
    <col min="5886" max="5887" width="12.77734375" style="138" customWidth="1"/>
    <col min="5888" max="5888" width="13.5546875" style="138" customWidth="1"/>
    <col min="5889" max="5889" width="15.33203125" style="138" customWidth="1"/>
    <col min="5890" max="5890" width="12.77734375" style="138" customWidth="1"/>
    <col min="5891" max="5891" width="13.88671875" style="138" customWidth="1"/>
    <col min="5892" max="5892" width="1.88671875" style="138" customWidth="1"/>
    <col min="5893" max="5893" width="13" style="138" customWidth="1"/>
    <col min="5894" max="6133" width="8.77734375" style="138"/>
    <col min="6134" max="6134" width="6" style="138" customWidth="1"/>
    <col min="6135" max="6135" width="1.44140625" style="138" customWidth="1"/>
    <col min="6136" max="6136" width="39.109375" style="138" customWidth="1"/>
    <col min="6137" max="6137" width="12" style="138" customWidth="1"/>
    <col min="6138" max="6138" width="14.44140625" style="138" customWidth="1"/>
    <col min="6139" max="6139" width="11.88671875" style="138" customWidth="1"/>
    <col min="6140" max="6140" width="14.109375" style="138" customWidth="1"/>
    <col min="6141" max="6141" width="13.88671875" style="138" customWidth="1"/>
    <col min="6142" max="6143" width="12.77734375" style="138" customWidth="1"/>
    <col min="6144" max="6144" width="13.5546875" style="138" customWidth="1"/>
    <col min="6145" max="6145" width="15.33203125" style="138" customWidth="1"/>
    <col min="6146" max="6146" width="12.77734375" style="138" customWidth="1"/>
    <col min="6147" max="6147" width="13.88671875" style="138" customWidth="1"/>
    <col min="6148" max="6148" width="1.88671875" style="138" customWidth="1"/>
    <col min="6149" max="6149" width="13" style="138" customWidth="1"/>
    <col min="6150" max="6389" width="8.77734375" style="138"/>
    <col min="6390" max="6390" width="6" style="138" customWidth="1"/>
    <col min="6391" max="6391" width="1.44140625" style="138" customWidth="1"/>
    <col min="6392" max="6392" width="39.109375" style="138" customWidth="1"/>
    <col min="6393" max="6393" width="12" style="138" customWidth="1"/>
    <col min="6394" max="6394" width="14.44140625" style="138" customWidth="1"/>
    <col min="6395" max="6395" width="11.88671875" style="138" customWidth="1"/>
    <col min="6396" max="6396" width="14.109375" style="138" customWidth="1"/>
    <col min="6397" max="6397" width="13.88671875" style="138" customWidth="1"/>
    <col min="6398" max="6399" width="12.77734375" style="138" customWidth="1"/>
    <col min="6400" max="6400" width="13.5546875" style="138" customWidth="1"/>
    <col min="6401" max="6401" width="15.33203125" style="138" customWidth="1"/>
    <col min="6402" max="6402" width="12.77734375" style="138" customWidth="1"/>
    <col min="6403" max="6403" width="13.88671875" style="138" customWidth="1"/>
    <col min="6404" max="6404" width="1.88671875" style="138" customWidth="1"/>
    <col min="6405" max="6405" width="13" style="138" customWidth="1"/>
    <col min="6406" max="6645" width="8.77734375" style="138"/>
    <col min="6646" max="6646" width="6" style="138" customWidth="1"/>
    <col min="6647" max="6647" width="1.44140625" style="138" customWidth="1"/>
    <col min="6648" max="6648" width="39.109375" style="138" customWidth="1"/>
    <col min="6649" max="6649" width="12" style="138" customWidth="1"/>
    <col min="6650" max="6650" width="14.44140625" style="138" customWidth="1"/>
    <col min="6651" max="6651" width="11.88671875" style="138" customWidth="1"/>
    <col min="6652" max="6652" width="14.109375" style="138" customWidth="1"/>
    <col min="6653" max="6653" width="13.88671875" style="138" customWidth="1"/>
    <col min="6654" max="6655" width="12.77734375" style="138" customWidth="1"/>
    <col min="6656" max="6656" width="13.5546875" style="138" customWidth="1"/>
    <col min="6657" max="6657" width="15.33203125" style="138" customWidth="1"/>
    <col min="6658" max="6658" width="12.77734375" style="138" customWidth="1"/>
    <col min="6659" max="6659" width="13.88671875" style="138" customWidth="1"/>
    <col min="6660" max="6660" width="1.88671875" style="138" customWidth="1"/>
    <col min="6661" max="6661" width="13" style="138" customWidth="1"/>
    <col min="6662" max="6901" width="8.77734375" style="138"/>
    <col min="6902" max="6902" width="6" style="138" customWidth="1"/>
    <col min="6903" max="6903" width="1.44140625" style="138" customWidth="1"/>
    <col min="6904" max="6904" width="39.109375" style="138" customWidth="1"/>
    <col min="6905" max="6905" width="12" style="138" customWidth="1"/>
    <col min="6906" max="6906" width="14.44140625" style="138" customWidth="1"/>
    <col min="6907" max="6907" width="11.88671875" style="138" customWidth="1"/>
    <col min="6908" max="6908" width="14.109375" style="138" customWidth="1"/>
    <col min="6909" max="6909" width="13.88671875" style="138" customWidth="1"/>
    <col min="6910" max="6911" width="12.77734375" style="138" customWidth="1"/>
    <col min="6912" max="6912" width="13.5546875" style="138" customWidth="1"/>
    <col min="6913" max="6913" width="15.33203125" style="138" customWidth="1"/>
    <col min="6914" max="6914" width="12.77734375" style="138" customWidth="1"/>
    <col min="6915" max="6915" width="13.88671875" style="138" customWidth="1"/>
    <col min="6916" max="6916" width="1.88671875" style="138" customWidth="1"/>
    <col min="6917" max="6917" width="13" style="138" customWidth="1"/>
    <col min="6918" max="7157" width="8.77734375" style="138"/>
    <col min="7158" max="7158" width="6" style="138" customWidth="1"/>
    <col min="7159" max="7159" width="1.44140625" style="138" customWidth="1"/>
    <col min="7160" max="7160" width="39.109375" style="138" customWidth="1"/>
    <col min="7161" max="7161" width="12" style="138" customWidth="1"/>
    <col min="7162" max="7162" width="14.44140625" style="138" customWidth="1"/>
    <col min="7163" max="7163" width="11.88671875" style="138" customWidth="1"/>
    <col min="7164" max="7164" width="14.109375" style="138" customWidth="1"/>
    <col min="7165" max="7165" width="13.88671875" style="138" customWidth="1"/>
    <col min="7166" max="7167" width="12.77734375" style="138" customWidth="1"/>
    <col min="7168" max="7168" width="13.5546875" style="138" customWidth="1"/>
    <col min="7169" max="7169" width="15.33203125" style="138" customWidth="1"/>
    <col min="7170" max="7170" width="12.77734375" style="138" customWidth="1"/>
    <col min="7171" max="7171" width="13.88671875" style="138" customWidth="1"/>
    <col min="7172" max="7172" width="1.88671875" style="138" customWidth="1"/>
    <col min="7173" max="7173" width="13" style="138" customWidth="1"/>
    <col min="7174" max="7413" width="8.77734375" style="138"/>
    <col min="7414" max="7414" width="6" style="138" customWidth="1"/>
    <col min="7415" max="7415" width="1.44140625" style="138" customWidth="1"/>
    <col min="7416" max="7416" width="39.109375" style="138" customWidth="1"/>
    <col min="7417" max="7417" width="12" style="138" customWidth="1"/>
    <col min="7418" max="7418" width="14.44140625" style="138" customWidth="1"/>
    <col min="7419" max="7419" width="11.88671875" style="138" customWidth="1"/>
    <col min="7420" max="7420" width="14.109375" style="138" customWidth="1"/>
    <col min="7421" max="7421" width="13.88671875" style="138" customWidth="1"/>
    <col min="7422" max="7423" width="12.77734375" style="138" customWidth="1"/>
    <col min="7424" max="7424" width="13.5546875" style="138" customWidth="1"/>
    <col min="7425" max="7425" width="15.33203125" style="138" customWidth="1"/>
    <col min="7426" max="7426" width="12.77734375" style="138" customWidth="1"/>
    <col min="7427" max="7427" width="13.88671875" style="138" customWidth="1"/>
    <col min="7428" max="7428" width="1.88671875" style="138" customWidth="1"/>
    <col min="7429" max="7429" width="13" style="138" customWidth="1"/>
    <col min="7430" max="7669" width="8.77734375" style="138"/>
    <col min="7670" max="7670" width="6" style="138" customWidth="1"/>
    <col min="7671" max="7671" width="1.44140625" style="138" customWidth="1"/>
    <col min="7672" max="7672" width="39.109375" style="138" customWidth="1"/>
    <col min="7673" max="7673" width="12" style="138" customWidth="1"/>
    <col min="7674" max="7674" width="14.44140625" style="138" customWidth="1"/>
    <col min="7675" max="7675" width="11.88671875" style="138" customWidth="1"/>
    <col min="7676" max="7676" width="14.109375" style="138" customWidth="1"/>
    <col min="7677" max="7677" width="13.88671875" style="138" customWidth="1"/>
    <col min="7678" max="7679" width="12.77734375" style="138" customWidth="1"/>
    <col min="7680" max="7680" width="13.5546875" style="138" customWidth="1"/>
    <col min="7681" max="7681" width="15.33203125" style="138" customWidth="1"/>
    <col min="7682" max="7682" width="12.77734375" style="138" customWidth="1"/>
    <col min="7683" max="7683" width="13.88671875" style="138" customWidth="1"/>
    <col min="7684" max="7684" width="1.88671875" style="138" customWidth="1"/>
    <col min="7685" max="7685" width="13" style="138" customWidth="1"/>
    <col min="7686" max="7925" width="8.77734375" style="138"/>
    <col min="7926" max="7926" width="6" style="138" customWidth="1"/>
    <col min="7927" max="7927" width="1.44140625" style="138" customWidth="1"/>
    <col min="7928" max="7928" width="39.109375" style="138" customWidth="1"/>
    <col min="7929" max="7929" width="12" style="138" customWidth="1"/>
    <col min="7930" max="7930" width="14.44140625" style="138" customWidth="1"/>
    <col min="7931" max="7931" width="11.88671875" style="138" customWidth="1"/>
    <col min="7932" max="7932" width="14.109375" style="138" customWidth="1"/>
    <col min="7933" max="7933" width="13.88671875" style="138" customWidth="1"/>
    <col min="7934" max="7935" width="12.77734375" style="138" customWidth="1"/>
    <col min="7936" max="7936" width="13.5546875" style="138" customWidth="1"/>
    <col min="7937" max="7937" width="15.33203125" style="138" customWidth="1"/>
    <col min="7938" max="7938" width="12.77734375" style="138" customWidth="1"/>
    <col min="7939" max="7939" width="13.88671875" style="138" customWidth="1"/>
    <col min="7940" max="7940" width="1.88671875" style="138" customWidth="1"/>
    <col min="7941" max="7941" width="13" style="138" customWidth="1"/>
    <col min="7942" max="8181" width="8.77734375" style="138"/>
    <col min="8182" max="8182" width="6" style="138" customWidth="1"/>
    <col min="8183" max="8183" width="1.44140625" style="138" customWidth="1"/>
    <col min="8184" max="8184" width="39.109375" style="138" customWidth="1"/>
    <col min="8185" max="8185" width="12" style="138" customWidth="1"/>
    <col min="8186" max="8186" width="14.44140625" style="138" customWidth="1"/>
    <col min="8187" max="8187" width="11.88671875" style="138" customWidth="1"/>
    <col min="8188" max="8188" width="14.109375" style="138" customWidth="1"/>
    <col min="8189" max="8189" width="13.88671875" style="138" customWidth="1"/>
    <col min="8190" max="8191" width="12.77734375" style="138" customWidth="1"/>
    <col min="8192" max="8192" width="13.5546875" style="138" customWidth="1"/>
    <col min="8193" max="8193" width="15.33203125" style="138" customWidth="1"/>
    <col min="8194" max="8194" width="12.77734375" style="138" customWidth="1"/>
    <col min="8195" max="8195" width="13.88671875" style="138" customWidth="1"/>
    <col min="8196" max="8196" width="1.88671875" style="138" customWidth="1"/>
    <col min="8197" max="8197" width="13" style="138" customWidth="1"/>
    <col min="8198" max="8437" width="8.77734375" style="138"/>
    <col min="8438" max="8438" width="6" style="138" customWidth="1"/>
    <col min="8439" max="8439" width="1.44140625" style="138" customWidth="1"/>
    <col min="8440" max="8440" width="39.109375" style="138" customWidth="1"/>
    <col min="8441" max="8441" width="12" style="138" customWidth="1"/>
    <col min="8442" max="8442" width="14.44140625" style="138" customWidth="1"/>
    <col min="8443" max="8443" width="11.88671875" style="138" customWidth="1"/>
    <col min="8444" max="8444" width="14.109375" style="138" customWidth="1"/>
    <col min="8445" max="8445" width="13.88671875" style="138" customWidth="1"/>
    <col min="8446" max="8447" width="12.77734375" style="138" customWidth="1"/>
    <col min="8448" max="8448" width="13.5546875" style="138" customWidth="1"/>
    <col min="8449" max="8449" width="15.33203125" style="138" customWidth="1"/>
    <col min="8450" max="8450" width="12.77734375" style="138" customWidth="1"/>
    <col min="8451" max="8451" width="13.88671875" style="138" customWidth="1"/>
    <col min="8452" max="8452" width="1.88671875" style="138" customWidth="1"/>
    <col min="8453" max="8453" width="13" style="138" customWidth="1"/>
    <col min="8454" max="8693" width="8.77734375" style="138"/>
    <col min="8694" max="8694" width="6" style="138" customWidth="1"/>
    <col min="8695" max="8695" width="1.44140625" style="138" customWidth="1"/>
    <col min="8696" max="8696" width="39.109375" style="138" customWidth="1"/>
    <col min="8697" max="8697" width="12" style="138" customWidth="1"/>
    <col min="8698" max="8698" width="14.44140625" style="138" customWidth="1"/>
    <col min="8699" max="8699" width="11.88671875" style="138" customWidth="1"/>
    <col min="8700" max="8700" width="14.109375" style="138" customWidth="1"/>
    <col min="8701" max="8701" width="13.88671875" style="138" customWidth="1"/>
    <col min="8702" max="8703" width="12.77734375" style="138" customWidth="1"/>
    <col min="8704" max="8704" width="13.5546875" style="138" customWidth="1"/>
    <col min="8705" max="8705" width="15.33203125" style="138" customWidth="1"/>
    <col min="8706" max="8706" width="12.77734375" style="138" customWidth="1"/>
    <col min="8707" max="8707" width="13.88671875" style="138" customWidth="1"/>
    <col min="8708" max="8708" width="1.88671875" style="138" customWidth="1"/>
    <col min="8709" max="8709" width="13" style="138" customWidth="1"/>
    <col min="8710" max="8949" width="8.77734375" style="138"/>
    <col min="8950" max="8950" width="6" style="138" customWidth="1"/>
    <col min="8951" max="8951" width="1.44140625" style="138" customWidth="1"/>
    <col min="8952" max="8952" width="39.109375" style="138" customWidth="1"/>
    <col min="8953" max="8953" width="12" style="138" customWidth="1"/>
    <col min="8954" max="8954" width="14.44140625" style="138" customWidth="1"/>
    <col min="8955" max="8955" width="11.88671875" style="138" customWidth="1"/>
    <col min="8956" max="8956" width="14.109375" style="138" customWidth="1"/>
    <col min="8957" max="8957" width="13.88671875" style="138" customWidth="1"/>
    <col min="8958" max="8959" width="12.77734375" style="138" customWidth="1"/>
    <col min="8960" max="8960" width="13.5546875" style="138" customWidth="1"/>
    <col min="8961" max="8961" width="15.33203125" style="138" customWidth="1"/>
    <col min="8962" max="8962" width="12.77734375" style="138" customWidth="1"/>
    <col min="8963" max="8963" width="13.88671875" style="138" customWidth="1"/>
    <col min="8964" max="8964" width="1.88671875" style="138" customWidth="1"/>
    <col min="8965" max="8965" width="13" style="138" customWidth="1"/>
    <col min="8966" max="9205" width="8.77734375" style="138"/>
    <col min="9206" max="9206" width="6" style="138" customWidth="1"/>
    <col min="9207" max="9207" width="1.44140625" style="138" customWidth="1"/>
    <col min="9208" max="9208" width="39.109375" style="138" customWidth="1"/>
    <col min="9209" max="9209" width="12" style="138" customWidth="1"/>
    <col min="9210" max="9210" width="14.44140625" style="138" customWidth="1"/>
    <col min="9211" max="9211" width="11.88671875" style="138" customWidth="1"/>
    <col min="9212" max="9212" width="14.109375" style="138" customWidth="1"/>
    <col min="9213" max="9213" width="13.88671875" style="138" customWidth="1"/>
    <col min="9214" max="9215" width="12.77734375" style="138" customWidth="1"/>
    <col min="9216" max="9216" width="13.5546875" style="138" customWidth="1"/>
    <col min="9217" max="9217" width="15.33203125" style="138" customWidth="1"/>
    <col min="9218" max="9218" width="12.77734375" style="138" customWidth="1"/>
    <col min="9219" max="9219" width="13.88671875" style="138" customWidth="1"/>
    <col min="9220" max="9220" width="1.88671875" style="138" customWidth="1"/>
    <col min="9221" max="9221" width="13" style="138" customWidth="1"/>
    <col min="9222" max="9461" width="8.77734375" style="138"/>
    <col min="9462" max="9462" width="6" style="138" customWidth="1"/>
    <col min="9463" max="9463" width="1.44140625" style="138" customWidth="1"/>
    <col min="9464" max="9464" width="39.109375" style="138" customWidth="1"/>
    <col min="9465" max="9465" width="12" style="138" customWidth="1"/>
    <col min="9466" max="9466" width="14.44140625" style="138" customWidth="1"/>
    <col min="9467" max="9467" width="11.88671875" style="138" customWidth="1"/>
    <col min="9468" max="9468" width="14.109375" style="138" customWidth="1"/>
    <col min="9469" max="9469" width="13.88671875" style="138" customWidth="1"/>
    <col min="9470" max="9471" width="12.77734375" style="138" customWidth="1"/>
    <col min="9472" max="9472" width="13.5546875" style="138" customWidth="1"/>
    <col min="9473" max="9473" width="15.33203125" style="138" customWidth="1"/>
    <col min="9474" max="9474" width="12.77734375" style="138" customWidth="1"/>
    <col min="9475" max="9475" width="13.88671875" style="138" customWidth="1"/>
    <col min="9476" max="9476" width="1.88671875" style="138" customWidth="1"/>
    <col min="9477" max="9477" width="13" style="138" customWidth="1"/>
    <col min="9478" max="9717" width="8.77734375" style="138"/>
    <col min="9718" max="9718" width="6" style="138" customWidth="1"/>
    <col min="9719" max="9719" width="1.44140625" style="138" customWidth="1"/>
    <col min="9720" max="9720" width="39.109375" style="138" customWidth="1"/>
    <col min="9721" max="9721" width="12" style="138" customWidth="1"/>
    <col min="9722" max="9722" width="14.44140625" style="138" customWidth="1"/>
    <col min="9723" max="9723" width="11.88671875" style="138" customWidth="1"/>
    <col min="9724" max="9724" width="14.109375" style="138" customWidth="1"/>
    <col min="9725" max="9725" width="13.88671875" style="138" customWidth="1"/>
    <col min="9726" max="9727" width="12.77734375" style="138" customWidth="1"/>
    <col min="9728" max="9728" width="13.5546875" style="138" customWidth="1"/>
    <col min="9729" max="9729" width="15.33203125" style="138" customWidth="1"/>
    <col min="9730" max="9730" width="12.77734375" style="138" customWidth="1"/>
    <col min="9731" max="9731" width="13.88671875" style="138" customWidth="1"/>
    <col min="9732" max="9732" width="1.88671875" style="138" customWidth="1"/>
    <col min="9733" max="9733" width="13" style="138" customWidth="1"/>
    <col min="9734" max="9973" width="8.77734375" style="138"/>
    <col min="9974" max="9974" width="6" style="138" customWidth="1"/>
    <col min="9975" max="9975" width="1.44140625" style="138" customWidth="1"/>
    <col min="9976" max="9976" width="39.109375" style="138" customWidth="1"/>
    <col min="9977" max="9977" width="12" style="138" customWidth="1"/>
    <col min="9978" max="9978" width="14.44140625" style="138" customWidth="1"/>
    <col min="9979" max="9979" width="11.88671875" style="138" customWidth="1"/>
    <col min="9980" max="9980" width="14.109375" style="138" customWidth="1"/>
    <col min="9981" max="9981" width="13.88671875" style="138" customWidth="1"/>
    <col min="9982" max="9983" width="12.77734375" style="138" customWidth="1"/>
    <col min="9984" max="9984" width="13.5546875" style="138" customWidth="1"/>
    <col min="9985" max="9985" width="15.33203125" style="138" customWidth="1"/>
    <col min="9986" max="9986" width="12.77734375" style="138" customWidth="1"/>
    <col min="9987" max="9987" width="13.88671875" style="138" customWidth="1"/>
    <col min="9988" max="9988" width="1.88671875" style="138" customWidth="1"/>
    <col min="9989" max="9989" width="13" style="138" customWidth="1"/>
    <col min="9990" max="10229" width="8.77734375" style="138"/>
    <col min="10230" max="10230" width="6" style="138" customWidth="1"/>
    <col min="10231" max="10231" width="1.44140625" style="138" customWidth="1"/>
    <col min="10232" max="10232" width="39.109375" style="138" customWidth="1"/>
    <col min="10233" max="10233" width="12" style="138" customWidth="1"/>
    <col min="10234" max="10234" width="14.44140625" style="138" customWidth="1"/>
    <col min="10235" max="10235" width="11.88671875" style="138" customWidth="1"/>
    <col min="10236" max="10236" width="14.109375" style="138" customWidth="1"/>
    <col min="10237" max="10237" width="13.88671875" style="138" customWidth="1"/>
    <col min="10238" max="10239" width="12.77734375" style="138" customWidth="1"/>
    <col min="10240" max="10240" width="13.5546875" style="138" customWidth="1"/>
    <col min="10241" max="10241" width="15.33203125" style="138" customWidth="1"/>
    <col min="10242" max="10242" width="12.77734375" style="138" customWidth="1"/>
    <col min="10243" max="10243" width="13.88671875" style="138" customWidth="1"/>
    <col min="10244" max="10244" width="1.88671875" style="138" customWidth="1"/>
    <col min="10245" max="10245" width="13" style="138" customWidth="1"/>
    <col min="10246" max="10485" width="8.77734375" style="138"/>
    <col min="10486" max="10486" width="6" style="138" customWidth="1"/>
    <col min="10487" max="10487" width="1.44140625" style="138" customWidth="1"/>
    <col min="10488" max="10488" width="39.109375" style="138" customWidth="1"/>
    <col min="10489" max="10489" width="12" style="138" customWidth="1"/>
    <col min="10490" max="10490" width="14.44140625" style="138" customWidth="1"/>
    <col min="10491" max="10491" width="11.88671875" style="138" customWidth="1"/>
    <col min="10492" max="10492" width="14.109375" style="138" customWidth="1"/>
    <col min="10493" max="10493" width="13.88671875" style="138" customWidth="1"/>
    <col min="10494" max="10495" width="12.77734375" style="138" customWidth="1"/>
    <col min="10496" max="10496" width="13.5546875" style="138" customWidth="1"/>
    <col min="10497" max="10497" width="15.33203125" style="138" customWidth="1"/>
    <col min="10498" max="10498" width="12.77734375" style="138" customWidth="1"/>
    <col min="10499" max="10499" width="13.88671875" style="138" customWidth="1"/>
    <col min="10500" max="10500" width="1.88671875" style="138" customWidth="1"/>
    <col min="10501" max="10501" width="13" style="138" customWidth="1"/>
    <col min="10502" max="10741" width="8.77734375" style="138"/>
    <col min="10742" max="10742" width="6" style="138" customWidth="1"/>
    <col min="10743" max="10743" width="1.44140625" style="138" customWidth="1"/>
    <col min="10744" max="10744" width="39.109375" style="138" customWidth="1"/>
    <col min="10745" max="10745" width="12" style="138" customWidth="1"/>
    <col min="10746" max="10746" width="14.44140625" style="138" customWidth="1"/>
    <col min="10747" max="10747" width="11.88671875" style="138" customWidth="1"/>
    <col min="10748" max="10748" width="14.109375" style="138" customWidth="1"/>
    <col min="10749" max="10749" width="13.88671875" style="138" customWidth="1"/>
    <col min="10750" max="10751" width="12.77734375" style="138" customWidth="1"/>
    <col min="10752" max="10752" width="13.5546875" style="138" customWidth="1"/>
    <col min="10753" max="10753" width="15.33203125" style="138" customWidth="1"/>
    <col min="10754" max="10754" width="12.77734375" style="138" customWidth="1"/>
    <col min="10755" max="10755" width="13.88671875" style="138" customWidth="1"/>
    <col min="10756" max="10756" width="1.88671875" style="138" customWidth="1"/>
    <col min="10757" max="10757" width="13" style="138" customWidth="1"/>
    <col min="10758" max="10997" width="8.77734375" style="138"/>
    <col min="10998" max="10998" width="6" style="138" customWidth="1"/>
    <col min="10999" max="10999" width="1.44140625" style="138" customWidth="1"/>
    <col min="11000" max="11000" width="39.109375" style="138" customWidth="1"/>
    <col min="11001" max="11001" width="12" style="138" customWidth="1"/>
    <col min="11002" max="11002" width="14.44140625" style="138" customWidth="1"/>
    <col min="11003" max="11003" width="11.88671875" style="138" customWidth="1"/>
    <col min="11004" max="11004" width="14.109375" style="138" customWidth="1"/>
    <col min="11005" max="11005" width="13.88671875" style="138" customWidth="1"/>
    <col min="11006" max="11007" width="12.77734375" style="138" customWidth="1"/>
    <col min="11008" max="11008" width="13.5546875" style="138" customWidth="1"/>
    <col min="11009" max="11009" width="15.33203125" style="138" customWidth="1"/>
    <col min="11010" max="11010" width="12.77734375" style="138" customWidth="1"/>
    <col min="11011" max="11011" width="13.88671875" style="138" customWidth="1"/>
    <col min="11012" max="11012" width="1.88671875" style="138" customWidth="1"/>
    <col min="11013" max="11013" width="13" style="138" customWidth="1"/>
    <col min="11014" max="11253" width="8.77734375" style="138"/>
    <col min="11254" max="11254" width="6" style="138" customWidth="1"/>
    <col min="11255" max="11255" width="1.44140625" style="138" customWidth="1"/>
    <col min="11256" max="11256" width="39.109375" style="138" customWidth="1"/>
    <col min="11257" max="11257" width="12" style="138" customWidth="1"/>
    <col min="11258" max="11258" width="14.44140625" style="138" customWidth="1"/>
    <col min="11259" max="11259" width="11.88671875" style="138" customWidth="1"/>
    <col min="11260" max="11260" width="14.109375" style="138" customWidth="1"/>
    <col min="11261" max="11261" width="13.88671875" style="138" customWidth="1"/>
    <col min="11262" max="11263" width="12.77734375" style="138" customWidth="1"/>
    <col min="11264" max="11264" width="13.5546875" style="138" customWidth="1"/>
    <col min="11265" max="11265" width="15.33203125" style="138" customWidth="1"/>
    <col min="11266" max="11266" width="12.77734375" style="138" customWidth="1"/>
    <col min="11267" max="11267" width="13.88671875" style="138" customWidth="1"/>
    <col min="11268" max="11268" width="1.88671875" style="138" customWidth="1"/>
    <col min="11269" max="11269" width="13" style="138" customWidth="1"/>
    <col min="11270" max="11509" width="8.77734375" style="138"/>
    <col min="11510" max="11510" width="6" style="138" customWidth="1"/>
    <col min="11511" max="11511" width="1.44140625" style="138" customWidth="1"/>
    <col min="11512" max="11512" width="39.109375" style="138" customWidth="1"/>
    <col min="11513" max="11513" width="12" style="138" customWidth="1"/>
    <col min="11514" max="11514" width="14.44140625" style="138" customWidth="1"/>
    <col min="11515" max="11515" width="11.88671875" style="138" customWidth="1"/>
    <col min="11516" max="11516" width="14.109375" style="138" customWidth="1"/>
    <col min="11517" max="11517" width="13.88671875" style="138" customWidth="1"/>
    <col min="11518" max="11519" width="12.77734375" style="138" customWidth="1"/>
    <col min="11520" max="11520" width="13.5546875" style="138" customWidth="1"/>
    <col min="11521" max="11521" width="15.33203125" style="138" customWidth="1"/>
    <col min="11522" max="11522" width="12.77734375" style="138" customWidth="1"/>
    <col min="11523" max="11523" width="13.88671875" style="138" customWidth="1"/>
    <col min="11524" max="11524" width="1.88671875" style="138" customWidth="1"/>
    <col min="11525" max="11525" width="13" style="138" customWidth="1"/>
    <col min="11526" max="11765" width="8.77734375" style="138"/>
    <col min="11766" max="11766" width="6" style="138" customWidth="1"/>
    <col min="11767" max="11767" width="1.44140625" style="138" customWidth="1"/>
    <col min="11768" max="11768" width="39.109375" style="138" customWidth="1"/>
    <col min="11769" max="11769" width="12" style="138" customWidth="1"/>
    <col min="11770" max="11770" width="14.44140625" style="138" customWidth="1"/>
    <col min="11771" max="11771" width="11.88671875" style="138" customWidth="1"/>
    <col min="11772" max="11772" width="14.109375" style="138" customWidth="1"/>
    <col min="11773" max="11773" width="13.88671875" style="138" customWidth="1"/>
    <col min="11774" max="11775" width="12.77734375" style="138" customWidth="1"/>
    <col min="11776" max="11776" width="13.5546875" style="138" customWidth="1"/>
    <col min="11777" max="11777" width="15.33203125" style="138" customWidth="1"/>
    <col min="11778" max="11778" width="12.77734375" style="138" customWidth="1"/>
    <col min="11779" max="11779" width="13.88671875" style="138" customWidth="1"/>
    <col min="11780" max="11780" width="1.88671875" style="138" customWidth="1"/>
    <col min="11781" max="11781" width="13" style="138" customWidth="1"/>
    <col min="11782" max="12021" width="8.77734375" style="138"/>
    <col min="12022" max="12022" width="6" style="138" customWidth="1"/>
    <col min="12023" max="12023" width="1.44140625" style="138" customWidth="1"/>
    <col min="12024" max="12024" width="39.109375" style="138" customWidth="1"/>
    <col min="12025" max="12025" width="12" style="138" customWidth="1"/>
    <col min="12026" max="12026" width="14.44140625" style="138" customWidth="1"/>
    <col min="12027" max="12027" width="11.88671875" style="138" customWidth="1"/>
    <col min="12028" max="12028" width="14.109375" style="138" customWidth="1"/>
    <col min="12029" max="12029" width="13.88671875" style="138" customWidth="1"/>
    <col min="12030" max="12031" width="12.77734375" style="138" customWidth="1"/>
    <col min="12032" max="12032" width="13.5546875" style="138" customWidth="1"/>
    <col min="12033" max="12033" width="15.33203125" style="138" customWidth="1"/>
    <col min="12034" max="12034" width="12.77734375" style="138" customWidth="1"/>
    <col min="12035" max="12035" width="13.88671875" style="138" customWidth="1"/>
    <col min="12036" max="12036" width="1.88671875" style="138" customWidth="1"/>
    <col min="12037" max="12037" width="13" style="138" customWidth="1"/>
    <col min="12038" max="12277" width="8.77734375" style="138"/>
    <col min="12278" max="12278" width="6" style="138" customWidth="1"/>
    <col min="12279" max="12279" width="1.44140625" style="138" customWidth="1"/>
    <col min="12280" max="12280" width="39.109375" style="138" customWidth="1"/>
    <col min="12281" max="12281" width="12" style="138" customWidth="1"/>
    <col min="12282" max="12282" width="14.44140625" style="138" customWidth="1"/>
    <col min="12283" max="12283" width="11.88671875" style="138" customWidth="1"/>
    <col min="12284" max="12284" width="14.109375" style="138" customWidth="1"/>
    <col min="12285" max="12285" width="13.88671875" style="138" customWidth="1"/>
    <col min="12286" max="12287" width="12.77734375" style="138" customWidth="1"/>
    <col min="12288" max="12288" width="13.5546875" style="138" customWidth="1"/>
    <col min="12289" max="12289" width="15.33203125" style="138" customWidth="1"/>
    <col min="12290" max="12290" width="12.77734375" style="138" customWidth="1"/>
    <col min="12291" max="12291" width="13.88671875" style="138" customWidth="1"/>
    <col min="12292" max="12292" width="1.88671875" style="138" customWidth="1"/>
    <col min="12293" max="12293" width="13" style="138" customWidth="1"/>
    <col min="12294" max="12533" width="8.77734375" style="138"/>
    <col min="12534" max="12534" width="6" style="138" customWidth="1"/>
    <col min="12535" max="12535" width="1.44140625" style="138" customWidth="1"/>
    <col min="12536" max="12536" width="39.109375" style="138" customWidth="1"/>
    <col min="12537" max="12537" width="12" style="138" customWidth="1"/>
    <col min="12538" max="12538" width="14.44140625" style="138" customWidth="1"/>
    <col min="12539" max="12539" width="11.88671875" style="138" customWidth="1"/>
    <col min="12540" max="12540" width="14.109375" style="138" customWidth="1"/>
    <col min="12541" max="12541" width="13.88671875" style="138" customWidth="1"/>
    <col min="12542" max="12543" width="12.77734375" style="138" customWidth="1"/>
    <col min="12544" max="12544" width="13.5546875" style="138" customWidth="1"/>
    <col min="12545" max="12545" width="15.33203125" style="138" customWidth="1"/>
    <col min="12546" max="12546" width="12.77734375" style="138" customWidth="1"/>
    <col min="12547" max="12547" width="13.88671875" style="138" customWidth="1"/>
    <col min="12548" max="12548" width="1.88671875" style="138" customWidth="1"/>
    <col min="12549" max="12549" width="13" style="138" customWidth="1"/>
    <col min="12550" max="12789" width="8.77734375" style="138"/>
    <col min="12790" max="12790" width="6" style="138" customWidth="1"/>
    <col min="12791" max="12791" width="1.44140625" style="138" customWidth="1"/>
    <col min="12792" max="12792" width="39.109375" style="138" customWidth="1"/>
    <col min="12793" max="12793" width="12" style="138" customWidth="1"/>
    <col min="12794" max="12794" width="14.44140625" style="138" customWidth="1"/>
    <col min="12795" max="12795" width="11.88671875" style="138" customWidth="1"/>
    <col min="12796" max="12796" width="14.109375" style="138" customWidth="1"/>
    <col min="12797" max="12797" width="13.88671875" style="138" customWidth="1"/>
    <col min="12798" max="12799" width="12.77734375" style="138" customWidth="1"/>
    <col min="12800" max="12800" width="13.5546875" style="138" customWidth="1"/>
    <col min="12801" max="12801" width="15.33203125" style="138" customWidth="1"/>
    <col min="12802" max="12802" width="12.77734375" style="138" customWidth="1"/>
    <col min="12803" max="12803" width="13.88671875" style="138" customWidth="1"/>
    <col min="12804" max="12804" width="1.88671875" style="138" customWidth="1"/>
    <col min="12805" max="12805" width="13" style="138" customWidth="1"/>
    <col min="12806" max="13045" width="8.77734375" style="138"/>
    <col min="13046" max="13046" width="6" style="138" customWidth="1"/>
    <col min="13047" max="13047" width="1.44140625" style="138" customWidth="1"/>
    <col min="13048" max="13048" width="39.109375" style="138" customWidth="1"/>
    <col min="13049" max="13049" width="12" style="138" customWidth="1"/>
    <col min="13050" max="13050" width="14.44140625" style="138" customWidth="1"/>
    <col min="13051" max="13051" width="11.88671875" style="138" customWidth="1"/>
    <col min="13052" max="13052" width="14.109375" style="138" customWidth="1"/>
    <col min="13053" max="13053" width="13.88671875" style="138" customWidth="1"/>
    <col min="13054" max="13055" width="12.77734375" style="138" customWidth="1"/>
    <col min="13056" max="13056" width="13.5546875" style="138" customWidth="1"/>
    <col min="13057" max="13057" width="15.33203125" style="138" customWidth="1"/>
    <col min="13058" max="13058" width="12.77734375" style="138" customWidth="1"/>
    <col min="13059" max="13059" width="13.88671875" style="138" customWidth="1"/>
    <col min="13060" max="13060" width="1.88671875" style="138" customWidth="1"/>
    <col min="13061" max="13061" width="13" style="138" customWidth="1"/>
    <col min="13062" max="13301" width="8.77734375" style="138"/>
    <col min="13302" max="13302" width="6" style="138" customWidth="1"/>
    <col min="13303" max="13303" width="1.44140625" style="138" customWidth="1"/>
    <col min="13304" max="13304" width="39.109375" style="138" customWidth="1"/>
    <col min="13305" max="13305" width="12" style="138" customWidth="1"/>
    <col min="13306" max="13306" width="14.44140625" style="138" customWidth="1"/>
    <col min="13307" max="13307" width="11.88671875" style="138" customWidth="1"/>
    <col min="13308" max="13308" width="14.109375" style="138" customWidth="1"/>
    <col min="13309" max="13309" width="13.88671875" style="138" customWidth="1"/>
    <col min="13310" max="13311" width="12.77734375" style="138" customWidth="1"/>
    <col min="13312" max="13312" width="13.5546875" style="138" customWidth="1"/>
    <col min="13313" max="13313" width="15.33203125" style="138" customWidth="1"/>
    <col min="13314" max="13314" width="12.77734375" style="138" customWidth="1"/>
    <col min="13315" max="13315" width="13.88671875" style="138" customWidth="1"/>
    <col min="13316" max="13316" width="1.88671875" style="138" customWidth="1"/>
    <col min="13317" max="13317" width="13" style="138" customWidth="1"/>
    <col min="13318" max="13557" width="8.77734375" style="138"/>
    <col min="13558" max="13558" width="6" style="138" customWidth="1"/>
    <col min="13559" max="13559" width="1.44140625" style="138" customWidth="1"/>
    <col min="13560" max="13560" width="39.109375" style="138" customWidth="1"/>
    <col min="13561" max="13561" width="12" style="138" customWidth="1"/>
    <col min="13562" max="13562" width="14.44140625" style="138" customWidth="1"/>
    <col min="13563" max="13563" width="11.88671875" style="138" customWidth="1"/>
    <col min="13564" max="13564" width="14.109375" style="138" customWidth="1"/>
    <col min="13565" max="13565" width="13.88671875" style="138" customWidth="1"/>
    <col min="13566" max="13567" width="12.77734375" style="138" customWidth="1"/>
    <col min="13568" max="13568" width="13.5546875" style="138" customWidth="1"/>
    <col min="13569" max="13569" width="15.33203125" style="138" customWidth="1"/>
    <col min="13570" max="13570" width="12.77734375" style="138" customWidth="1"/>
    <col min="13571" max="13571" width="13.88671875" style="138" customWidth="1"/>
    <col min="13572" max="13572" width="1.88671875" style="138" customWidth="1"/>
    <col min="13573" max="13573" width="13" style="138" customWidth="1"/>
    <col min="13574" max="13813" width="8.77734375" style="138"/>
    <col min="13814" max="13814" width="6" style="138" customWidth="1"/>
    <col min="13815" max="13815" width="1.44140625" style="138" customWidth="1"/>
    <col min="13816" max="13816" width="39.109375" style="138" customWidth="1"/>
    <col min="13817" max="13817" width="12" style="138" customWidth="1"/>
    <col min="13818" max="13818" width="14.44140625" style="138" customWidth="1"/>
    <col min="13819" max="13819" width="11.88671875" style="138" customWidth="1"/>
    <col min="13820" max="13820" width="14.109375" style="138" customWidth="1"/>
    <col min="13821" max="13821" width="13.88671875" style="138" customWidth="1"/>
    <col min="13822" max="13823" width="12.77734375" style="138" customWidth="1"/>
    <col min="13824" max="13824" width="13.5546875" style="138" customWidth="1"/>
    <col min="13825" max="13825" width="15.33203125" style="138" customWidth="1"/>
    <col min="13826" max="13826" width="12.77734375" style="138" customWidth="1"/>
    <col min="13827" max="13827" width="13.88671875" style="138" customWidth="1"/>
    <col min="13828" max="13828" width="1.88671875" style="138" customWidth="1"/>
    <col min="13829" max="13829" width="13" style="138" customWidth="1"/>
    <col min="13830" max="14069" width="8.77734375" style="138"/>
    <col min="14070" max="14070" width="6" style="138" customWidth="1"/>
    <col min="14071" max="14071" width="1.44140625" style="138" customWidth="1"/>
    <col min="14072" max="14072" width="39.109375" style="138" customWidth="1"/>
    <col min="14073" max="14073" width="12" style="138" customWidth="1"/>
    <col min="14074" max="14074" width="14.44140625" style="138" customWidth="1"/>
    <col min="14075" max="14075" width="11.88671875" style="138" customWidth="1"/>
    <col min="14076" max="14076" width="14.109375" style="138" customWidth="1"/>
    <col min="14077" max="14077" width="13.88671875" style="138" customWidth="1"/>
    <col min="14078" max="14079" width="12.77734375" style="138" customWidth="1"/>
    <col min="14080" max="14080" width="13.5546875" style="138" customWidth="1"/>
    <col min="14081" max="14081" width="15.33203125" style="138" customWidth="1"/>
    <col min="14082" max="14082" width="12.77734375" style="138" customWidth="1"/>
    <col min="14083" max="14083" width="13.88671875" style="138" customWidth="1"/>
    <col min="14084" max="14084" width="1.88671875" style="138" customWidth="1"/>
    <col min="14085" max="14085" width="13" style="138" customWidth="1"/>
    <col min="14086" max="14325" width="8.77734375" style="138"/>
    <col min="14326" max="14326" width="6" style="138" customWidth="1"/>
    <col min="14327" max="14327" width="1.44140625" style="138" customWidth="1"/>
    <col min="14328" max="14328" width="39.109375" style="138" customWidth="1"/>
    <col min="14329" max="14329" width="12" style="138" customWidth="1"/>
    <col min="14330" max="14330" width="14.44140625" style="138" customWidth="1"/>
    <col min="14331" max="14331" width="11.88671875" style="138" customWidth="1"/>
    <col min="14332" max="14332" width="14.109375" style="138" customWidth="1"/>
    <col min="14333" max="14333" width="13.88671875" style="138" customWidth="1"/>
    <col min="14334" max="14335" width="12.77734375" style="138" customWidth="1"/>
    <col min="14336" max="14336" width="13.5546875" style="138" customWidth="1"/>
    <col min="14337" max="14337" width="15.33203125" style="138" customWidth="1"/>
    <col min="14338" max="14338" width="12.77734375" style="138" customWidth="1"/>
    <col min="14339" max="14339" width="13.88671875" style="138" customWidth="1"/>
    <col min="14340" max="14340" width="1.88671875" style="138" customWidth="1"/>
    <col min="14341" max="14341" width="13" style="138" customWidth="1"/>
    <col min="14342" max="14581" width="8.77734375" style="138"/>
    <col min="14582" max="14582" width="6" style="138" customWidth="1"/>
    <col min="14583" max="14583" width="1.44140625" style="138" customWidth="1"/>
    <col min="14584" max="14584" width="39.109375" style="138" customWidth="1"/>
    <col min="14585" max="14585" width="12" style="138" customWidth="1"/>
    <col min="14586" max="14586" width="14.44140625" style="138" customWidth="1"/>
    <col min="14587" max="14587" width="11.88671875" style="138" customWidth="1"/>
    <col min="14588" max="14588" width="14.109375" style="138" customWidth="1"/>
    <col min="14589" max="14589" width="13.88671875" style="138" customWidth="1"/>
    <col min="14590" max="14591" width="12.77734375" style="138" customWidth="1"/>
    <col min="14592" max="14592" width="13.5546875" style="138" customWidth="1"/>
    <col min="14593" max="14593" width="15.33203125" style="138" customWidth="1"/>
    <col min="14594" max="14594" width="12.77734375" style="138" customWidth="1"/>
    <col min="14595" max="14595" width="13.88671875" style="138" customWidth="1"/>
    <col min="14596" max="14596" width="1.88671875" style="138" customWidth="1"/>
    <col min="14597" max="14597" width="13" style="138" customWidth="1"/>
    <col min="14598" max="14837" width="8.77734375" style="138"/>
    <col min="14838" max="14838" width="6" style="138" customWidth="1"/>
    <col min="14839" max="14839" width="1.44140625" style="138" customWidth="1"/>
    <col min="14840" max="14840" width="39.109375" style="138" customWidth="1"/>
    <col min="14841" max="14841" width="12" style="138" customWidth="1"/>
    <col min="14842" max="14842" width="14.44140625" style="138" customWidth="1"/>
    <col min="14843" max="14843" width="11.88671875" style="138" customWidth="1"/>
    <col min="14844" max="14844" width="14.109375" style="138" customWidth="1"/>
    <col min="14845" max="14845" width="13.88671875" style="138" customWidth="1"/>
    <col min="14846" max="14847" width="12.77734375" style="138" customWidth="1"/>
    <col min="14848" max="14848" width="13.5546875" style="138" customWidth="1"/>
    <col min="14849" max="14849" width="15.33203125" style="138" customWidth="1"/>
    <col min="14850" max="14850" width="12.77734375" style="138" customWidth="1"/>
    <col min="14851" max="14851" width="13.88671875" style="138" customWidth="1"/>
    <col min="14852" max="14852" width="1.88671875" style="138" customWidth="1"/>
    <col min="14853" max="14853" width="13" style="138" customWidth="1"/>
    <col min="14854" max="15093" width="8.77734375" style="138"/>
    <col min="15094" max="15094" width="6" style="138" customWidth="1"/>
    <col min="15095" max="15095" width="1.44140625" style="138" customWidth="1"/>
    <col min="15096" max="15096" width="39.109375" style="138" customWidth="1"/>
    <col min="15097" max="15097" width="12" style="138" customWidth="1"/>
    <col min="15098" max="15098" width="14.44140625" style="138" customWidth="1"/>
    <col min="15099" max="15099" width="11.88671875" style="138" customWidth="1"/>
    <col min="15100" max="15100" width="14.109375" style="138" customWidth="1"/>
    <col min="15101" max="15101" width="13.88671875" style="138" customWidth="1"/>
    <col min="15102" max="15103" width="12.77734375" style="138" customWidth="1"/>
    <col min="15104" max="15104" width="13.5546875" style="138" customWidth="1"/>
    <col min="15105" max="15105" width="15.33203125" style="138" customWidth="1"/>
    <col min="15106" max="15106" width="12.77734375" style="138" customWidth="1"/>
    <col min="15107" max="15107" width="13.88671875" style="138" customWidth="1"/>
    <col min="15108" max="15108" width="1.88671875" style="138" customWidth="1"/>
    <col min="15109" max="15109" width="13" style="138" customWidth="1"/>
    <col min="15110" max="15349" width="8.77734375" style="138"/>
    <col min="15350" max="15350" width="6" style="138" customWidth="1"/>
    <col min="15351" max="15351" width="1.44140625" style="138" customWidth="1"/>
    <col min="15352" max="15352" width="39.109375" style="138" customWidth="1"/>
    <col min="15353" max="15353" width="12" style="138" customWidth="1"/>
    <col min="15354" max="15354" width="14.44140625" style="138" customWidth="1"/>
    <col min="15355" max="15355" width="11.88671875" style="138" customWidth="1"/>
    <col min="15356" max="15356" width="14.109375" style="138" customWidth="1"/>
    <col min="15357" max="15357" width="13.88671875" style="138" customWidth="1"/>
    <col min="15358" max="15359" width="12.77734375" style="138" customWidth="1"/>
    <col min="15360" max="15360" width="13.5546875" style="138" customWidth="1"/>
    <col min="15361" max="15361" width="15.33203125" style="138" customWidth="1"/>
    <col min="15362" max="15362" width="12.77734375" style="138" customWidth="1"/>
    <col min="15363" max="15363" width="13.88671875" style="138" customWidth="1"/>
    <col min="15364" max="15364" width="1.88671875" style="138" customWidth="1"/>
    <col min="15365" max="15365" width="13" style="138" customWidth="1"/>
    <col min="15366" max="15605" width="8.77734375" style="138"/>
    <col min="15606" max="15606" width="6" style="138" customWidth="1"/>
    <col min="15607" max="15607" width="1.44140625" style="138" customWidth="1"/>
    <col min="15608" max="15608" width="39.109375" style="138" customWidth="1"/>
    <col min="15609" max="15609" width="12" style="138" customWidth="1"/>
    <col min="15610" max="15610" width="14.44140625" style="138" customWidth="1"/>
    <col min="15611" max="15611" width="11.88671875" style="138" customWidth="1"/>
    <col min="15612" max="15612" width="14.109375" style="138" customWidth="1"/>
    <col min="15613" max="15613" width="13.88671875" style="138" customWidth="1"/>
    <col min="15614" max="15615" width="12.77734375" style="138" customWidth="1"/>
    <col min="15616" max="15616" width="13.5546875" style="138" customWidth="1"/>
    <col min="15617" max="15617" width="15.33203125" style="138" customWidth="1"/>
    <col min="15618" max="15618" width="12.77734375" style="138" customWidth="1"/>
    <col min="15619" max="15619" width="13.88671875" style="138" customWidth="1"/>
    <col min="15620" max="15620" width="1.88671875" style="138" customWidth="1"/>
    <col min="15621" max="15621" width="13" style="138" customWidth="1"/>
    <col min="15622" max="15861" width="8.77734375" style="138"/>
    <col min="15862" max="15862" width="6" style="138" customWidth="1"/>
    <col min="15863" max="15863" width="1.44140625" style="138" customWidth="1"/>
    <col min="15864" max="15864" width="39.109375" style="138" customWidth="1"/>
    <col min="15865" max="15865" width="12" style="138" customWidth="1"/>
    <col min="15866" max="15866" width="14.44140625" style="138" customWidth="1"/>
    <col min="15867" max="15867" width="11.88671875" style="138" customWidth="1"/>
    <col min="15868" max="15868" width="14.109375" style="138" customWidth="1"/>
    <col min="15869" max="15869" width="13.88671875" style="138" customWidth="1"/>
    <col min="15870" max="15871" width="12.77734375" style="138" customWidth="1"/>
    <col min="15872" max="15872" width="13.5546875" style="138" customWidth="1"/>
    <col min="15873" max="15873" width="15.33203125" style="138" customWidth="1"/>
    <col min="15874" max="15874" width="12.77734375" style="138" customWidth="1"/>
    <col min="15875" max="15875" width="13.88671875" style="138" customWidth="1"/>
    <col min="15876" max="15876" width="1.88671875" style="138" customWidth="1"/>
    <col min="15877" max="15877" width="13" style="138" customWidth="1"/>
    <col min="15878" max="16117" width="8.77734375" style="138"/>
    <col min="16118" max="16118" width="6" style="138" customWidth="1"/>
    <col min="16119" max="16119" width="1.44140625" style="138" customWidth="1"/>
    <col min="16120" max="16120" width="39.109375" style="138" customWidth="1"/>
    <col min="16121" max="16121" width="12" style="138" customWidth="1"/>
    <col min="16122" max="16122" width="14.44140625" style="138" customWidth="1"/>
    <col min="16123" max="16123" width="11.88671875" style="138" customWidth="1"/>
    <col min="16124" max="16124" width="14.109375" style="138" customWidth="1"/>
    <col min="16125" max="16125" width="13.88671875" style="138" customWidth="1"/>
    <col min="16126" max="16127" width="12.77734375" style="138" customWidth="1"/>
    <col min="16128" max="16128" width="13.5546875" style="138" customWidth="1"/>
    <col min="16129" max="16129" width="15.33203125" style="138" customWidth="1"/>
    <col min="16130" max="16130" width="12.77734375" style="138" customWidth="1"/>
    <col min="16131" max="16131" width="13.88671875" style="138" customWidth="1"/>
    <col min="16132" max="16132" width="1.88671875" style="138" customWidth="1"/>
    <col min="16133" max="16133" width="13" style="138" customWidth="1"/>
    <col min="16134" max="16373" width="8.77734375" style="138"/>
    <col min="16374" max="16384" width="8.77734375" style="138" customWidth="1"/>
  </cols>
  <sheetData>
    <row r="1" spans="1:54">
      <c r="I1" s="77" t="s">
        <v>369</v>
      </c>
    </row>
    <row r="2" spans="1:54">
      <c r="I2" s="77" t="s">
        <v>366</v>
      </c>
    </row>
    <row r="3" spans="1:54">
      <c r="I3" s="424" t="s">
        <v>231</v>
      </c>
    </row>
    <row r="4" spans="1:54">
      <c r="I4" s="139" t="str">
        <f>'DE Ohio &amp; Kentucky'!J7</f>
        <v>For the 12 months ended: 12/31/2015</v>
      </c>
    </row>
    <row r="5" spans="1:54">
      <c r="C5" s="113"/>
    </row>
    <row r="6" spans="1:54">
      <c r="A6" s="221" t="s">
        <v>309</v>
      </c>
      <c r="B6" s="283"/>
      <c r="C6" s="283"/>
      <c r="D6" s="221"/>
      <c r="E6" s="221"/>
      <c r="F6" s="221"/>
      <c r="G6" s="283"/>
      <c r="H6" s="221"/>
      <c r="I6" s="221"/>
      <c r="K6" s="142"/>
      <c r="L6" s="142"/>
      <c r="M6" s="142"/>
      <c r="N6" s="142"/>
      <c r="O6" s="142"/>
      <c r="P6" s="142"/>
      <c r="Q6" s="142"/>
      <c r="R6" s="142"/>
      <c r="S6" s="142"/>
      <c r="T6" s="142"/>
      <c r="U6" s="142"/>
      <c r="V6" s="142"/>
      <c r="W6" s="142"/>
      <c r="X6" s="142"/>
      <c r="Y6" s="142"/>
      <c r="Z6" s="142"/>
      <c r="AA6" s="142"/>
      <c r="AB6" s="142"/>
      <c r="AC6" s="142"/>
      <c r="AD6" s="142"/>
      <c r="AE6" s="142"/>
      <c r="AF6" s="142"/>
      <c r="AG6" s="142"/>
      <c r="AH6" s="142"/>
      <c r="AI6" s="142"/>
      <c r="AJ6" s="142"/>
      <c r="AK6" s="142"/>
      <c r="AL6" s="142"/>
      <c r="AM6" s="142"/>
      <c r="AN6" s="142"/>
      <c r="AO6" s="142"/>
      <c r="AP6" s="142"/>
      <c r="AQ6" s="142"/>
      <c r="AR6" s="142"/>
      <c r="AS6" s="142"/>
      <c r="AT6" s="142"/>
      <c r="AU6" s="142"/>
      <c r="AV6" s="142"/>
      <c r="AW6" s="142"/>
      <c r="AX6" s="142"/>
      <c r="AY6" s="142"/>
      <c r="AZ6" s="142"/>
      <c r="BA6" s="142"/>
      <c r="BB6" s="142"/>
    </row>
    <row r="7" spans="1:54">
      <c r="A7" s="222" t="s">
        <v>370</v>
      </c>
      <c r="B7" s="283"/>
      <c r="C7" s="283"/>
      <c r="D7" s="223"/>
      <c r="E7" s="223"/>
      <c r="F7" s="223"/>
      <c r="G7" s="283"/>
      <c r="H7" s="223"/>
      <c r="I7" s="223"/>
      <c r="K7" s="142"/>
      <c r="L7" s="142"/>
      <c r="M7" s="142"/>
      <c r="N7" s="142"/>
      <c r="O7" s="142"/>
      <c r="P7" s="142"/>
      <c r="Q7" s="142"/>
      <c r="R7" s="142"/>
      <c r="S7" s="142"/>
      <c r="T7" s="142"/>
      <c r="U7" s="142"/>
      <c r="V7" s="142"/>
      <c r="W7" s="142"/>
      <c r="X7" s="142"/>
      <c r="Y7" s="142"/>
      <c r="Z7" s="142"/>
      <c r="AA7" s="142"/>
      <c r="AB7" s="142"/>
      <c r="AC7" s="142"/>
      <c r="AD7" s="142"/>
      <c r="AE7" s="142"/>
      <c r="AF7" s="142"/>
      <c r="AG7" s="142"/>
      <c r="AH7" s="142"/>
      <c r="AI7" s="142"/>
      <c r="AJ7" s="142"/>
      <c r="AK7" s="142"/>
      <c r="AL7" s="142"/>
      <c r="AM7" s="142"/>
      <c r="AN7" s="142"/>
      <c r="AO7" s="142"/>
      <c r="AP7" s="142"/>
      <c r="AQ7" s="142"/>
      <c r="AR7" s="142"/>
      <c r="AS7" s="142"/>
      <c r="AT7" s="142"/>
      <c r="AU7" s="142"/>
      <c r="AV7" s="142"/>
      <c r="AW7" s="142"/>
      <c r="AX7" s="142"/>
      <c r="AY7" s="142"/>
      <c r="AZ7" s="142"/>
      <c r="BA7" s="142"/>
      <c r="BB7" s="142"/>
    </row>
    <row r="8" spans="1:54">
      <c r="A8" s="223"/>
      <c r="B8" s="283"/>
      <c r="C8" s="283"/>
      <c r="D8" s="223"/>
      <c r="E8" s="223"/>
      <c r="F8" s="223"/>
      <c r="G8" s="283"/>
      <c r="H8" s="223"/>
      <c r="I8" s="223"/>
      <c r="K8" s="142"/>
      <c r="L8" s="142"/>
      <c r="M8" s="142"/>
      <c r="N8" s="142"/>
      <c r="O8" s="142"/>
      <c r="P8" s="142"/>
      <c r="Q8" s="142"/>
      <c r="R8" s="142"/>
      <c r="S8" s="142"/>
      <c r="T8" s="142"/>
      <c r="U8" s="142"/>
      <c r="V8" s="142"/>
      <c r="W8" s="142"/>
      <c r="X8" s="142"/>
      <c r="Y8" s="142"/>
      <c r="Z8" s="142"/>
      <c r="AA8" s="142"/>
      <c r="AB8" s="142"/>
      <c r="AC8" s="142"/>
      <c r="AD8" s="142"/>
      <c r="AE8" s="142"/>
      <c r="AF8" s="142"/>
      <c r="AG8" s="142"/>
      <c r="AH8" s="142"/>
      <c r="AI8" s="142"/>
      <c r="AJ8" s="142"/>
      <c r="AK8" s="142"/>
      <c r="AL8" s="142"/>
      <c r="AM8" s="142"/>
      <c r="AN8" s="142"/>
      <c r="AO8" s="142"/>
      <c r="AP8" s="142"/>
      <c r="AQ8" s="142"/>
      <c r="AR8" s="142"/>
      <c r="AS8" s="142"/>
      <c r="AT8" s="142"/>
      <c r="AU8" s="142"/>
      <c r="AV8" s="142"/>
      <c r="AW8" s="142"/>
      <c r="AX8" s="142"/>
      <c r="AY8" s="142"/>
      <c r="AZ8" s="142"/>
      <c r="BA8" s="142"/>
      <c r="BB8" s="142"/>
    </row>
    <row r="9" spans="1:54">
      <c r="A9" s="285" t="s">
        <v>211</v>
      </c>
      <c r="B9" s="283"/>
      <c r="C9" s="283"/>
      <c r="D9" s="223"/>
      <c r="E9" s="223"/>
      <c r="F9" s="223"/>
      <c r="G9" s="283"/>
      <c r="H9" s="286"/>
      <c r="I9" s="223"/>
      <c r="K9" s="142"/>
      <c r="L9" s="142"/>
      <c r="M9" s="142"/>
      <c r="N9" s="142"/>
      <c r="O9" s="142"/>
      <c r="P9" s="142"/>
      <c r="Q9" s="142"/>
      <c r="R9" s="142"/>
      <c r="S9" s="142"/>
      <c r="T9" s="142"/>
      <c r="U9" s="142"/>
      <c r="V9" s="142"/>
      <c r="W9" s="142"/>
      <c r="X9" s="142"/>
      <c r="Y9" s="142"/>
      <c r="Z9" s="142"/>
      <c r="AA9" s="142"/>
      <c r="AB9" s="142"/>
      <c r="AC9" s="142"/>
      <c r="AD9" s="142"/>
      <c r="AE9" s="142"/>
      <c r="AF9" s="142"/>
      <c r="AG9" s="142"/>
      <c r="AH9" s="142"/>
      <c r="AI9" s="142"/>
      <c r="AJ9" s="142"/>
      <c r="AK9" s="142"/>
      <c r="AL9" s="142"/>
      <c r="AM9" s="142"/>
      <c r="AN9" s="142"/>
      <c r="AO9" s="142"/>
      <c r="AP9" s="142"/>
      <c r="AQ9" s="142"/>
      <c r="AR9" s="142"/>
      <c r="AS9" s="142"/>
      <c r="AT9" s="142"/>
      <c r="AU9" s="142"/>
      <c r="AV9" s="142"/>
      <c r="AW9" s="142"/>
      <c r="AX9" s="142"/>
      <c r="AY9" s="142"/>
      <c r="AZ9" s="142"/>
      <c r="BA9" s="142"/>
      <c r="BB9" s="142"/>
    </row>
    <row r="10" spans="1:54">
      <c r="A10" s="285" t="s">
        <v>368</v>
      </c>
      <c r="B10" s="283"/>
      <c r="C10" s="283"/>
      <c r="D10" s="223"/>
      <c r="E10" s="223"/>
      <c r="F10" s="223"/>
      <c r="G10" s="283"/>
      <c r="H10" s="286"/>
      <c r="I10" s="223"/>
      <c r="K10" s="142"/>
      <c r="L10" s="142"/>
      <c r="M10" s="142"/>
      <c r="N10" s="142"/>
      <c r="O10" s="142"/>
      <c r="P10" s="142"/>
      <c r="Q10" s="142"/>
      <c r="R10" s="142"/>
      <c r="S10" s="142"/>
      <c r="T10" s="142"/>
      <c r="U10" s="142"/>
      <c r="V10" s="142"/>
      <c r="W10" s="142"/>
      <c r="X10" s="142"/>
      <c r="Y10" s="142"/>
      <c r="Z10" s="142"/>
      <c r="AA10" s="142"/>
      <c r="AB10" s="142"/>
      <c r="AC10" s="142"/>
      <c r="AD10" s="142"/>
      <c r="AE10" s="142"/>
      <c r="AF10" s="142"/>
      <c r="AG10" s="142"/>
      <c r="AH10" s="142"/>
      <c r="AI10" s="142"/>
      <c r="AJ10" s="142"/>
      <c r="AK10" s="142"/>
      <c r="AL10" s="142"/>
      <c r="AM10" s="142"/>
      <c r="AN10" s="142"/>
      <c r="AO10" s="142"/>
      <c r="AP10" s="142"/>
      <c r="AQ10" s="142"/>
      <c r="AR10" s="142"/>
      <c r="AS10" s="142"/>
      <c r="AT10" s="142"/>
      <c r="AU10" s="142"/>
      <c r="AV10" s="142"/>
      <c r="AW10" s="142"/>
      <c r="AX10" s="142"/>
      <c r="AY10" s="142"/>
      <c r="AZ10" s="142"/>
      <c r="BA10" s="142"/>
      <c r="BB10" s="142"/>
    </row>
    <row r="11" spans="1:54">
      <c r="A11" s="423"/>
      <c r="B11" s="283"/>
      <c r="C11" s="223"/>
      <c r="D11" s="223"/>
      <c r="E11" s="223"/>
      <c r="F11" s="223"/>
      <c r="G11" s="286"/>
      <c r="H11" s="223"/>
      <c r="I11" s="223"/>
      <c r="K11" s="142"/>
      <c r="L11" s="142"/>
      <c r="M11" s="142"/>
      <c r="N11" s="142"/>
      <c r="O11" s="142"/>
      <c r="P11" s="142"/>
      <c r="Q11" s="142"/>
      <c r="R11" s="142"/>
      <c r="S11" s="142"/>
      <c r="T11" s="142"/>
      <c r="U11" s="142"/>
      <c r="V11" s="142"/>
      <c r="W11" s="142"/>
      <c r="X11" s="142"/>
      <c r="Y11" s="142"/>
      <c r="Z11" s="142"/>
      <c r="AA11" s="142"/>
      <c r="AB11" s="142"/>
      <c r="AC11" s="142"/>
      <c r="AD11" s="142"/>
      <c r="AE11" s="142"/>
      <c r="AF11" s="142"/>
      <c r="AG11" s="142"/>
      <c r="AH11" s="142"/>
      <c r="AI11" s="142"/>
      <c r="AJ11" s="142"/>
      <c r="AK11" s="142"/>
      <c r="AL11" s="142"/>
      <c r="AM11" s="142"/>
      <c r="AN11" s="142"/>
      <c r="AO11" s="142"/>
      <c r="AP11" s="142"/>
      <c r="AQ11" s="142"/>
      <c r="AR11" s="142"/>
      <c r="AS11" s="142"/>
      <c r="AT11" s="142"/>
      <c r="AU11" s="142"/>
      <c r="AV11" s="142"/>
      <c r="AW11" s="142"/>
      <c r="AX11" s="142"/>
      <c r="AY11" s="142"/>
      <c r="AZ11" s="142"/>
      <c r="BA11" s="142"/>
      <c r="BB11" s="142"/>
    </row>
    <row r="12" spans="1:54">
      <c r="A12" s="223" t="s">
        <v>709</v>
      </c>
      <c r="B12" s="283"/>
      <c r="C12" s="283"/>
      <c r="D12" s="223"/>
      <c r="E12" s="223"/>
      <c r="F12" s="223"/>
      <c r="G12" s="286"/>
      <c r="H12" s="223"/>
      <c r="I12" s="223"/>
      <c r="K12" s="142"/>
      <c r="L12" s="142"/>
      <c r="M12" s="142"/>
      <c r="N12" s="142"/>
      <c r="O12" s="142"/>
      <c r="P12" s="142"/>
      <c r="Q12" s="142"/>
      <c r="R12" s="142"/>
      <c r="S12" s="142"/>
      <c r="T12" s="142"/>
      <c r="U12" s="142"/>
      <c r="V12" s="142"/>
      <c r="W12" s="142"/>
      <c r="X12" s="142"/>
      <c r="Y12" s="142"/>
      <c r="Z12" s="142"/>
      <c r="AA12" s="142"/>
      <c r="AB12" s="142"/>
      <c r="AC12" s="142"/>
      <c r="AD12" s="142"/>
      <c r="AE12" s="142"/>
      <c r="AF12" s="142"/>
      <c r="AG12" s="142"/>
      <c r="AH12" s="142"/>
      <c r="AI12" s="142"/>
      <c r="AJ12" s="142"/>
      <c r="AK12" s="142"/>
      <c r="AL12" s="142"/>
      <c r="AM12" s="142"/>
      <c r="AN12" s="142"/>
      <c r="AO12" s="142"/>
      <c r="AP12" s="142"/>
      <c r="AQ12" s="142"/>
      <c r="AR12" s="142"/>
      <c r="AS12" s="142"/>
      <c r="AT12" s="142"/>
      <c r="AU12" s="142"/>
      <c r="AV12" s="142"/>
      <c r="AW12" s="142"/>
      <c r="AX12" s="142"/>
      <c r="AY12" s="142"/>
      <c r="AZ12" s="142"/>
      <c r="BA12" s="142"/>
      <c r="BB12" s="142"/>
    </row>
    <row r="13" spans="1:54">
      <c r="A13" s="143"/>
      <c r="C13" s="111"/>
      <c r="D13" s="111"/>
      <c r="E13" s="111"/>
      <c r="F13" s="111"/>
      <c r="G13" s="144"/>
      <c r="K13" s="142"/>
      <c r="L13" s="142"/>
      <c r="M13" s="142"/>
      <c r="N13" s="142"/>
      <c r="O13" s="142"/>
      <c r="P13" s="142"/>
      <c r="Q13" s="142"/>
      <c r="R13" s="142"/>
      <c r="S13" s="142"/>
      <c r="T13" s="142"/>
      <c r="U13" s="142"/>
      <c r="V13" s="142"/>
      <c r="W13" s="142"/>
      <c r="X13" s="142"/>
      <c r="Y13" s="142"/>
      <c r="Z13" s="142"/>
      <c r="AA13" s="142"/>
      <c r="AB13" s="142"/>
      <c r="AC13" s="142"/>
      <c r="AD13" s="142"/>
      <c r="AE13" s="142"/>
      <c r="AF13" s="142"/>
      <c r="AG13" s="142"/>
      <c r="AH13" s="142"/>
      <c r="AI13" s="142"/>
      <c r="AJ13" s="142"/>
      <c r="AK13" s="142"/>
      <c r="AL13" s="142"/>
      <c r="AM13" s="142"/>
      <c r="AN13" s="142"/>
      <c r="AO13" s="142"/>
      <c r="AP13" s="142"/>
      <c r="AQ13" s="142"/>
      <c r="AR13" s="142"/>
      <c r="AS13" s="142"/>
      <c r="AT13" s="142"/>
      <c r="AU13" s="142"/>
      <c r="AV13" s="142"/>
      <c r="AW13" s="142"/>
      <c r="AX13" s="142"/>
      <c r="AY13" s="142"/>
      <c r="AZ13" s="142"/>
      <c r="BA13" s="142"/>
      <c r="BB13" s="142"/>
    </row>
    <row r="14" spans="1:54">
      <c r="A14" s="143"/>
      <c r="C14" s="111"/>
      <c r="D14" s="111"/>
      <c r="E14" s="111"/>
      <c r="F14" s="111"/>
      <c r="G14" s="111"/>
      <c r="K14" s="142"/>
      <c r="L14" s="142"/>
      <c r="M14" s="142"/>
      <c r="N14" s="142"/>
      <c r="O14" s="142"/>
      <c r="P14" s="142"/>
      <c r="Q14" s="142"/>
      <c r="R14" s="142"/>
      <c r="S14" s="142"/>
      <c r="T14" s="142"/>
      <c r="U14" s="142"/>
      <c r="V14" s="142"/>
      <c r="W14" s="142"/>
      <c r="X14" s="142"/>
      <c r="Y14" s="142"/>
      <c r="Z14" s="142"/>
      <c r="AA14" s="142"/>
      <c r="AB14" s="142"/>
      <c r="AC14" s="142"/>
      <c r="AD14" s="142"/>
      <c r="AE14" s="142"/>
      <c r="AF14" s="142"/>
      <c r="AG14" s="142"/>
      <c r="AH14" s="142"/>
      <c r="AI14" s="142"/>
      <c r="AJ14" s="142"/>
      <c r="AK14" s="142"/>
      <c r="AL14" s="142"/>
      <c r="AM14" s="142"/>
      <c r="AN14" s="142"/>
      <c r="AO14" s="142"/>
      <c r="AP14" s="142"/>
      <c r="AQ14" s="142"/>
      <c r="AR14" s="142"/>
      <c r="AS14" s="142"/>
      <c r="AT14" s="142"/>
      <c r="AU14" s="142"/>
      <c r="AV14" s="142"/>
      <c r="AW14" s="142"/>
      <c r="AX14" s="142"/>
      <c r="AY14" s="142"/>
      <c r="AZ14" s="142"/>
      <c r="BA14" s="142"/>
      <c r="BB14" s="142"/>
    </row>
    <row r="15" spans="1:54">
      <c r="C15" s="109" t="s">
        <v>24</v>
      </c>
      <c r="D15" s="109"/>
      <c r="E15" s="109" t="s">
        <v>25</v>
      </c>
      <c r="F15" s="109"/>
      <c r="G15" s="109" t="s">
        <v>26</v>
      </c>
      <c r="I15" s="145" t="s">
        <v>27</v>
      </c>
      <c r="K15" s="142"/>
      <c r="L15" s="142"/>
      <c r="M15" s="142"/>
      <c r="N15" s="142"/>
      <c r="O15" s="142"/>
      <c r="P15" s="142"/>
      <c r="Q15" s="142"/>
      <c r="R15" s="142"/>
      <c r="S15" s="142"/>
      <c r="T15" s="142"/>
      <c r="U15" s="142"/>
      <c r="V15" s="142"/>
      <c r="W15" s="142"/>
      <c r="X15" s="142"/>
      <c r="Y15" s="142"/>
      <c r="Z15" s="142"/>
      <c r="AA15" s="142"/>
      <c r="AB15" s="142"/>
      <c r="AC15" s="142"/>
      <c r="AD15" s="142"/>
      <c r="AE15" s="142"/>
      <c r="AF15" s="142"/>
      <c r="AG15" s="142"/>
      <c r="AH15" s="142"/>
      <c r="AI15" s="142"/>
      <c r="AJ15" s="142"/>
      <c r="AK15" s="142"/>
      <c r="AL15" s="142"/>
      <c r="AM15" s="142"/>
      <c r="AN15" s="142"/>
      <c r="AO15" s="142"/>
      <c r="AP15" s="142"/>
      <c r="AQ15" s="142"/>
      <c r="AR15" s="142"/>
      <c r="AS15" s="142"/>
      <c r="AT15" s="142"/>
      <c r="AU15" s="142"/>
      <c r="AV15" s="142"/>
      <c r="AW15" s="142"/>
      <c r="AX15" s="142"/>
      <c r="AY15" s="142"/>
      <c r="AZ15" s="142"/>
      <c r="BA15" s="142"/>
      <c r="BB15" s="142"/>
    </row>
    <row r="16" spans="1:54">
      <c r="C16" s="108"/>
      <c r="D16" s="108"/>
      <c r="K16" s="142"/>
      <c r="L16" s="142"/>
      <c r="M16" s="142"/>
      <c r="N16" s="142"/>
      <c r="O16" s="142"/>
      <c r="P16" s="142"/>
      <c r="Q16" s="142"/>
      <c r="R16" s="142"/>
      <c r="S16" s="142"/>
      <c r="T16" s="142"/>
      <c r="U16" s="142"/>
      <c r="V16" s="142"/>
      <c r="W16" s="142"/>
      <c r="X16" s="142"/>
      <c r="Y16" s="142"/>
      <c r="Z16" s="142"/>
      <c r="AA16" s="142"/>
      <c r="AB16" s="142"/>
      <c r="AC16" s="142"/>
      <c r="AD16" s="142"/>
      <c r="AE16" s="142"/>
      <c r="AF16" s="142"/>
      <c r="AG16" s="142"/>
      <c r="AH16" s="142"/>
      <c r="AI16" s="142"/>
      <c r="AJ16" s="142"/>
      <c r="AK16" s="142"/>
      <c r="AL16" s="142"/>
      <c r="AM16" s="142"/>
      <c r="AN16" s="142"/>
      <c r="AO16" s="142"/>
      <c r="AP16" s="142"/>
      <c r="AQ16" s="142"/>
      <c r="AR16" s="142"/>
      <c r="AS16" s="142"/>
      <c r="AT16" s="142"/>
      <c r="AU16" s="142"/>
      <c r="AV16" s="142"/>
      <c r="AW16" s="142"/>
      <c r="AX16" s="142"/>
      <c r="AY16" s="142"/>
      <c r="AZ16" s="142"/>
      <c r="BA16" s="142"/>
      <c r="BB16" s="142"/>
    </row>
    <row r="17" spans="1:54">
      <c r="A17" s="375" t="s">
        <v>13</v>
      </c>
      <c r="B17" s="142"/>
      <c r="C17" s="108"/>
      <c r="D17" s="108"/>
      <c r="E17" s="154" t="s">
        <v>369</v>
      </c>
      <c r="F17" s="154"/>
      <c r="G17" s="112"/>
      <c r="H17" s="142"/>
      <c r="I17" s="142"/>
      <c r="K17" s="142"/>
      <c r="L17" s="142"/>
      <c r="M17" s="142"/>
      <c r="N17" s="142"/>
      <c r="O17" s="142"/>
      <c r="P17" s="142"/>
      <c r="Q17" s="142"/>
      <c r="R17" s="142"/>
      <c r="S17" s="142"/>
      <c r="T17" s="142"/>
      <c r="U17" s="142"/>
      <c r="V17" s="142"/>
      <c r="W17" s="142"/>
      <c r="X17" s="142"/>
      <c r="Y17" s="142"/>
      <c r="Z17" s="142"/>
      <c r="AA17" s="142"/>
      <c r="AB17" s="142"/>
      <c r="AC17" s="142"/>
      <c r="AD17" s="142"/>
      <c r="AE17" s="142"/>
      <c r="AF17" s="142"/>
      <c r="AG17" s="142"/>
      <c r="AH17" s="142"/>
      <c r="AI17" s="142"/>
      <c r="AJ17" s="142"/>
      <c r="AK17" s="142"/>
      <c r="AL17" s="142"/>
      <c r="AM17" s="142"/>
      <c r="AN17" s="142"/>
      <c r="AO17" s="142"/>
      <c r="AP17" s="142"/>
      <c r="AQ17" s="142"/>
      <c r="AR17" s="142"/>
      <c r="AS17" s="142"/>
      <c r="AT17" s="142"/>
      <c r="AU17" s="142"/>
      <c r="AV17" s="142"/>
      <c r="AW17" s="142"/>
      <c r="AX17" s="142"/>
      <c r="AY17" s="142"/>
      <c r="AZ17" s="142"/>
      <c r="BA17" s="142"/>
      <c r="BB17" s="142"/>
    </row>
    <row r="18" spans="1:54">
      <c r="A18" s="419" t="s">
        <v>15</v>
      </c>
      <c r="B18" s="420"/>
      <c r="C18" s="421"/>
      <c r="D18" s="421"/>
      <c r="E18" s="422" t="s">
        <v>31</v>
      </c>
      <c r="F18" s="422"/>
      <c r="G18" s="419" t="s">
        <v>30</v>
      </c>
      <c r="H18" s="420"/>
      <c r="I18" s="419" t="s">
        <v>18</v>
      </c>
      <c r="K18" s="142"/>
      <c r="L18" s="142"/>
      <c r="M18" s="142"/>
      <c r="N18" s="142"/>
      <c r="O18" s="142"/>
      <c r="P18" s="142"/>
      <c r="Q18" s="142"/>
      <c r="R18" s="142"/>
      <c r="S18" s="142"/>
      <c r="T18" s="142"/>
      <c r="U18" s="142"/>
      <c r="V18" s="142"/>
      <c r="W18" s="142"/>
      <c r="X18" s="142"/>
      <c r="Y18" s="142"/>
      <c r="Z18" s="142"/>
      <c r="AA18" s="142"/>
      <c r="AB18" s="142"/>
      <c r="AC18" s="142"/>
      <c r="AD18" s="142"/>
      <c r="AE18" s="142"/>
      <c r="AF18" s="142"/>
      <c r="AG18" s="142"/>
      <c r="AH18" s="142"/>
      <c r="AI18" s="142"/>
      <c r="AJ18" s="142"/>
      <c r="AK18" s="142"/>
      <c r="AL18" s="142"/>
      <c r="AM18" s="142"/>
      <c r="AN18" s="142"/>
      <c r="AO18" s="142"/>
      <c r="AP18" s="142"/>
      <c r="AQ18" s="142"/>
      <c r="AR18" s="142"/>
      <c r="AS18" s="142"/>
      <c r="AT18" s="142"/>
      <c r="AU18" s="142"/>
      <c r="AV18" s="142"/>
      <c r="AW18" s="142"/>
      <c r="AX18" s="142"/>
      <c r="AY18" s="142"/>
      <c r="AZ18" s="142"/>
      <c r="BA18" s="142"/>
      <c r="BB18" s="142"/>
    </row>
    <row r="19" spans="1:54" ht="15.75">
      <c r="A19" s="152"/>
      <c r="C19" s="108" t="s">
        <v>417</v>
      </c>
      <c r="D19" s="108"/>
      <c r="E19" s="112"/>
      <c r="F19" s="112"/>
      <c r="G19" s="112"/>
      <c r="I19" s="112"/>
      <c r="K19" s="142"/>
      <c r="L19" s="142"/>
      <c r="M19" s="142"/>
      <c r="N19" s="142"/>
      <c r="O19" s="142"/>
      <c r="P19" s="142"/>
      <c r="Q19" s="142"/>
      <c r="R19" s="142"/>
      <c r="S19" s="142"/>
      <c r="T19" s="142"/>
      <c r="U19" s="142"/>
      <c r="V19" s="142"/>
      <c r="W19" s="142"/>
      <c r="X19" s="142"/>
      <c r="Y19" s="142"/>
      <c r="Z19" s="142"/>
      <c r="AA19" s="142"/>
      <c r="AB19" s="142"/>
      <c r="AC19" s="142"/>
      <c r="AD19" s="142"/>
      <c r="AE19" s="142"/>
      <c r="AF19" s="142"/>
      <c r="AG19" s="142"/>
      <c r="AH19" s="142"/>
      <c r="AI19" s="142"/>
      <c r="AJ19" s="142"/>
      <c r="AK19" s="142"/>
      <c r="AL19" s="142"/>
      <c r="AM19" s="142"/>
      <c r="AN19" s="142"/>
      <c r="AO19" s="142"/>
      <c r="AP19" s="142"/>
      <c r="AQ19" s="142"/>
      <c r="AR19" s="142"/>
      <c r="AS19" s="142"/>
      <c r="AT19" s="142"/>
      <c r="AU19" s="142"/>
      <c r="AV19" s="142"/>
      <c r="AW19" s="142"/>
      <c r="AX19" s="142"/>
      <c r="AY19" s="142"/>
      <c r="AZ19" s="142"/>
      <c r="BA19" s="142"/>
      <c r="BB19" s="142"/>
    </row>
    <row r="20" spans="1:54">
      <c r="A20" s="153">
        <v>1</v>
      </c>
      <c r="C20" s="108" t="s">
        <v>266</v>
      </c>
      <c r="D20" s="108"/>
      <c r="E20" s="868" t="s">
        <v>803</v>
      </c>
      <c r="F20" s="154"/>
      <c r="G20" s="155">
        <f>DEO!J76</f>
        <v>722095646</v>
      </c>
      <c r="K20" s="142"/>
      <c r="L20" s="142"/>
      <c r="M20" s="142"/>
      <c r="N20" s="142"/>
      <c r="O20" s="142"/>
      <c r="P20" s="142"/>
      <c r="Q20" s="142"/>
      <c r="R20" s="142"/>
      <c r="S20" s="142"/>
      <c r="T20" s="142"/>
      <c r="U20" s="142"/>
      <c r="V20" s="142"/>
      <c r="W20" s="142"/>
      <c r="X20" s="142"/>
      <c r="Y20" s="142"/>
      <c r="Z20" s="142"/>
      <c r="AA20" s="142"/>
      <c r="AB20" s="142"/>
      <c r="AC20" s="142"/>
      <c r="AD20" s="142"/>
      <c r="AE20" s="142"/>
      <c r="AF20" s="142"/>
      <c r="AG20" s="142"/>
      <c r="AH20" s="142"/>
      <c r="AI20" s="142"/>
      <c r="AJ20" s="142"/>
      <c r="AK20" s="142"/>
      <c r="AL20" s="142"/>
      <c r="AM20" s="142"/>
      <c r="AN20" s="142"/>
      <c r="AO20" s="142"/>
      <c r="AP20" s="142"/>
      <c r="AQ20" s="142"/>
      <c r="AR20" s="142"/>
      <c r="AS20" s="142"/>
      <c r="AT20" s="142"/>
      <c r="AU20" s="142"/>
      <c r="AV20" s="142"/>
      <c r="AW20" s="142"/>
      <c r="AX20" s="142"/>
      <c r="AY20" s="142"/>
      <c r="AZ20" s="142"/>
      <c r="BA20" s="142"/>
      <c r="BB20" s="142"/>
    </row>
    <row r="21" spans="1:54">
      <c r="A21" s="153">
        <v>2</v>
      </c>
      <c r="C21" s="108" t="s">
        <v>267</v>
      </c>
      <c r="D21" s="108"/>
      <c r="E21" s="868" t="s">
        <v>804</v>
      </c>
      <c r="F21" s="154"/>
      <c r="G21" s="155">
        <f>DEO!J92</f>
        <v>481193820</v>
      </c>
      <c r="K21" s="142"/>
      <c r="L21" s="142"/>
      <c r="M21" s="142"/>
      <c r="N21" s="142"/>
      <c r="O21" s="142"/>
      <c r="P21" s="142"/>
      <c r="Q21" s="142"/>
      <c r="R21" s="142"/>
      <c r="S21" s="142"/>
      <c r="T21" s="142"/>
      <c r="U21" s="142"/>
      <c r="V21" s="142"/>
      <c r="W21" s="142"/>
      <c r="X21" s="142"/>
      <c r="Y21" s="142"/>
      <c r="Z21" s="142"/>
      <c r="AA21" s="142"/>
      <c r="AB21" s="142"/>
      <c r="AC21" s="142"/>
      <c r="AD21" s="142"/>
      <c r="AE21" s="142"/>
      <c r="AF21" s="142"/>
      <c r="AG21" s="142"/>
      <c r="AH21" s="142"/>
      <c r="AI21" s="142"/>
      <c r="AJ21" s="142"/>
      <c r="AK21" s="142"/>
      <c r="AL21" s="142"/>
      <c r="AM21" s="142"/>
      <c r="AN21" s="142"/>
      <c r="AO21" s="142"/>
      <c r="AP21" s="142"/>
      <c r="AQ21" s="142"/>
      <c r="AR21" s="142"/>
      <c r="AS21" s="142"/>
      <c r="AT21" s="142"/>
      <c r="AU21" s="142"/>
      <c r="AV21" s="142"/>
      <c r="AW21" s="142"/>
      <c r="AX21" s="142"/>
      <c r="AY21" s="142"/>
      <c r="AZ21" s="142"/>
      <c r="BA21" s="142"/>
      <c r="BB21" s="142"/>
    </row>
    <row r="22" spans="1:54">
      <c r="A22" s="153"/>
      <c r="E22" s="868"/>
      <c r="F22" s="154"/>
      <c r="K22" s="142"/>
      <c r="L22" s="142"/>
      <c r="M22" s="142"/>
      <c r="N22" s="142"/>
      <c r="O22" s="142"/>
      <c r="P22" s="142"/>
      <c r="Q22" s="142"/>
      <c r="R22" s="142"/>
      <c r="S22" s="142"/>
      <c r="T22" s="142"/>
      <c r="U22" s="142"/>
      <c r="V22" s="142"/>
      <c r="W22" s="142"/>
      <c r="X22" s="142"/>
      <c r="Y22" s="142"/>
      <c r="Z22" s="142"/>
      <c r="AA22" s="142"/>
      <c r="AB22" s="142"/>
      <c r="AC22" s="142"/>
      <c r="AD22" s="142"/>
      <c r="AE22" s="142"/>
      <c r="AF22" s="142"/>
      <c r="AG22" s="142"/>
      <c r="AH22" s="142"/>
      <c r="AI22" s="142"/>
      <c r="AJ22" s="142"/>
      <c r="AK22" s="142"/>
      <c r="AL22" s="142"/>
      <c r="AM22" s="142"/>
      <c r="AN22" s="142"/>
      <c r="AO22" s="142"/>
      <c r="AP22" s="142"/>
      <c r="AQ22" s="142"/>
      <c r="AR22" s="142"/>
      <c r="AS22" s="142"/>
      <c r="AT22" s="142"/>
      <c r="AU22" s="142"/>
      <c r="AV22" s="142"/>
      <c r="AW22" s="142"/>
      <c r="AX22" s="142"/>
      <c r="AY22" s="142"/>
      <c r="AZ22" s="142"/>
      <c r="BA22" s="142"/>
      <c r="BB22" s="142"/>
    </row>
    <row r="23" spans="1:54">
      <c r="A23" s="153"/>
      <c r="C23" s="108" t="s">
        <v>232</v>
      </c>
      <c r="D23" s="108"/>
      <c r="E23" s="868"/>
      <c r="F23" s="154"/>
      <c r="G23" s="112"/>
      <c r="I23" s="112"/>
      <c r="K23" s="142"/>
      <c r="L23" s="142"/>
      <c r="M23" s="142"/>
      <c r="N23" s="142"/>
      <c r="O23" s="142"/>
      <c r="P23" s="142"/>
      <c r="Q23" s="142"/>
      <c r="R23" s="142"/>
      <c r="S23" s="142"/>
      <c r="T23" s="142"/>
      <c r="U23" s="142"/>
      <c r="V23" s="142"/>
      <c r="W23" s="142"/>
      <c r="X23" s="142"/>
      <c r="Y23" s="142"/>
      <c r="Z23" s="142"/>
      <c r="AA23" s="142"/>
      <c r="AB23" s="142"/>
      <c r="AC23" s="142"/>
      <c r="AD23" s="142"/>
      <c r="AE23" s="142"/>
      <c r="AF23" s="142"/>
      <c r="AG23" s="142"/>
      <c r="AH23" s="142"/>
      <c r="AI23" s="142"/>
      <c r="AJ23" s="142"/>
      <c r="AK23" s="142"/>
      <c r="AL23" s="142"/>
      <c r="AM23" s="142"/>
      <c r="AN23" s="142"/>
      <c r="AO23" s="142"/>
      <c r="AP23" s="142"/>
      <c r="AQ23" s="142"/>
      <c r="AR23" s="142"/>
      <c r="AS23" s="142"/>
      <c r="AT23" s="142"/>
      <c r="AU23" s="142"/>
      <c r="AV23" s="142"/>
      <c r="AW23" s="142"/>
      <c r="AX23" s="142"/>
      <c r="AY23" s="142"/>
      <c r="AZ23" s="142"/>
      <c r="BA23" s="142"/>
      <c r="BB23" s="142"/>
    </row>
    <row r="24" spans="1:54">
      <c r="A24" s="153">
        <v>3</v>
      </c>
      <c r="C24" s="108" t="s">
        <v>268</v>
      </c>
      <c r="D24" s="108"/>
      <c r="E24" s="868" t="s">
        <v>805</v>
      </c>
      <c r="F24" s="154"/>
      <c r="G24" s="155">
        <f>DEO!J148</f>
        <v>23983847</v>
      </c>
      <c r="K24" s="142"/>
      <c r="L24" s="142"/>
      <c r="M24" s="142"/>
      <c r="N24" s="142"/>
      <c r="O24" s="142"/>
      <c r="P24" s="142"/>
      <c r="Q24" s="142"/>
      <c r="R24" s="142"/>
      <c r="S24" s="142"/>
      <c r="T24" s="142"/>
      <c r="U24" s="142"/>
      <c r="V24" s="142"/>
      <c r="W24" s="142"/>
      <c r="X24" s="142"/>
      <c r="Y24" s="142"/>
      <c r="Z24" s="142"/>
      <c r="AA24" s="142"/>
      <c r="AB24" s="142"/>
      <c r="AC24" s="142"/>
      <c r="AD24" s="142"/>
      <c r="AE24" s="142"/>
      <c r="AF24" s="142"/>
      <c r="AG24" s="142"/>
      <c r="AH24" s="142"/>
      <c r="AI24" s="142"/>
      <c r="AJ24" s="142"/>
      <c r="AK24" s="142"/>
      <c r="AL24" s="142"/>
      <c r="AM24" s="142"/>
      <c r="AN24" s="142"/>
      <c r="AO24" s="142"/>
      <c r="AP24" s="142"/>
      <c r="AQ24" s="142"/>
      <c r="AR24" s="142"/>
      <c r="AS24" s="142"/>
      <c r="AT24" s="142"/>
      <c r="AU24" s="142"/>
      <c r="AV24" s="142"/>
      <c r="AW24" s="142"/>
      <c r="AX24" s="142"/>
      <c r="AY24" s="142"/>
      <c r="AZ24" s="142"/>
      <c r="BA24" s="142"/>
      <c r="BB24" s="142"/>
    </row>
    <row r="25" spans="1:54">
      <c r="A25" s="153">
        <v>4</v>
      </c>
      <c r="C25" s="108" t="s">
        <v>269</v>
      </c>
      <c r="D25" s="108"/>
      <c r="E25" s="868" t="s">
        <v>700</v>
      </c>
      <c r="F25" s="154"/>
      <c r="G25" s="156">
        <f>IF(G24=0,0,G24/G20)</f>
        <v>3.3214224643032954E-2</v>
      </c>
      <c r="I25" s="157">
        <f>G25</f>
        <v>3.3214224643032954E-2</v>
      </c>
      <c r="K25" s="142"/>
      <c r="L25" s="142"/>
      <c r="M25" s="142"/>
      <c r="N25" s="142"/>
      <c r="O25" s="142"/>
      <c r="P25" s="142"/>
      <c r="Q25" s="142"/>
      <c r="R25" s="142"/>
      <c r="S25" s="142"/>
      <c r="T25" s="142"/>
      <c r="U25" s="142"/>
      <c r="V25" s="142"/>
      <c r="W25" s="142"/>
      <c r="X25" s="142"/>
      <c r="Y25" s="142"/>
      <c r="Z25" s="142"/>
      <c r="AA25" s="142"/>
      <c r="AB25" s="142"/>
      <c r="AC25" s="142"/>
      <c r="AD25" s="142"/>
      <c r="AE25" s="142"/>
      <c r="AF25" s="142"/>
      <c r="AG25" s="142"/>
      <c r="AH25" s="142"/>
      <c r="AI25" s="142"/>
      <c r="AJ25" s="142"/>
      <c r="AK25" s="142"/>
      <c r="AL25" s="142"/>
      <c r="AM25" s="142"/>
      <c r="AN25" s="142"/>
      <c r="AO25" s="142"/>
      <c r="AP25" s="142"/>
      <c r="AQ25" s="142"/>
      <c r="AR25" s="142"/>
      <c r="AS25" s="142"/>
      <c r="AT25" s="142"/>
      <c r="AU25" s="142"/>
      <c r="AV25" s="142"/>
      <c r="AW25" s="142"/>
      <c r="AX25" s="142"/>
      <c r="AY25" s="142"/>
      <c r="AZ25" s="142"/>
      <c r="BA25" s="142"/>
      <c r="BB25" s="142"/>
    </row>
    <row r="26" spans="1:54">
      <c r="A26" s="153"/>
      <c r="E26" s="868"/>
      <c r="F26" s="154"/>
      <c r="K26" s="142"/>
      <c r="L26" s="142"/>
      <c r="M26" s="142"/>
      <c r="N26" s="142"/>
      <c r="O26" s="142"/>
      <c r="P26" s="142"/>
      <c r="Q26" s="142"/>
      <c r="R26" s="142"/>
      <c r="S26" s="142"/>
      <c r="T26" s="142"/>
      <c r="U26" s="142"/>
      <c r="V26" s="142"/>
      <c r="W26" s="142"/>
      <c r="X26" s="142"/>
      <c r="Y26" s="142"/>
      <c r="Z26" s="142"/>
      <c r="AA26" s="142"/>
      <c r="AB26" s="142"/>
      <c r="AC26" s="142"/>
      <c r="AD26" s="142"/>
      <c r="AE26" s="142"/>
      <c r="AF26" s="142"/>
      <c r="AG26" s="142"/>
      <c r="AH26" s="142"/>
      <c r="AI26" s="142"/>
      <c r="AJ26" s="142"/>
      <c r="AK26" s="142"/>
      <c r="AL26" s="142"/>
      <c r="AM26" s="142"/>
      <c r="AN26" s="142"/>
      <c r="AO26" s="142"/>
      <c r="AP26" s="142"/>
      <c r="AQ26" s="142"/>
      <c r="AR26" s="142"/>
      <c r="AS26" s="142"/>
      <c r="AT26" s="142"/>
      <c r="AU26" s="142"/>
      <c r="AV26" s="142"/>
      <c r="AW26" s="142"/>
      <c r="AX26" s="142"/>
      <c r="AY26" s="142"/>
      <c r="AZ26" s="142"/>
      <c r="BA26" s="142"/>
      <c r="BB26" s="142"/>
    </row>
    <row r="27" spans="1:54">
      <c r="A27" s="166"/>
      <c r="C27" s="108" t="s">
        <v>320</v>
      </c>
      <c r="D27" s="108"/>
      <c r="E27" s="866"/>
      <c r="F27" s="154"/>
      <c r="K27" s="142"/>
      <c r="L27" s="142"/>
      <c r="M27" s="142"/>
      <c r="N27" s="142"/>
      <c r="O27" s="142"/>
      <c r="P27" s="142"/>
      <c r="Q27" s="142"/>
      <c r="R27" s="142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  <c r="AF27" s="142"/>
      <c r="AG27" s="142"/>
      <c r="AH27" s="142"/>
      <c r="AI27" s="142"/>
      <c r="AJ27" s="142"/>
      <c r="AK27" s="142"/>
      <c r="AL27" s="142"/>
      <c r="AM27" s="142"/>
      <c r="AN27" s="142"/>
      <c r="AO27" s="142"/>
      <c r="AP27" s="142"/>
      <c r="AQ27" s="142"/>
      <c r="AR27" s="142"/>
      <c r="AS27" s="142"/>
      <c r="AT27" s="142"/>
      <c r="AU27" s="142"/>
      <c r="AV27" s="142"/>
      <c r="AW27" s="142"/>
      <c r="AX27" s="142"/>
      <c r="AY27" s="142"/>
      <c r="AZ27" s="142"/>
      <c r="BA27" s="142"/>
      <c r="BB27" s="142"/>
    </row>
    <row r="28" spans="1:54">
      <c r="A28" s="166" t="s">
        <v>270</v>
      </c>
      <c r="C28" s="108" t="s">
        <v>321</v>
      </c>
      <c r="D28" s="108"/>
      <c r="E28" s="868" t="s">
        <v>806</v>
      </c>
      <c r="F28" s="154"/>
      <c r="G28" s="155">
        <f>DEO!J152+DEO!J153</f>
        <v>2785383</v>
      </c>
      <c r="K28" s="142"/>
      <c r="L28" s="142"/>
      <c r="M28" s="142"/>
      <c r="N28" s="142"/>
      <c r="O28" s="142"/>
      <c r="P28" s="142"/>
      <c r="Q28" s="142"/>
      <c r="R28" s="142"/>
      <c r="S28" s="142"/>
      <c r="T28" s="142"/>
      <c r="U28" s="142"/>
      <c r="V28" s="142"/>
      <c r="W28" s="142"/>
      <c r="X28" s="142"/>
      <c r="Y28" s="142"/>
      <c r="Z28" s="142"/>
      <c r="AA28" s="142"/>
      <c r="AB28" s="142"/>
      <c r="AC28" s="142"/>
      <c r="AD28" s="142"/>
      <c r="AE28" s="142"/>
      <c r="AF28" s="142"/>
      <c r="AG28" s="142"/>
      <c r="AH28" s="142"/>
      <c r="AI28" s="142"/>
      <c r="AJ28" s="142"/>
      <c r="AK28" s="142"/>
      <c r="AL28" s="142"/>
      <c r="AM28" s="142"/>
      <c r="AN28" s="142"/>
      <c r="AO28" s="142"/>
      <c r="AP28" s="142"/>
      <c r="AQ28" s="142"/>
      <c r="AR28" s="142"/>
      <c r="AS28" s="142"/>
      <c r="AT28" s="142"/>
      <c r="AU28" s="142"/>
      <c r="AV28" s="142"/>
      <c r="AW28" s="142"/>
      <c r="AX28" s="142"/>
      <c r="AY28" s="142"/>
      <c r="AZ28" s="142"/>
      <c r="BA28" s="142"/>
      <c r="BB28" s="142"/>
    </row>
    <row r="29" spans="1:54">
      <c r="A29" s="166" t="s">
        <v>271</v>
      </c>
      <c r="C29" s="108" t="s">
        <v>322</v>
      </c>
      <c r="D29" s="108"/>
      <c r="E29" s="868" t="s">
        <v>701</v>
      </c>
      <c r="F29" s="154"/>
      <c r="G29" s="156">
        <f>IF(G28=0,0,G28/G20)</f>
        <v>3.8573601924197171E-3</v>
      </c>
      <c r="I29" s="157">
        <f>G29</f>
        <v>3.8573601924197171E-3</v>
      </c>
      <c r="K29" s="142"/>
      <c r="L29" s="142"/>
      <c r="M29" s="142"/>
      <c r="N29" s="142"/>
      <c r="O29" s="142"/>
      <c r="P29" s="142"/>
      <c r="Q29" s="142"/>
      <c r="R29" s="142"/>
      <c r="S29" s="142"/>
      <c r="T29" s="142"/>
      <c r="U29" s="142"/>
      <c r="V29" s="142"/>
      <c r="W29" s="142"/>
      <c r="X29" s="142"/>
      <c r="Y29" s="142"/>
      <c r="Z29" s="142"/>
      <c r="AA29" s="142"/>
      <c r="AB29" s="142"/>
      <c r="AC29" s="142"/>
      <c r="AD29" s="142"/>
      <c r="AE29" s="142"/>
      <c r="AF29" s="142"/>
      <c r="AG29" s="142"/>
      <c r="AH29" s="142"/>
      <c r="AI29" s="142"/>
      <c r="AJ29" s="142"/>
      <c r="AK29" s="142"/>
      <c r="AL29" s="142"/>
      <c r="AM29" s="142"/>
      <c r="AN29" s="142"/>
      <c r="AO29" s="142"/>
      <c r="AP29" s="142"/>
      <c r="AQ29" s="142"/>
      <c r="AR29" s="142"/>
      <c r="AS29" s="142"/>
      <c r="AT29" s="142"/>
      <c r="AU29" s="142"/>
      <c r="AV29" s="142"/>
      <c r="AW29" s="142"/>
      <c r="AX29" s="142"/>
      <c r="AY29" s="142"/>
      <c r="AZ29" s="142"/>
      <c r="BA29" s="142"/>
      <c r="BB29" s="142"/>
    </row>
    <row r="30" spans="1:54">
      <c r="A30" s="153"/>
      <c r="E30" s="868"/>
      <c r="F30" s="154"/>
      <c r="K30" s="142"/>
      <c r="L30" s="142"/>
      <c r="M30" s="142"/>
      <c r="N30" s="142"/>
      <c r="O30" s="142"/>
      <c r="P30" s="142"/>
      <c r="Q30" s="142"/>
      <c r="R30" s="142"/>
      <c r="S30" s="142"/>
      <c r="T30" s="142"/>
      <c r="U30" s="142"/>
      <c r="V30" s="142"/>
      <c r="W30" s="142"/>
      <c r="X30" s="142"/>
      <c r="Y30" s="142"/>
      <c r="Z30" s="142"/>
      <c r="AA30" s="142"/>
      <c r="AB30" s="142"/>
      <c r="AC30" s="142"/>
      <c r="AD30" s="142"/>
      <c r="AE30" s="142"/>
      <c r="AF30" s="142"/>
      <c r="AG30" s="142"/>
      <c r="AH30" s="142"/>
      <c r="AI30" s="142"/>
      <c r="AJ30" s="142"/>
      <c r="AK30" s="142"/>
      <c r="AL30" s="142"/>
      <c r="AM30" s="142"/>
      <c r="AN30" s="142"/>
      <c r="AO30" s="142"/>
      <c r="AP30" s="142"/>
      <c r="AQ30" s="142"/>
      <c r="AR30" s="142"/>
      <c r="AS30" s="142"/>
      <c r="AT30" s="142"/>
      <c r="AU30" s="142"/>
      <c r="AV30" s="142"/>
      <c r="AW30" s="142"/>
      <c r="AX30" s="142"/>
      <c r="AY30" s="142"/>
      <c r="AZ30" s="142"/>
      <c r="BA30" s="142"/>
      <c r="BB30" s="142"/>
    </row>
    <row r="31" spans="1:54">
      <c r="A31" s="160"/>
      <c r="C31" s="108" t="s">
        <v>235</v>
      </c>
      <c r="D31" s="108"/>
      <c r="E31" s="866"/>
      <c r="F31" s="114"/>
      <c r="G31" s="112"/>
      <c r="I31" s="112"/>
      <c r="K31" s="142"/>
      <c r="L31" s="142"/>
      <c r="M31" s="142"/>
      <c r="N31" s="142"/>
      <c r="O31" s="142"/>
      <c r="P31" s="142"/>
      <c r="Q31" s="142"/>
      <c r="R31" s="142"/>
      <c r="S31" s="142"/>
      <c r="T31" s="142"/>
      <c r="U31" s="142"/>
      <c r="V31" s="142"/>
      <c r="W31" s="142"/>
      <c r="X31" s="142"/>
      <c r="Y31" s="142"/>
      <c r="Z31" s="142"/>
      <c r="AA31" s="142"/>
      <c r="AB31" s="142"/>
      <c r="AC31" s="142"/>
      <c r="AD31" s="142"/>
      <c r="AE31" s="142"/>
      <c r="AF31" s="142"/>
      <c r="AG31" s="142"/>
      <c r="AH31" s="142"/>
      <c r="AI31" s="142"/>
      <c r="AJ31" s="142"/>
      <c r="AK31" s="142"/>
      <c r="AL31" s="142"/>
      <c r="AM31" s="142"/>
      <c r="AN31" s="142"/>
      <c r="AO31" s="142"/>
      <c r="AP31" s="142"/>
      <c r="AQ31" s="142"/>
      <c r="AR31" s="142"/>
      <c r="AS31" s="142"/>
      <c r="AT31" s="142"/>
      <c r="AU31" s="142"/>
      <c r="AV31" s="142"/>
      <c r="AW31" s="142"/>
      <c r="AX31" s="142"/>
      <c r="AY31" s="142"/>
      <c r="AZ31" s="142"/>
      <c r="BA31" s="142"/>
      <c r="BB31" s="142"/>
    </row>
    <row r="32" spans="1:54">
      <c r="A32" s="160" t="s">
        <v>273</v>
      </c>
      <c r="C32" s="108" t="s">
        <v>237</v>
      </c>
      <c r="D32" s="108"/>
      <c r="E32" s="868" t="s">
        <v>807</v>
      </c>
      <c r="F32" s="154"/>
      <c r="G32" s="155">
        <f>DEO!J165</f>
        <v>23906449</v>
      </c>
      <c r="K32" s="142"/>
      <c r="L32" s="142"/>
      <c r="M32" s="142"/>
      <c r="N32" s="142"/>
      <c r="O32" s="142"/>
      <c r="P32" s="142"/>
      <c r="Q32" s="142"/>
      <c r="R32" s="142"/>
      <c r="S32" s="142"/>
      <c r="T32" s="142"/>
      <c r="U32" s="142"/>
      <c r="V32" s="142"/>
      <c r="W32" s="142"/>
      <c r="X32" s="142"/>
      <c r="Y32" s="142"/>
      <c r="Z32" s="142"/>
      <c r="AA32" s="142"/>
      <c r="AB32" s="142"/>
      <c r="AC32" s="142"/>
      <c r="AD32" s="142"/>
      <c r="AE32" s="142"/>
      <c r="AF32" s="142"/>
      <c r="AG32" s="142"/>
      <c r="AH32" s="142"/>
      <c r="AI32" s="142"/>
      <c r="AJ32" s="142"/>
      <c r="AK32" s="142"/>
      <c r="AL32" s="142"/>
      <c r="AM32" s="142"/>
      <c r="AN32" s="142"/>
      <c r="AO32" s="142"/>
      <c r="AP32" s="142"/>
      <c r="AQ32" s="142"/>
      <c r="AR32" s="142"/>
      <c r="AS32" s="142"/>
      <c r="AT32" s="142"/>
      <c r="AU32" s="142"/>
      <c r="AV32" s="142"/>
      <c r="AW32" s="142"/>
      <c r="AX32" s="142"/>
      <c r="AY32" s="142"/>
      <c r="AZ32" s="142"/>
      <c r="BA32" s="142"/>
      <c r="BB32" s="142"/>
    </row>
    <row r="33" spans="1:54">
      <c r="A33" s="160" t="s">
        <v>275</v>
      </c>
      <c r="C33" s="108" t="s">
        <v>272</v>
      </c>
      <c r="D33" s="108"/>
      <c r="E33" s="868" t="s">
        <v>798</v>
      </c>
      <c r="F33" s="154"/>
      <c r="G33" s="156">
        <f>IF(G32=0,0,G32/G20)</f>
        <v>3.3107039396274109E-2</v>
      </c>
      <c r="I33" s="157">
        <f>G33</f>
        <v>3.3107039396274109E-2</v>
      </c>
      <c r="K33" s="142"/>
      <c r="L33" s="142"/>
      <c r="M33" s="142"/>
      <c r="N33" s="142"/>
      <c r="O33" s="142"/>
      <c r="P33" s="142"/>
      <c r="Q33" s="142"/>
      <c r="R33" s="142"/>
      <c r="S33" s="142"/>
      <c r="T33" s="142"/>
      <c r="U33" s="142"/>
      <c r="V33" s="142"/>
      <c r="W33" s="142"/>
      <c r="X33" s="142"/>
      <c r="Y33" s="142"/>
      <c r="Z33" s="142"/>
      <c r="AA33" s="142"/>
      <c r="AB33" s="142"/>
      <c r="AC33" s="142"/>
      <c r="AD33" s="142"/>
      <c r="AE33" s="142"/>
      <c r="AF33" s="142"/>
      <c r="AG33" s="142"/>
      <c r="AH33" s="142"/>
      <c r="AI33" s="142"/>
      <c r="AJ33" s="142"/>
      <c r="AK33" s="142"/>
      <c r="AL33" s="142"/>
      <c r="AM33" s="142"/>
      <c r="AN33" s="142"/>
      <c r="AO33" s="142"/>
      <c r="AP33" s="142"/>
      <c r="AQ33" s="142"/>
      <c r="AR33" s="142"/>
      <c r="AS33" s="142"/>
      <c r="AT33" s="142"/>
      <c r="AU33" s="142"/>
      <c r="AV33" s="142"/>
      <c r="AW33" s="142"/>
      <c r="AX33" s="142"/>
      <c r="AY33" s="142"/>
      <c r="AZ33" s="142"/>
      <c r="BA33" s="142"/>
      <c r="BB33" s="142"/>
    </row>
    <row r="34" spans="1:54">
      <c r="A34" s="160"/>
      <c r="C34" s="108"/>
      <c r="D34" s="108"/>
      <c r="E34" s="868"/>
      <c r="F34" s="154"/>
      <c r="G34" s="112"/>
      <c r="I34" s="112"/>
      <c r="K34" s="142"/>
      <c r="L34" s="142"/>
      <c r="M34" s="142"/>
      <c r="N34" s="142"/>
      <c r="O34" s="142"/>
      <c r="P34" s="142"/>
      <c r="Q34" s="142"/>
      <c r="R34" s="142"/>
      <c r="S34" s="142"/>
      <c r="T34" s="142"/>
      <c r="U34" s="142"/>
      <c r="V34" s="142"/>
      <c r="W34" s="142"/>
      <c r="X34" s="142"/>
      <c r="Y34" s="142"/>
      <c r="Z34" s="142"/>
      <c r="AA34" s="142"/>
      <c r="AB34" s="142"/>
      <c r="AC34" s="142"/>
      <c r="AD34" s="142"/>
      <c r="AE34" s="142"/>
      <c r="AF34" s="142"/>
      <c r="AG34" s="142"/>
      <c r="AH34" s="142"/>
      <c r="AI34" s="142"/>
      <c r="AJ34" s="142"/>
      <c r="AK34" s="142"/>
      <c r="AL34" s="142"/>
      <c r="AM34" s="142"/>
      <c r="AN34" s="142"/>
      <c r="AO34" s="142"/>
      <c r="AP34" s="142"/>
      <c r="AQ34" s="142"/>
      <c r="AR34" s="142"/>
      <c r="AS34" s="142"/>
      <c r="AT34" s="142"/>
      <c r="AU34" s="142"/>
      <c r="AV34" s="142"/>
      <c r="AW34" s="142"/>
      <c r="AX34" s="142"/>
      <c r="AY34" s="142"/>
      <c r="AZ34" s="142"/>
      <c r="BA34" s="142"/>
      <c r="BB34" s="142"/>
    </row>
    <row r="35" spans="1:54" ht="15.75">
      <c r="A35" s="162" t="s">
        <v>233</v>
      </c>
      <c r="B35" s="163"/>
      <c r="C35" s="151" t="s">
        <v>274</v>
      </c>
      <c r="D35" s="151"/>
      <c r="E35" s="867" t="s">
        <v>568</v>
      </c>
      <c r="F35" s="148"/>
      <c r="G35" s="164"/>
      <c r="I35" s="165">
        <f>I25+I29+I33</f>
        <v>7.0178624231726772E-2</v>
      </c>
      <c r="K35" s="142"/>
      <c r="L35" s="142"/>
      <c r="M35" s="142"/>
      <c r="N35" s="142"/>
      <c r="O35" s="142"/>
      <c r="P35" s="142"/>
      <c r="Q35" s="142"/>
      <c r="R35" s="142"/>
      <c r="S35" s="142"/>
      <c r="T35" s="142"/>
      <c r="U35" s="142"/>
      <c r="V35" s="142"/>
      <c r="W35" s="142"/>
      <c r="X35" s="142"/>
      <c r="Y35" s="142"/>
      <c r="Z35" s="142"/>
      <c r="AA35" s="142"/>
      <c r="AB35" s="142"/>
      <c r="AC35" s="142"/>
      <c r="AD35" s="142"/>
      <c r="AE35" s="142"/>
      <c r="AF35" s="142"/>
      <c r="AG35" s="142"/>
      <c r="AH35" s="142"/>
      <c r="AI35" s="142"/>
      <c r="AJ35" s="142"/>
      <c r="AK35" s="142"/>
      <c r="AL35" s="142"/>
      <c r="AM35" s="142"/>
      <c r="AN35" s="142"/>
      <c r="AO35" s="142"/>
      <c r="AP35" s="142"/>
      <c r="AQ35" s="142"/>
      <c r="AR35" s="142"/>
      <c r="AS35" s="142"/>
      <c r="AT35" s="142"/>
      <c r="AU35" s="142"/>
      <c r="AV35" s="142"/>
      <c r="AW35" s="142"/>
      <c r="AX35" s="142"/>
      <c r="AY35" s="142"/>
      <c r="AZ35" s="142"/>
      <c r="BA35" s="142"/>
      <c r="BB35" s="142"/>
    </row>
    <row r="36" spans="1:54">
      <c r="A36" s="371"/>
      <c r="C36" s="108"/>
      <c r="D36" s="108"/>
      <c r="E36" s="868"/>
      <c r="F36" s="154"/>
      <c r="G36" s="112"/>
      <c r="I36" s="112"/>
      <c r="K36" s="142"/>
      <c r="L36" s="142"/>
      <c r="M36" s="142"/>
      <c r="N36" s="142"/>
      <c r="O36" s="142"/>
      <c r="P36" s="142"/>
      <c r="Q36" s="142"/>
      <c r="R36" s="142"/>
      <c r="S36" s="142"/>
      <c r="T36" s="142"/>
      <c r="U36" s="142"/>
      <c r="V36" s="142"/>
      <c r="W36" s="142"/>
      <c r="X36" s="142"/>
      <c r="Y36" s="142"/>
      <c r="Z36" s="142"/>
      <c r="AA36" s="142"/>
      <c r="AB36" s="142"/>
      <c r="AC36" s="142"/>
      <c r="AD36" s="142"/>
      <c r="AE36" s="142"/>
      <c r="AF36" s="142"/>
      <c r="AG36" s="142"/>
      <c r="AH36" s="142"/>
      <c r="AI36" s="142"/>
      <c r="AJ36" s="142"/>
      <c r="AK36" s="142"/>
      <c r="AL36" s="142"/>
      <c r="AM36" s="142"/>
      <c r="AN36" s="142"/>
      <c r="AO36" s="142"/>
      <c r="AP36" s="142"/>
      <c r="AQ36" s="142"/>
      <c r="AR36" s="142"/>
      <c r="AS36" s="142"/>
      <c r="AT36" s="142"/>
      <c r="AU36" s="142"/>
      <c r="AV36" s="142"/>
      <c r="AW36" s="142"/>
      <c r="AX36" s="142"/>
      <c r="AY36" s="142"/>
      <c r="AZ36" s="142"/>
      <c r="BA36" s="142"/>
      <c r="BB36" s="142"/>
    </row>
    <row r="37" spans="1:54">
      <c r="A37" s="166"/>
      <c r="B37" s="167"/>
      <c r="C37" s="112" t="s">
        <v>239</v>
      </c>
      <c r="D37" s="112"/>
      <c r="E37" s="868"/>
      <c r="F37" s="154"/>
      <c r="G37" s="112"/>
      <c r="I37" s="112"/>
      <c r="K37" s="142"/>
      <c r="L37" s="142"/>
      <c r="M37" s="142"/>
      <c r="N37" s="142"/>
      <c r="O37" s="142"/>
      <c r="P37" s="142"/>
      <c r="Q37" s="142"/>
      <c r="R37" s="142"/>
      <c r="S37" s="142"/>
      <c r="T37" s="142"/>
      <c r="U37" s="142"/>
      <c r="V37" s="142"/>
      <c r="W37" s="142"/>
      <c r="X37" s="142"/>
      <c r="Y37" s="142"/>
      <c r="Z37" s="142"/>
      <c r="AA37" s="142"/>
      <c r="AB37" s="142"/>
      <c r="AC37" s="142"/>
      <c r="AD37" s="142"/>
      <c r="AE37" s="142"/>
      <c r="AF37" s="142"/>
      <c r="AG37" s="142"/>
      <c r="AH37" s="142"/>
      <c r="AI37" s="142"/>
      <c r="AJ37" s="142"/>
      <c r="AK37" s="142"/>
      <c r="AL37" s="142"/>
      <c r="AM37" s="142"/>
      <c r="AN37" s="142"/>
      <c r="AO37" s="142"/>
      <c r="AP37" s="142"/>
      <c r="AQ37" s="142"/>
      <c r="AR37" s="142"/>
      <c r="AS37" s="142"/>
      <c r="AT37" s="142"/>
      <c r="AU37" s="142"/>
      <c r="AV37" s="142"/>
      <c r="AW37" s="142"/>
      <c r="AX37" s="142"/>
      <c r="AY37" s="142"/>
      <c r="AZ37" s="142"/>
      <c r="BA37" s="142"/>
      <c r="BB37" s="142"/>
    </row>
    <row r="38" spans="1:54">
      <c r="A38" s="160" t="s">
        <v>234</v>
      </c>
      <c r="B38" s="167"/>
      <c r="C38" s="112" t="s">
        <v>150</v>
      </c>
      <c r="D38" s="112"/>
      <c r="E38" s="868" t="s">
        <v>808</v>
      </c>
      <c r="F38" s="154"/>
      <c r="G38" s="155">
        <f>DEO!J178</f>
        <v>11114651.809408782</v>
      </c>
      <c r="I38" s="112"/>
      <c r="K38" s="142"/>
      <c r="L38" s="142"/>
      <c r="M38" s="142"/>
      <c r="N38" s="142"/>
      <c r="O38" s="142"/>
      <c r="P38" s="142"/>
      <c r="Q38" s="142"/>
      <c r="R38" s="142"/>
      <c r="S38" s="142"/>
      <c r="T38" s="142"/>
      <c r="U38" s="142"/>
      <c r="V38" s="142"/>
      <c r="W38" s="142"/>
      <c r="X38" s="142"/>
      <c r="Y38" s="142"/>
      <c r="Z38" s="142"/>
      <c r="AA38" s="142"/>
      <c r="AB38" s="142"/>
      <c r="AC38" s="142"/>
      <c r="AD38" s="142"/>
      <c r="AE38" s="142"/>
      <c r="AF38" s="142"/>
      <c r="AG38" s="142"/>
      <c r="AH38" s="142"/>
      <c r="AI38" s="142"/>
      <c r="AJ38" s="142"/>
      <c r="AK38" s="142"/>
      <c r="AL38" s="142"/>
      <c r="AM38" s="142"/>
      <c r="AN38" s="142"/>
      <c r="AO38" s="142"/>
      <c r="AP38" s="142"/>
      <c r="AQ38" s="142"/>
      <c r="AR38" s="142"/>
      <c r="AS38" s="142"/>
      <c r="AT38" s="142"/>
      <c r="AU38" s="142"/>
      <c r="AV38" s="142"/>
      <c r="AW38" s="142"/>
      <c r="AX38" s="142"/>
      <c r="AY38" s="142"/>
      <c r="AZ38" s="142"/>
      <c r="BA38" s="142"/>
      <c r="BB38" s="142"/>
    </row>
    <row r="39" spans="1:54">
      <c r="A39" s="160" t="s">
        <v>236</v>
      </c>
      <c r="B39" s="167"/>
      <c r="C39" s="112" t="s">
        <v>276</v>
      </c>
      <c r="D39" s="112"/>
      <c r="E39" s="868" t="s">
        <v>702</v>
      </c>
      <c r="F39" s="154"/>
      <c r="G39" s="156">
        <f>IF(G38=0,0,G38/G21)</f>
        <v>2.3098076798677054E-2</v>
      </c>
      <c r="I39" s="157">
        <f>G39</f>
        <v>2.3098076798677054E-2</v>
      </c>
      <c r="K39" s="142"/>
      <c r="L39" s="142"/>
      <c r="M39" s="142"/>
      <c r="N39" s="142"/>
      <c r="O39" s="142"/>
      <c r="P39" s="142"/>
      <c r="Q39" s="142"/>
      <c r="R39" s="142"/>
      <c r="S39" s="142"/>
      <c r="T39" s="142"/>
      <c r="U39" s="142"/>
      <c r="V39" s="142"/>
      <c r="W39" s="142"/>
      <c r="X39" s="142"/>
      <c r="Y39" s="142"/>
      <c r="Z39" s="142"/>
      <c r="AA39" s="142"/>
      <c r="AB39" s="142"/>
      <c r="AC39" s="142"/>
      <c r="AD39" s="142"/>
      <c r="AE39" s="142"/>
      <c r="AF39" s="142"/>
      <c r="AG39" s="142"/>
      <c r="AH39" s="142"/>
      <c r="AI39" s="142"/>
      <c r="AJ39" s="142"/>
      <c r="AK39" s="142"/>
      <c r="AL39" s="142"/>
      <c r="AM39" s="142"/>
      <c r="AN39" s="142"/>
      <c r="AO39" s="142"/>
      <c r="AP39" s="142"/>
      <c r="AQ39" s="142"/>
      <c r="AR39" s="142"/>
      <c r="AS39" s="142"/>
      <c r="AT39" s="142"/>
      <c r="AU39" s="142"/>
      <c r="AV39" s="142"/>
      <c r="AW39" s="142"/>
      <c r="AX39" s="142"/>
      <c r="AY39" s="142"/>
      <c r="AZ39" s="142"/>
      <c r="BA39" s="142"/>
      <c r="BB39" s="142"/>
    </row>
    <row r="40" spans="1:54">
      <c r="A40" s="160"/>
      <c r="C40" s="112"/>
      <c r="D40" s="112"/>
      <c r="E40" s="868"/>
      <c r="F40" s="154"/>
      <c r="G40" s="112"/>
      <c r="I40" s="112"/>
      <c r="K40" s="142"/>
      <c r="L40" s="142"/>
      <c r="M40" s="142"/>
      <c r="N40" s="142"/>
      <c r="O40" s="142"/>
      <c r="P40" s="142"/>
      <c r="Q40" s="142"/>
      <c r="R40" s="142"/>
      <c r="S40" s="142"/>
      <c r="T40" s="142"/>
      <c r="U40" s="142"/>
      <c r="V40" s="142"/>
      <c r="W40" s="142"/>
      <c r="X40" s="142"/>
      <c r="Y40" s="142"/>
      <c r="Z40" s="142"/>
      <c r="AA40" s="142"/>
      <c r="AB40" s="142"/>
      <c r="AC40" s="142"/>
      <c r="AD40" s="142"/>
      <c r="AE40" s="142"/>
      <c r="AF40" s="142"/>
      <c r="AG40" s="142"/>
      <c r="AH40" s="142"/>
      <c r="AI40" s="142"/>
      <c r="AJ40" s="142"/>
      <c r="AK40" s="142"/>
      <c r="AL40" s="142"/>
      <c r="AM40" s="142"/>
      <c r="AN40" s="142"/>
      <c r="AO40" s="142"/>
      <c r="AP40" s="142"/>
      <c r="AQ40" s="142"/>
      <c r="AR40" s="142"/>
      <c r="AS40" s="142"/>
      <c r="AT40" s="142"/>
      <c r="AU40" s="142"/>
      <c r="AV40" s="142"/>
      <c r="AW40" s="142"/>
      <c r="AX40" s="142"/>
      <c r="AY40" s="142"/>
      <c r="AZ40" s="142"/>
      <c r="BA40" s="142"/>
      <c r="BB40" s="142"/>
    </row>
    <row r="41" spans="1:54">
      <c r="A41" s="160"/>
      <c r="C41" s="108" t="s">
        <v>73</v>
      </c>
      <c r="D41" s="108"/>
      <c r="E41" s="869"/>
      <c r="F41" s="168"/>
      <c r="K41" s="142"/>
      <c r="L41" s="142"/>
      <c r="M41" s="142"/>
      <c r="N41" s="142"/>
      <c r="O41" s="142"/>
      <c r="P41" s="142"/>
      <c r="Q41" s="142"/>
      <c r="R41" s="142"/>
      <c r="S41" s="142"/>
      <c r="T41" s="142"/>
      <c r="U41" s="142"/>
      <c r="V41" s="142"/>
      <c r="W41" s="142"/>
      <c r="X41" s="142"/>
      <c r="Y41" s="142"/>
      <c r="Z41" s="142"/>
      <c r="AA41" s="142"/>
      <c r="AB41" s="142"/>
      <c r="AC41" s="142"/>
      <c r="AD41" s="142"/>
      <c r="AE41" s="142"/>
      <c r="AF41" s="142"/>
      <c r="AG41" s="142"/>
      <c r="AH41" s="142"/>
      <c r="AI41" s="142"/>
      <c r="AJ41" s="142"/>
      <c r="AK41" s="142"/>
      <c r="AL41" s="142"/>
      <c r="AM41" s="142"/>
      <c r="AN41" s="142"/>
      <c r="AO41" s="142"/>
      <c r="AP41" s="142"/>
      <c r="AQ41" s="142"/>
      <c r="AR41" s="142"/>
      <c r="AS41" s="142"/>
      <c r="AT41" s="142"/>
      <c r="AU41" s="142"/>
      <c r="AV41" s="142"/>
      <c r="AW41" s="142"/>
      <c r="AX41" s="142"/>
      <c r="AY41" s="142"/>
      <c r="AZ41" s="142"/>
      <c r="BA41" s="142"/>
      <c r="BB41" s="142"/>
    </row>
    <row r="42" spans="1:54">
      <c r="A42" s="160" t="s">
        <v>238</v>
      </c>
      <c r="C42" s="108" t="s">
        <v>240</v>
      </c>
      <c r="D42" s="108"/>
      <c r="E42" s="868" t="s">
        <v>809</v>
      </c>
      <c r="F42" s="154"/>
      <c r="G42" s="155">
        <f>DEO!J180</f>
        <v>32147266</v>
      </c>
      <c r="I42" s="112"/>
      <c r="K42" s="142"/>
      <c r="L42" s="142"/>
      <c r="M42" s="142"/>
      <c r="N42" s="142"/>
      <c r="O42" s="142"/>
      <c r="P42" s="142"/>
      <c r="Q42" s="142"/>
      <c r="R42" s="142"/>
      <c r="S42" s="142"/>
      <c r="T42" s="142"/>
      <c r="U42" s="142"/>
      <c r="V42" s="142"/>
      <c r="W42" s="142"/>
      <c r="X42" s="142"/>
      <c r="Y42" s="142"/>
      <c r="Z42" s="142"/>
      <c r="AA42" s="142"/>
      <c r="AB42" s="142"/>
      <c r="AC42" s="142"/>
      <c r="AD42" s="142"/>
      <c r="AE42" s="142"/>
      <c r="AF42" s="142"/>
      <c r="AG42" s="142"/>
      <c r="AH42" s="142"/>
      <c r="AI42" s="142"/>
      <c r="AJ42" s="142"/>
      <c r="AK42" s="142"/>
      <c r="AL42" s="142"/>
      <c r="AM42" s="142"/>
      <c r="AN42" s="142"/>
      <c r="AO42" s="142"/>
      <c r="AP42" s="142"/>
      <c r="AQ42" s="142"/>
      <c r="AR42" s="142"/>
      <c r="AS42" s="142"/>
      <c r="AT42" s="142"/>
      <c r="AU42" s="142"/>
      <c r="AV42" s="142"/>
      <c r="AW42" s="142"/>
      <c r="AX42" s="142"/>
      <c r="AY42" s="142"/>
      <c r="AZ42" s="142"/>
      <c r="BA42" s="142"/>
      <c r="BB42" s="142"/>
    </row>
    <row r="43" spans="1:54">
      <c r="A43" s="160" t="s">
        <v>323</v>
      </c>
      <c r="B43" s="167"/>
      <c r="C43" s="112" t="s">
        <v>277</v>
      </c>
      <c r="D43" s="112"/>
      <c r="E43" s="868" t="s">
        <v>799</v>
      </c>
      <c r="F43" s="154"/>
      <c r="G43" s="169">
        <f>IF(G42=0,0,G42/G21)</f>
        <v>6.6807312695744928E-2</v>
      </c>
      <c r="I43" s="157">
        <f>G43</f>
        <v>6.6807312695744928E-2</v>
      </c>
      <c r="K43" s="142"/>
      <c r="L43" s="142"/>
      <c r="M43" s="142"/>
      <c r="N43" s="142"/>
      <c r="O43" s="142"/>
      <c r="P43" s="142"/>
      <c r="Q43" s="142"/>
      <c r="R43" s="142"/>
      <c r="S43" s="142"/>
      <c r="T43" s="142"/>
      <c r="U43" s="142"/>
      <c r="V43" s="142"/>
      <c r="W43" s="142"/>
      <c r="X43" s="142"/>
      <c r="Y43" s="142"/>
      <c r="Z43" s="142"/>
      <c r="AA43" s="142"/>
      <c r="AB43" s="142"/>
      <c r="AC43" s="142"/>
      <c r="AD43" s="142"/>
      <c r="AE43" s="142"/>
      <c r="AF43" s="142"/>
      <c r="AG43" s="142"/>
      <c r="AH43" s="142"/>
      <c r="AI43" s="142"/>
      <c r="AJ43" s="142"/>
      <c r="AK43" s="142"/>
      <c r="AL43" s="142"/>
      <c r="AM43" s="142"/>
      <c r="AN43" s="142"/>
      <c r="AO43" s="142"/>
      <c r="AP43" s="142"/>
      <c r="AQ43" s="142"/>
      <c r="AR43" s="142"/>
      <c r="AS43" s="142"/>
      <c r="AT43" s="142"/>
      <c r="AU43" s="142"/>
      <c r="AV43" s="142"/>
      <c r="AW43" s="142"/>
      <c r="AX43" s="142"/>
      <c r="AY43" s="142"/>
      <c r="AZ43" s="142"/>
      <c r="BA43" s="142"/>
      <c r="BB43" s="142"/>
    </row>
    <row r="44" spans="1:54">
      <c r="A44" s="160"/>
      <c r="C44" s="108"/>
      <c r="D44" s="108"/>
      <c r="E44" s="868"/>
      <c r="F44" s="154"/>
      <c r="G44" s="112"/>
      <c r="I44" s="112"/>
      <c r="K44" s="142"/>
      <c r="L44" s="142"/>
      <c r="M44" s="142"/>
      <c r="N44" s="142"/>
      <c r="O44" s="142"/>
      <c r="P44" s="142"/>
      <c r="Q44" s="142"/>
      <c r="R44" s="142"/>
      <c r="S44" s="142"/>
      <c r="T44" s="142"/>
      <c r="U44" s="142"/>
      <c r="V44" s="142"/>
      <c r="W44" s="142"/>
      <c r="X44" s="142"/>
      <c r="Y44" s="142"/>
      <c r="Z44" s="142"/>
      <c r="AA44" s="142"/>
      <c r="AB44" s="142"/>
      <c r="AC44" s="142"/>
      <c r="AD44" s="142"/>
      <c r="AE44" s="142"/>
      <c r="AF44" s="142"/>
      <c r="AG44" s="142"/>
      <c r="AH44" s="142"/>
      <c r="AI44" s="142"/>
      <c r="AJ44" s="142"/>
      <c r="AK44" s="142"/>
      <c r="AL44" s="142"/>
      <c r="AM44" s="142"/>
      <c r="AN44" s="142"/>
      <c r="AO44" s="142"/>
      <c r="AP44" s="142"/>
      <c r="AQ44" s="142"/>
      <c r="AR44" s="142"/>
      <c r="AS44" s="142"/>
      <c r="AT44" s="142"/>
      <c r="AU44" s="142"/>
      <c r="AV44" s="142"/>
      <c r="AW44" s="142"/>
      <c r="AX44" s="142"/>
      <c r="AY44" s="142"/>
      <c r="AZ44" s="142"/>
      <c r="BA44" s="142"/>
      <c r="BB44" s="142"/>
    </row>
    <row r="45" spans="1:54" ht="15.75">
      <c r="A45" s="162" t="s">
        <v>324</v>
      </c>
      <c r="B45" s="163"/>
      <c r="C45" s="151" t="s">
        <v>278</v>
      </c>
      <c r="D45" s="151"/>
      <c r="E45" s="867" t="s">
        <v>419</v>
      </c>
      <c r="F45" s="148"/>
      <c r="G45" s="164"/>
      <c r="I45" s="165">
        <f>I39+I43</f>
        <v>8.9905389494421978E-2</v>
      </c>
      <c r="K45" s="142"/>
      <c r="L45" s="142"/>
      <c r="M45" s="142"/>
      <c r="N45" s="142"/>
      <c r="O45" s="142"/>
      <c r="P45" s="142"/>
      <c r="Q45" s="142"/>
      <c r="R45" s="142"/>
      <c r="S45" s="142"/>
      <c r="T45" s="142"/>
      <c r="U45" s="142"/>
      <c r="V45" s="142"/>
      <c r="W45" s="142"/>
      <c r="X45" s="142"/>
      <c r="Y45" s="142"/>
      <c r="Z45" s="142"/>
      <c r="AA45" s="142"/>
      <c r="AB45" s="142"/>
      <c r="AC45" s="142"/>
      <c r="AD45" s="142"/>
      <c r="AE45" s="142"/>
      <c r="AF45" s="142"/>
      <c r="AG45" s="142"/>
      <c r="AH45" s="142"/>
      <c r="AI45" s="142"/>
      <c r="AJ45" s="142"/>
      <c r="AK45" s="142"/>
      <c r="AL45" s="142"/>
      <c r="AM45" s="142"/>
      <c r="AN45" s="142"/>
      <c r="AO45" s="142"/>
      <c r="AP45" s="142"/>
      <c r="AQ45" s="142"/>
      <c r="AR45" s="142"/>
      <c r="AS45" s="142"/>
      <c r="AT45" s="142"/>
      <c r="AU45" s="142"/>
      <c r="AV45" s="142"/>
      <c r="AW45" s="142"/>
      <c r="AX45" s="142"/>
      <c r="AY45" s="142"/>
      <c r="AZ45" s="142"/>
      <c r="BA45" s="142"/>
      <c r="BB45" s="142"/>
    </row>
    <row r="46" spans="1:54">
      <c r="K46" s="142"/>
      <c r="L46" s="142"/>
      <c r="M46" s="142"/>
      <c r="N46" s="142"/>
      <c r="O46" s="142"/>
      <c r="P46" s="142"/>
      <c r="Q46" s="142"/>
      <c r="R46" s="142"/>
      <c r="S46" s="142"/>
      <c r="T46" s="142"/>
      <c r="U46" s="142"/>
      <c r="V46" s="142"/>
      <c r="W46" s="142"/>
      <c r="X46" s="142"/>
      <c r="Y46" s="142"/>
      <c r="Z46" s="142"/>
      <c r="AA46" s="142"/>
      <c r="AB46" s="142"/>
      <c r="AC46" s="142"/>
      <c r="AD46" s="142"/>
      <c r="AE46" s="142"/>
      <c r="AF46" s="142"/>
      <c r="AG46" s="142"/>
      <c r="AH46" s="142"/>
      <c r="AI46" s="142"/>
      <c r="AJ46" s="142"/>
      <c r="AK46" s="142"/>
      <c r="AL46" s="142"/>
      <c r="AM46" s="142"/>
      <c r="AN46" s="142"/>
      <c r="AO46" s="142"/>
      <c r="AP46" s="142"/>
      <c r="AQ46" s="142"/>
      <c r="AR46" s="142"/>
      <c r="AS46" s="142"/>
      <c r="AT46" s="142"/>
      <c r="AU46" s="142"/>
      <c r="AV46" s="142"/>
      <c r="AW46" s="142"/>
      <c r="AX46" s="142"/>
      <c r="AY46" s="142"/>
      <c r="AZ46" s="142"/>
      <c r="BA46" s="142"/>
      <c r="BB46" s="142"/>
    </row>
    <row r="47" spans="1:54">
      <c r="A47" s="172"/>
      <c r="B47" s="142"/>
      <c r="C47" s="166"/>
      <c r="D47" s="166"/>
      <c r="E47" s="114"/>
      <c r="F47" s="114"/>
      <c r="G47" s="112"/>
      <c r="H47" s="107"/>
      <c r="I47" s="107"/>
      <c r="J47" s="156"/>
      <c r="K47" s="142"/>
      <c r="L47" s="142"/>
      <c r="M47" s="142"/>
      <c r="N47" s="142"/>
      <c r="O47" s="142"/>
      <c r="P47" s="142"/>
      <c r="Q47" s="142"/>
      <c r="R47" s="142"/>
      <c r="S47" s="142"/>
      <c r="T47" s="142"/>
      <c r="U47" s="142"/>
      <c r="V47" s="142"/>
      <c r="W47" s="142"/>
      <c r="X47" s="142"/>
      <c r="Y47" s="142"/>
      <c r="Z47" s="142"/>
      <c r="AA47" s="142"/>
      <c r="AB47" s="142"/>
      <c r="AC47" s="142"/>
      <c r="AD47" s="142"/>
      <c r="AE47" s="142"/>
      <c r="AF47" s="142"/>
      <c r="AG47" s="142"/>
      <c r="AH47" s="142"/>
      <c r="AI47" s="142"/>
      <c r="AJ47" s="142"/>
      <c r="AK47" s="142"/>
      <c r="AL47" s="142"/>
      <c r="AM47" s="142"/>
      <c r="AN47" s="142"/>
      <c r="AO47" s="142"/>
      <c r="AP47" s="142"/>
      <c r="AQ47" s="142"/>
      <c r="AR47" s="142"/>
      <c r="AS47" s="142"/>
      <c r="AT47" s="142"/>
      <c r="AU47" s="142"/>
      <c r="AV47" s="142"/>
      <c r="AW47" s="142"/>
      <c r="AX47" s="142"/>
      <c r="AY47" s="142"/>
      <c r="AZ47" s="142"/>
      <c r="BA47" s="142"/>
      <c r="BB47" s="142"/>
    </row>
    <row r="48" spans="1:54">
      <c r="A48" s="143"/>
      <c r="C48" s="107"/>
      <c r="D48" s="107"/>
      <c r="E48" s="107"/>
      <c r="F48" s="107"/>
      <c r="G48" s="112"/>
      <c r="H48" s="107"/>
      <c r="I48" s="107"/>
      <c r="J48" s="107"/>
      <c r="K48" s="142"/>
      <c r="L48" s="142"/>
      <c r="M48" s="142"/>
      <c r="N48" s="142"/>
      <c r="O48" s="142"/>
      <c r="P48" s="142"/>
      <c r="Q48" s="142"/>
      <c r="R48" s="142"/>
      <c r="S48" s="142"/>
      <c r="T48" s="142"/>
      <c r="U48" s="142"/>
      <c r="V48" s="142"/>
      <c r="W48" s="142"/>
      <c r="X48" s="142"/>
      <c r="Y48" s="142"/>
      <c r="Z48" s="142"/>
      <c r="AA48" s="142"/>
      <c r="AB48" s="142"/>
      <c r="AC48" s="142"/>
      <c r="AD48" s="142"/>
      <c r="AE48" s="142"/>
      <c r="AF48" s="142"/>
      <c r="AG48" s="142"/>
      <c r="AH48" s="142"/>
      <c r="AI48" s="142"/>
      <c r="AJ48" s="142"/>
      <c r="AK48" s="142"/>
      <c r="AL48" s="142"/>
      <c r="AM48" s="142"/>
      <c r="AN48" s="142"/>
      <c r="AO48" s="142"/>
      <c r="AP48" s="142"/>
      <c r="AQ48" s="142"/>
      <c r="AR48" s="142"/>
      <c r="AS48" s="142"/>
      <c r="AT48" s="142"/>
      <c r="AU48" s="142"/>
      <c r="AV48" s="142"/>
      <c r="AW48" s="142"/>
      <c r="AX48" s="142"/>
      <c r="AY48" s="142"/>
      <c r="AZ48" s="142"/>
      <c r="BA48" s="142"/>
      <c r="BB48" s="142"/>
    </row>
    <row r="49" spans="11:54">
      <c r="X49" s="77" t="s">
        <v>369</v>
      </c>
    </row>
    <row r="50" spans="11:54">
      <c r="X50" s="77" t="s">
        <v>366</v>
      </c>
    </row>
    <row r="51" spans="11:54">
      <c r="X51" s="173" t="s">
        <v>241</v>
      </c>
    </row>
    <row r="52" spans="11:54">
      <c r="K52" s="143"/>
      <c r="M52" s="107"/>
      <c r="N52" s="107"/>
      <c r="O52" s="107"/>
      <c r="P52" s="107"/>
      <c r="Q52" s="112"/>
      <c r="R52" s="107"/>
      <c r="S52" s="107"/>
      <c r="T52" s="107"/>
      <c r="U52" s="107"/>
      <c r="W52" s="112"/>
      <c r="X52" s="173" t="str">
        <f>I4</f>
        <v>For the 12 months ended: 12/31/2015</v>
      </c>
      <c r="Y52" s="146"/>
      <c r="Z52" s="140"/>
      <c r="AA52" s="146"/>
      <c r="AB52" s="147"/>
      <c r="AC52" s="142"/>
      <c r="AD52" s="142"/>
      <c r="AE52" s="142"/>
      <c r="AF52" s="142"/>
      <c r="AG52" s="142"/>
      <c r="AH52" s="142"/>
      <c r="AI52" s="142"/>
      <c r="AJ52" s="142"/>
      <c r="AK52" s="142"/>
      <c r="AL52" s="142"/>
      <c r="AM52" s="142"/>
      <c r="AN52" s="142"/>
      <c r="AO52" s="142"/>
      <c r="AP52" s="142"/>
      <c r="AQ52" s="142"/>
      <c r="AR52" s="142"/>
      <c r="AS52" s="142"/>
      <c r="AT52" s="142"/>
      <c r="AU52" s="142"/>
      <c r="AV52" s="142"/>
      <c r="AW52" s="142"/>
      <c r="AX52" s="142"/>
      <c r="AY52" s="142"/>
      <c r="AZ52" s="142"/>
      <c r="BA52" s="142"/>
      <c r="BB52" s="142"/>
    </row>
    <row r="53" spans="11:54">
      <c r="K53" s="143"/>
      <c r="M53" s="108"/>
      <c r="N53" s="107"/>
      <c r="O53" s="107"/>
      <c r="P53" s="107"/>
      <c r="Q53" s="112"/>
      <c r="R53" s="107"/>
      <c r="S53" s="107"/>
      <c r="T53" s="107"/>
      <c r="U53" s="107"/>
      <c r="W53" s="112"/>
      <c r="Y53" s="146"/>
      <c r="Z53" s="140"/>
      <c r="AA53" s="146"/>
      <c r="AB53" s="147"/>
      <c r="AC53" s="142"/>
      <c r="AD53" s="142"/>
      <c r="AE53" s="142"/>
      <c r="AF53" s="142"/>
      <c r="AG53" s="142"/>
      <c r="AH53" s="142"/>
      <c r="AI53" s="142"/>
      <c r="AJ53" s="142"/>
      <c r="AK53" s="142"/>
      <c r="AL53" s="142"/>
      <c r="AM53" s="142"/>
      <c r="AN53" s="142"/>
      <c r="AO53" s="142"/>
      <c r="AP53" s="142"/>
      <c r="AQ53" s="142"/>
      <c r="AR53" s="142"/>
      <c r="AS53" s="142"/>
      <c r="AT53" s="142"/>
      <c r="AU53" s="142"/>
      <c r="AV53" s="142"/>
      <c r="AW53" s="142"/>
      <c r="AX53" s="142"/>
      <c r="AY53" s="142"/>
      <c r="AZ53" s="142"/>
      <c r="BA53" s="142"/>
      <c r="BB53" s="142"/>
    </row>
    <row r="54" spans="11:54">
      <c r="K54" s="224" t="str">
        <f>A6</f>
        <v>Rate Formula Template</v>
      </c>
      <c r="L54" s="283"/>
      <c r="M54" s="283"/>
      <c r="N54" s="223"/>
      <c r="O54" s="224"/>
      <c r="P54" s="224"/>
      <c r="Q54" s="283"/>
      <c r="R54" s="224"/>
      <c r="S54" s="224"/>
      <c r="T54" s="224"/>
      <c r="U54" s="224"/>
      <c r="V54" s="283"/>
      <c r="W54" s="222"/>
      <c r="X54" s="283"/>
      <c r="Y54" s="146"/>
      <c r="Z54" s="140"/>
      <c r="AA54" s="146"/>
      <c r="AB54" s="147"/>
      <c r="AC54" s="142"/>
      <c r="AD54" s="142"/>
      <c r="AE54" s="142"/>
      <c r="AF54" s="142"/>
      <c r="AG54" s="142"/>
      <c r="AH54" s="142"/>
      <c r="AI54" s="142"/>
      <c r="AJ54" s="142"/>
      <c r="AK54" s="142"/>
      <c r="AL54" s="142"/>
      <c r="AM54" s="142"/>
      <c r="AN54" s="142"/>
      <c r="AO54" s="142"/>
      <c r="AP54" s="142"/>
      <c r="AQ54" s="142"/>
      <c r="AR54" s="142"/>
      <c r="AS54" s="142"/>
      <c r="AT54" s="142"/>
      <c r="AU54" s="142"/>
      <c r="AV54" s="142"/>
      <c r="AW54" s="142"/>
      <c r="AX54" s="142"/>
      <c r="AY54" s="142"/>
      <c r="AZ54" s="142"/>
      <c r="BA54" s="142"/>
      <c r="BB54" s="142"/>
    </row>
    <row r="55" spans="11:54">
      <c r="K55" s="224" t="str">
        <f>A7</f>
        <v>Utilizing Attachment H-22A Data</v>
      </c>
      <c r="L55" s="283"/>
      <c r="M55" s="223"/>
      <c r="N55" s="223"/>
      <c r="O55" s="224"/>
      <c r="P55" s="224"/>
      <c r="Q55" s="283"/>
      <c r="R55" s="224"/>
      <c r="S55" s="224"/>
      <c r="T55" s="224"/>
      <c r="U55" s="224"/>
      <c r="V55" s="222"/>
      <c r="W55" s="222"/>
      <c r="X55" s="283"/>
      <c r="Y55" s="146"/>
      <c r="Z55" s="140"/>
      <c r="AA55" s="146"/>
      <c r="AB55" s="147"/>
      <c r="AC55" s="142"/>
      <c r="AD55" s="142"/>
      <c r="AE55" s="142"/>
      <c r="AF55" s="142"/>
      <c r="AG55" s="142"/>
      <c r="AH55" s="142"/>
      <c r="AI55" s="142"/>
      <c r="AJ55" s="142"/>
      <c r="AK55" s="142"/>
      <c r="AL55" s="142"/>
      <c r="AM55" s="142"/>
      <c r="AN55" s="142"/>
      <c r="AO55" s="142"/>
      <c r="AP55" s="142"/>
      <c r="AQ55" s="142"/>
      <c r="AR55" s="142"/>
      <c r="AS55" s="142"/>
      <c r="AT55" s="142"/>
      <c r="AU55" s="142"/>
      <c r="AV55" s="142"/>
      <c r="AW55" s="142"/>
      <c r="AX55" s="142"/>
      <c r="AY55" s="142"/>
      <c r="AZ55" s="142"/>
      <c r="BA55" s="142"/>
      <c r="BB55" s="142"/>
    </row>
    <row r="56" spans="11:54" ht="14.25" customHeight="1">
      <c r="K56" s="282"/>
      <c r="M56" s="107"/>
      <c r="N56" s="107"/>
      <c r="O56" s="107"/>
      <c r="P56" s="107"/>
      <c r="R56" s="224"/>
      <c r="S56" s="107"/>
      <c r="T56" s="107"/>
      <c r="U56" s="107"/>
      <c r="W56" s="112"/>
      <c r="X56" s="107"/>
      <c r="Y56" s="146"/>
      <c r="Z56" s="140"/>
      <c r="AA56" s="146"/>
      <c r="AB56" s="147"/>
      <c r="AC56" s="142"/>
      <c r="AD56" s="142"/>
      <c r="AE56" s="142"/>
      <c r="AF56" s="142"/>
      <c r="AG56" s="142"/>
      <c r="AH56" s="142"/>
      <c r="AI56" s="142"/>
      <c r="AJ56" s="142"/>
      <c r="AK56" s="142"/>
      <c r="AL56" s="142"/>
      <c r="AM56" s="142"/>
      <c r="AN56" s="142"/>
      <c r="AO56" s="142"/>
      <c r="AP56" s="142"/>
      <c r="AQ56" s="142"/>
      <c r="AR56" s="142"/>
      <c r="AS56" s="142"/>
      <c r="AT56" s="142"/>
      <c r="AU56" s="142"/>
      <c r="AV56" s="142"/>
      <c r="AW56" s="142"/>
      <c r="AX56" s="142"/>
      <c r="AY56" s="142"/>
      <c r="AZ56" s="142"/>
      <c r="BA56" s="142"/>
      <c r="BB56" s="142"/>
    </row>
    <row r="57" spans="11:54">
      <c r="K57" s="224" t="str">
        <f>A9</f>
        <v>Duke Energy Ohio</v>
      </c>
      <c r="L57" s="283"/>
      <c r="M57" s="283"/>
      <c r="N57" s="283"/>
      <c r="O57" s="224"/>
      <c r="P57" s="224"/>
      <c r="Q57" s="283"/>
      <c r="R57" s="224"/>
      <c r="S57" s="224"/>
      <c r="T57" s="224"/>
      <c r="U57" s="224"/>
      <c r="V57" s="224"/>
      <c r="W57" s="222"/>
      <c r="X57" s="222"/>
      <c r="Y57" s="146"/>
      <c r="Z57" s="140"/>
      <c r="AA57" s="146"/>
      <c r="AB57" s="147"/>
      <c r="AC57" s="142"/>
      <c r="AD57" s="142"/>
      <c r="AE57" s="142"/>
      <c r="AF57" s="142"/>
      <c r="AG57" s="142"/>
      <c r="AH57" s="142"/>
      <c r="AI57" s="142"/>
      <c r="AJ57" s="142"/>
      <c r="AK57" s="142"/>
      <c r="AL57" s="142"/>
      <c r="AM57" s="142"/>
      <c r="AN57" s="142"/>
      <c r="AO57" s="142"/>
      <c r="AP57" s="142"/>
      <c r="AQ57" s="142"/>
      <c r="AR57" s="142"/>
      <c r="AS57" s="142"/>
      <c r="AT57" s="142"/>
      <c r="AU57" s="142"/>
      <c r="AV57" s="142"/>
      <c r="AW57" s="142"/>
      <c r="AX57" s="142"/>
      <c r="AY57" s="142"/>
      <c r="AZ57" s="142"/>
      <c r="BA57" s="142"/>
      <c r="BB57" s="142"/>
    </row>
    <row r="58" spans="11:54">
      <c r="K58" s="224" t="str">
        <f>A10</f>
        <v>Legacy MTEP Credit</v>
      </c>
      <c r="L58" s="283"/>
      <c r="M58" s="283"/>
      <c r="N58" s="283"/>
      <c r="O58" s="223"/>
      <c r="P58" s="223"/>
      <c r="Q58" s="223"/>
      <c r="R58" s="223"/>
      <c r="S58" s="223"/>
      <c r="T58" s="223"/>
      <c r="U58" s="223"/>
      <c r="V58" s="223"/>
      <c r="W58" s="223"/>
      <c r="X58" s="223"/>
      <c r="Y58" s="146"/>
      <c r="Z58" s="140"/>
      <c r="AA58" s="146"/>
      <c r="AB58" s="147"/>
      <c r="AC58" s="142"/>
      <c r="AD58" s="142"/>
      <c r="AE58" s="142"/>
      <c r="AF58" s="142"/>
      <c r="AG58" s="142"/>
      <c r="AH58" s="142"/>
      <c r="AI58" s="142"/>
      <c r="AJ58" s="142"/>
      <c r="AK58" s="142"/>
      <c r="AL58" s="142"/>
      <c r="AM58" s="142"/>
      <c r="AN58" s="142"/>
      <c r="AO58" s="142"/>
      <c r="AP58" s="142"/>
      <c r="AQ58" s="142"/>
      <c r="AR58" s="142"/>
      <c r="AS58" s="142"/>
      <c r="AT58" s="142"/>
      <c r="AU58" s="142"/>
      <c r="AV58" s="142"/>
      <c r="AW58" s="142"/>
      <c r="AX58" s="142"/>
      <c r="AY58" s="142"/>
      <c r="AZ58" s="142"/>
      <c r="BA58" s="142"/>
      <c r="BB58" s="142"/>
    </row>
    <row r="59" spans="11:54">
      <c r="K59" s="143"/>
      <c r="O59" s="108"/>
      <c r="P59" s="108"/>
      <c r="Q59" s="108"/>
      <c r="R59" s="108"/>
      <c r="S59" s="108"/>
      <c r="T59" s="108"/>
      <c r="U59" s="108"/>
      <c r="V59" s="108"/>
      <c r="W59" s="108"/>
      <c r="X59" s="108"/>
      <c r="Y59" s="146"/>
      <c r="Z59" s="140"/>
      <c r="AA59" s="146"/>
      <c r="AB59" s="147"/>
      <c r="AC59" s="142"/>
      <c r="AD59" s="142"/>
      <c r="AE59" s="142"/>
      <c r="AF59" s="142"/>
      <c r="AG59" s="142"/>
      <c r="AH59" s="142"/>
      <c r="AI59" s="142"/>
      <c r="AJ59" s="142"/>
      <c r="AK59" s="142"/>
      <c r="AL59" s="142"/>
      <c r="AM59" s="142"/>
      <c r="AN59" s="142"/>
      <c r="AO59" s="142"/>
      <c r="AP59" s="142"/>
      <c r="AQ59" s="142"/>
      <c r="AR59" s="142"/>
      <c r="AS59" s="142"/>
      <c r="AT59" s="142"/>
      <c r="AU59" s="142"/>
      <c r="AV59" s="142"/>
      <c r="AW59" s="142"/>
      <c r="AX59" s="142"/>
      <c r="AY59" s="142"/>
      <c r="AZ59" s="142"/>
      <c r="BA59" s="142"/>
      <c r="BB59" s="142"/>
    </row>
    <row r="60" spans="11:54" ht="15.75">
      <c r="K60" s="284" t="s">
        <v>333</v>
      </c>
      <c r="L60" s="283"/>
      <c r="M60" s="224"/>
      <c r="N60" s="224"/>
      <c r="O60" s="283"/>
      <c r="P60" s="284"/>
      <c r="Q60" s="283"/>
      <c r="R60" s="223"/>
      <c r="S60" s="223"/>
      <c r="T60" s="223"/>
      <c r="U60" s="223"/>
      <c r="V60" s="223"/>
      <c r="W60" s="222"/>
      <c r="X60" s="222"/>
      <c r="Y60" s="146"/>
      <c r="Z60" s="140"/>
      <c r="AA60" s="146"/>
      <c r="AB60" s="147"/>
      <c r="AC60" s="142"/>
      <c r="AD60" s="142"/>
      <c r="AE60" s="142"/>
      <c r="AF60" s="142"/>
      <c r="AG60" s="142"/>
      <c r="AH60" s="142"/>
      <c r="AI60" s="142"/>
      <c r="AJ60" s="142"/>
      <c r="AK60" s="142"/>
      <c r="AL60" s="142"/>
      <c r="AM60" s="142"/>
      <c r="AN60" s="142"/>
      <c r="AO60" s="142"/>
      <c r="AP60" s="142"/>
      <c r="AQ60" s="142"/>
      <c r="AR60" s="142"/>
      <c r="AS60" s="142"/>
      <c r="AT60" s="142"/>
      <c r="AU60" s="142"/>
      <c r="AV60" s="142"/>
      <c r="AW60" s="142"/>
      <c r="AX60" s="142"/>
      <c r="AY60" s="142"/>
      <c r="AZ60" s="142"/>
      <c r="BA60" s="142"/>
      <c r="BB60" s="142"/>
    </row>
    <row r="61" spans="11:54" ht="15.75">
      <c r="K61" s="143"/>
      <c r="M61" s="107"/>
      <c r="N61" s="107"/>
      <c r="O61" s="151"/>
      <c r="P61" s="151"/>
      <c r="R61" s="111"/>
      <c r="S61" s="111"/>
      <c r="T61" s="111"/>
      <c r="U61" s="111"/>
      <c r="V61" s="111"/>
      <c r="W61" s="112"/>
      <c r="X61" s="112"/>
      <c r="Y61" s="146"/>
      <c r="Z61" s="140"/>
      <c r="AA61" s="146"/>
      <c r="AB61" s="147"/>
      <c r="AC61" s="142"/>
      <c r="AD61" s="142"/>
      <c r="AE61" s="142"/>
      <c r="AF61" s="142"/>
      <c r="AG61" s="142"/>
      <c r="AH61" s="142"/>
      <c r="AI61" s="142"/>
      <c r="AJ61" s="142"/>
      <c r="AK61" s="142"/>
      <c r="AL61" s="142"/>
      <c r="AM61" s="142"/>
      <c r="AN61" s="142"/>
      <c r="AO61" s="142"/>
      <c r="AP61" s="142"/>
      <c r="AQ61" s="142"/>
      <c r="AR61" s="142"/>
      <c r="AS61" s="142"/>
      <c r="AT61" s="142"/>
      <c r="AU61" s="142"/>
      <c r="AV61" s="142"/>
      <c r="AW61" s="142"/>
      <c r="AX61" s="142"/>
      <c r="AY61" s="142"/>
      <c r="AZ61" s="142"/>
      <c r="BA61" s="142"/>
      <c r="BB61" s="142"/>
    </row>
    <row r="62" spans="11:54" ht="15.75">
      <c r="K62" s="143"/>
      <c r="M62" s="174">
        <v>-1</v>
      </c>
      <c r="N62" s="174">
        <v>-2</v>
      </c>
      <c r="O62" s="174">
        <v>-3</v>
      </c>
      <c r="P62" s="174">
        <v>-4</v>
      </c>
      <c r="Q62" s="174">
        <v>-5</v>
      </c>
      <c r="R62" s="174">
        <v>-6</v>
      </c>
      <c r="S62" s="174">
        <v>-7</v>
      </c>
      <c r="T62" s="174">
        <v>-8</v>
      </c>
      <c r="U62" s="174">
        <v>-9</v>
      </c>
      <c r="V62" s="174">
        <v>-10</v>
      </c>
      <c r="W62" s="174">
        <v>-11</v>
      </c>
      <c r="X62" s="174">
        <v>-12</v>
      </c>
      <c r="Y62" s="146"/>
      <c r="Z62" s="140"/>
      <c r="AA62" s="146"/>
      <c r="AB62" s="147"/>
      <c r="AC62" s="142"/>
      <c r="AD62" s="142"/>
      <c r="AE62" s="142"/>
      <c r="AF62" s="142"/>
      <c r="AG62" s="142"/>
      <c r="AH62" s="142"/>
      <c r="AI62" s="142"/>
      <c r="AJ62" s="142"/>
      <c r="AK62" s="142"/>
      <c r="AL62" s="142"/>
      <c r="AM62" s="142"/>
      <c r="AN62" s="142"/>
      <c r="AO62" s="142"/>
      <c r="AP62" s="142"/>
      <c r="AQ62" s="142"/>
      <c r="AR62" s="142"/>
      <c r="AS62" s="142"/>
      <c r="AT62" s="142"/>
      <c r="AU62" s="142"/>
      <c r="AV62" s="142"/>
      <c r="AW62" s="142"/>
      <c r="AX62" s="142"/>
      <c r="AY62" s="142"/>
      <c r="AZ62" s="142"/>
      <c r="BA62" s="142"/>
      <c r="BB62" s="142"/>
    </row>
    <row r="63" spans="11:54" ht="63">
      <c r="K63" s="175" t="s">
        <v>279</v>
      </c>
      <c r="L63" s="176"/>
      <c r="M63" s="176" t="s">
        <v>249</v>
      </c>
      <c r="N63" s="177" t="s">
        <v>280</v>
      </c>
      <c r="O63" s="178" t="s">
        <v>281</v>
      </c>
      <c r="P63" s="178" t="s">
        <v>274</v>
      </c>
      <c r="Q63" s="179" t="s">
        <v>282</v>
      </c>
      <c r="R63" s="178" t="s">
        <v>283</v>
      </c>
      <c r="S63" s="178" t="s">
        <v>278</v>
      </c>
      <c r="T63" s="179" t="s">
        <v>284</v>
      </c>
      <c r="U63" s="178" t="s">
        <v>285</v>
      </c>
      <c r="V63" s="180" t="s">
        <v>286</v>
      </c>
      <c r="W63" s="181" t="s">
        <v>287</v>
      </c>
      <c r="X63" s="180" t="s">
        <v>288</v>
      </c>
      <c r="Y63" s="159"/>
      <c r="Z63" s="140"/>
      <c r="AA63" s="146"/>
      <c r="AB63" s="147"/>
      <c r="AC63" s="142"/>
      <c r="AD63" s="142"/>
      <c r="AE63" s="142"/>
      <c r="AF63" s="142"/>
      <c r="AG63" s="142"/>
      <c r="AH63" s="142"/>
      <c r="AI63" s="142"/>
      <c r="AJ63" s="142"/>
      <c r="AK63" s="142"/>
      <c r="AL63" s="142"/>
      <c r="AM63" s="142"/>
      <c r="AN63" s="142"/>
      <c r="AO63" s="142"/>
      <c r="AP63" s="142"/>
      <c r="AQ63" s="142"/>
      <c r="AR63" s="142"/>
      <c r="AS63" s="142"/>
      <c r="AT63" s="142"/>
      <c r="AU63" s="142"/>
      <c r="AV63" s="142"/>
      <c r="AW63" s="142"/>
      <c r="AX63" s="142"/>
      <c r="AY63" s="142"/>
      <c r="AZ63" s="142"/>
      <c r="BA63" s="142"/>
      <c r="BB63" s="142"/>
    </row>
    <row r="64" spans="11:54" ht="46.5" customHeight="1">
      <c r="K64" s="182"/>
      <c r="L64" s="183"/>
      <c r="M64" s="183"/>
      <c r="N64" s="183"/>
      <c r="O64" s="184" t="s">
        <v>22</v>
      </c>
      <c r="P64" s="870" t="s">
        <v>794</v>
      </c>
      <c r="Q64" s="185" t="s">
        <v>289</v>
      </c>
      <c r="R64" s="870" t="s">
        <v>23</v>
      </c>
      <c r="S64" s="870" t="s">
        <v>795</v>
      </c>
      <c r="T64" s="185" t="s">
        <v>290</v>
      </c>
      <c r="U64" s="870" t="s">
        <v>291</v>
      </c>
      <c r="V64" s="185" t="s">
        <v>292</v>
      </c>
      <c r="W64" s="186" t="s">
        <v>242</v>
      </c>
      <c r="X64" s="187" t="s">
        <v>293</v>
      </c>
      <c r="Y64" s="146"/>
      <c r="Z64" s="140"/>
      <c r="AA64" s="146"/>
      <c r="AB64" s="147"/>
      <c r="AC64" s="142"/>
      <c r="AD64" s="142"/>
      <c r="AE64" s="142"/>
      <c r="AF64" s="142"/>
      <c r="AG64" s="142"/>
      <c r="AH64" s="142"/>
      <c r="AI64" s="142"/>
      <c r="AJ64" s="142"/>
      <c r="AK64" s="142"/>
      <c r="AL64" s="142"/>
      <c r="AM64" s="142"/>
      <c r="AN64" s="142"/>
      <c r="AO64" s="142"/>
      <c r="AP64" s="142"/>
      <c r="AQ64" s="142"/>
      <c r="AR64" s="142"/>
      <c r="AS64" s="142"/>
      <c r="AT64" s="142"/>
      <c r="AU64" s="142"/>
      <c r="AV64" s="142"/>
      <c r="AW64" s="142"/>
      <c r="AX64" s="142"/>
      <c r="AY64" s="142"/>
      <c r="AZ64" s="142"/>
      <c r="BA64" s="142"/>
      <c r="BB64" s="142"/>
    </row>
    <row r="65" spans="11:54">
      <c r="K65" s="188"/>
      <c r="L65" s="111"/>
      <c r="M65" s="111"/>
      <c r="N65" s="111"/>
      <c r="O65" s="111"/>
      <c r="P65" s="111"/>
      <c r="Q65" s="189"/>
      <c r="R65" s="111"/>
      <c r="S65" s="111"/>
      <c r="T65" s="189"/>
      <c r="U65" s="111"/>
      <c r="V65" s="189"/>
      <c r="W65" s="112"/>
      <c r="X65" s="190"/>
      <c r="Y65" s="146"/>
      <c r="Z65" s="140"/>
      <c r="AA65" s="146"/>
      <c r="AB65" s="147"/>
      <c r="AC65" s="142"/>
      <c r="AD65" s="142"/>
      <c r="AE65" s="142"/>
      <c r="AF65" s="142"/>
      <c r="AG65" s="142"/>
      <c r="AH65" s="142"/>
      <c r="AI65" s="142"/>
      <c r="AJ65" s="142"/>
      <c r="AK65" s="142"/>
      <c r="AL65" s="142"/>
      <c r="AM65" s="142"/>
      <c r="AN65" s="142"/>
      <c r="AO65" s="142"/>
      <c r="AP65" s="142"/>
      <c r="AQ65" s="142"/>
      <c r="AR65" s="142"/>
      <c r="AS65" s="142"/>
      <c r="AT65" s="142"/>
      <c r="AU65" s="142"/>
      <c r="AV65" s="142"/>
      <c r="AW65" s="142"/>
      <c r="AX65" s="142"/>
      <c r="AY65" s="142"/>
      <c r="AZ65" s="142"/>
      <c r="BA65" s="142"/>
      <c r="BB65" s="142"/>
    </row>
    <row r="66" spans="11:54">
      <c r="K66" s="191" t="s">
        <v>3</v>
      </c>
      <c r="M66" s="435" t="s">
        <v>308</v>
      </c>
      <c r="N66" s="499">
        <v>91</v>
      </c>
      <c r="O66" s="1028">
        <v>17629793</v>
      </c>
      <c r="P66" s="157">
        <f>$I$35</f>
        <v>7.0178624231726772E-2</v>
      </c>
      <c r="Q66" s="193">
        <f>O66*P66</f>
        <v>1237234.618230127</v>
      </c>
      <c r="R66" s="1028">
        <v>15337887</v>
      </c>
      <c r="S66" s="157">
        <f>$I$45</f>
        <v>8.9905389494421978E-2</v>
      </c>
      <c r="T66" s="193">
        <f>R66*S66</f>
        <v>1378958.7047564315</v>
      </c>
      <c r="U66" s="1029">
        <v>306572</v>
      </c>
      <c r="V66" s="193">
        <f>Q66+T66+U66</f>
        <v>2922765.3229865585</v>
      </c>
      <c r="W66" s="195">
        <v>0</v>
      </c>
      <c r="X66" s="193">
        <f>V66+W66</f>
        <v>2922765.3229865585</v>
      </c>
      <c r="Y66" s="196"/>
      <c r="Z66" s="196"/>
      <c r="AA66" s="196"/>
      <c r="AB66" s="196"/>
    </row>
    <row r="67" spans="11:54">
      <c r="K67" s="191" t="s">
        <v>296</v>
      </c>
      <c r="M67" s="435" t="s">
        <v>297</v>
      </c>
      <c r="N67" s="435" t="s">
        <v>298</v>
      </c>
      <c r="O67" s="249">
        <v>0</v>
      </c>
      <c r="P67" s="157">
        <f>$I$35</f>
        <v>7.0178624231726772E-2</v>
      </c>
      <c r="Q67" s="193">
        <f>O67*P67</f>
        <v>0</v>
      </c>
      <c r="R67" s="192">
        <v>0</v>
      </c>
      <c r="S67" s="157">
        <f>$I$45</f>
        <v>8.9905389494421978E-2</v>
      </c>
      <c r="T67" s="193">
        <f>R67*S67</f>
        <v>0</v>
      </c>
      <c r="U67" s="194">
        <v>0</v>
      </c>
      <c r="V67" s="193">
        <f>Q67+T67+U67</f>
        <v>0</v>
      </c>
      <c r="W67" s="195">
        <v>0</v>
      </c>
      <c r="X67" s="193">
        <f>V67+W67</f>
        <v>0</v>
      </c>
      <c r="Y67" s="196"/>
      <c r="Z67" s="196"/>
      <c r="AA67" s="196"/>
      <c r="AB67" s="196"/>
    </row>
    <row r="68" spans="11:54">
      <c r="K68" s="191" t="s">
        <v>299</v>
      </c>
      <c r="M68" s="435" t="s">
        <v>300</v>
      </c>
      <c r="N68" s="435" t="s">
        <v>301</v>
      </c>
      <c r="O68" s="249">
        <v>0</v>
      </c>
      <c r="P68" s="157">
        <f>$I$35</f>
        <v>7.0178624231726772E-2</v>
      </c>
      <c r="Q68" s="193">
        <f>O68*P68</f>
        <v>0</v>
      </c>
      <c r="R68" s="192">
        <v>0</v>
      </c>
      <c r="S68" s="157">
        <f>$I$45</f>
        <v>8.9905389494421978E-2</v>
      </c>
      <c r="T68" s="193">
        <f>R68*S68</f>
        <v>0</v>
      </c>
      <c r="U68" s="194">
        <v>0</v>
      </c>
      <c r="V68" s="193">
        <f>Q68+T68+U68</f>
        <v>0</v>
      </c>
      <c r="W68" s="192">
        <v>0</v>
      </c>
      <c r="X68" s="193">
        <f>V68+W68</f>
        <v>0</v>
      </c>
      <c r="Y68" s="196"/>
      <c r="Z68" s="196"/>
      <c r="AA68" s="196"/>
      <c r="AB68" s="196"/>
    </row>
    <row r="69" spans="11:54">
      <c r="K69" s="191"/>
      <c r="Q69" s="193"/>
      <c r="T69" s="193"/>
      <c r="V69" s="193"/>
      <c r="X69" s="193"/>
      <c r="Y69" s="196"/>
      <c r="Z69" s="196"/>
      <c r="AA69" s="196"/>
      <c r="AB69" s="196"/>
    </row>
    <row r="70" spans="11:54">
      <c r="K70" s="191"/>
      <c r="Q70" s="193"/>
      <c r="T70" s="193"/>
      <c r="V70" s="193"/>
      <c r="X70" s="193"/>
      <c r="Y70" s="196"/>
      <c r="Z70" s="196"/>
      <c r="AA70" s="196"/>
      <c r="AB70" s="196"/>
    </row>
    <row r="71" spans="11:54">
      <c r="K71" s="191"/>
      <c r="Q71" s="193"/>
      <c r="T71" s="193"/>
      <c r="V71" s="193"/>
      <c r="X71" s="193"/>
      <c r="Y71" s="196"/>
      <c r="Z71" s="196"/>
      <c r="AA71" s="196"/>
      <c r="AB71" s="196"/>
    </row>
    <row r="72" spans="11:54">
      <c r="K72" s="191"/>
      <c r="Q72" s="193"/>
      <c r="T72" s="193"/>
      <c r="V72" s="193"/>
      <c r="X72" s="193"/>
      <c r="Y72" s="196"/>
      <c r="Z72" s="196"/>
      <c r="AA72" s="196"/>
      <c r="AB72" s="196"/>
    </row>
    <row r="73" spans="11:54">
      <c r="K73" s="191"/>
      <c r="Q73" s="193"/>
      <c r="T73" s="193"/>
      <c r="V73" s="193"/>
      <c r="X73" s="193"/>
      <c r="Y73" s="196"/>
      <c r="Z73" s="196"/>
      <c r="AA73" s="196"/>
      <c r="AB73" s="196"/>
    </row>
    <row r="74" spans="11:54">
      <c r="K74" s="191"/>
      <c r="M74" s="196"/>
      <c r="N74" s="196"/>
      <c r="O74" s="196"/>
      <c r="P74" s="196"/>
      <c r="Q74" s="197"/>
      <c r="R74" s="196"/>
      <c r="S74" s="196"/>
      <c r="T74" s="197"/>
      <c r="U74" s="196"/>
      <c r="V74" s="197"/>
      <c r="W74" s="196"/>
      <c r="X74" s="197"/>
      <c r="Y74" s="196"/>
      <c r="Z74" s="196"/>
      <c r="AA74" s="196"/>
      <c r="AB74" s="196"/>
    </row>
    <row r="75" spans="11:54">
      <c r="K75" s="191"/>
      <c r="M75" s="196"/>
      <c r="N75" s="196"/>
      <c r="O75" s="196"/>
      <c r="P75" s="196"/>
      <c r="Q75" s="197"/>
      <c r="R75" s="196"/>
      <c r="S75" s="196"/>
      <c r="T75" s="197"/>
      <c r="U75" s="196"/>
      <c r="V75" s="197"/>
      <c r="W75" s="196"/>
      <c r="X75" s="197"/>
      <c r="Y75" s="196"/>
      <c r="Z75" s="196"/>
      <c r="AA75" s="196"/>
      <c r="AB75" s="196"/>
    </row>
    <row r="76" spans="11:54">
      <c r="K76" s="191"/>
      <c r="M76" s="196"/>
      <c r="N76" s="196"/>
      <c r="O76" s="196"/>
      <c r="P76" s="196"/>
      <c r="Q76" s="197"/>
      <c r="R76" s="196"/>
      <c r="S76" s="196"/>
      <c r="T76" s="197"/>
      <c r="U76" s="196"/>
      <c r="V76" s="197"/>
      <c r="W76" s="196"/>
      <c r="X76" s="197"/>
      <c r="Y76" s="196"/>
      <c r="Z76" s="196"/>
      <c r="AA76" s="196"/>
      <c r="AB76" s="196"/>
    </row>
    <row r="77" spans="11:54">
      <c r="K77" s="191"/>
      <c r="M77" s="196"/>
      <c r="N77" s="196"/>
      <c r="O77" s="196"/>
      <c r="P77" s="196"/>
      <c r="Q77" s="197"/>
      <c r="R77" s="196"/>
      <c r="S77" s="196"/>
      <c r="T77" s="197"/>
      <c r="U77" s="196"/>
      <c r="V77" s="197"/>
      <c r="W77" s="196"/>
      <c r="X77" s="197"/>
      <c r="Y77" s="196"/>
      <c r="Z77" s="196"/>
      <c r="AA77" s="196"/>
      <c r="AB77" s="196"/>
    </row>
    <row r="78" spans="11:54">
      <c r="K78" s="191"/>
      <c r="M78" s="196"/>
      <c r="N78" s="196"/>
      <c r="O78" s="196"/>
      <c r="P78" s="196"/>
      <c r="Q78" s="197"/>
      <c r="R78" s="196"/>
      <c r="S78" s="196"/>
      <c r="T78" s="197"/>
      <c r="U78" s="196"/>
      <c r="V78" s="197"/>
      <c r="W78" s="196"/>
      <c r="X78" s="197"/>
      <c r="Y78" s="196"/>
      <c r="Z78" s="196"/>
      <c r="AA78" s="196"/>
      <c r="AB78" s="196"/>
    </row>
    <row r="79" spans="11:54">
      <c r="K79" s="191"/>
      <c r="M79" s="196"/>
      <c r="N79" s="196"/>
      <c r="O79" s="196"/>
      <c r="P79" s="196"/>
      <c r="Q79" s="197"/>
      <c r="R79" s="196"/>
      <c r="S79" s="196"/>
      <c r="T79" s="197"/>
      <c r="U79" s="196"/>
      <c r="V79" s="197"/>
      <c r="W79" s="196"/>
      <c r="X79" s="197"/>
      <c r="Y79" s="196"/>
      <c r="Z79" s="196"/>
      <c r="AA79" s="196"/>
      <c r="AB79" s="196"/>
    </row>
    <row r="80" spans="11:54">
      <c r="K80" s="191"/>
      <c r="M80" s="196"/>
      <c r="N80" s="196"/>
      <c r="O80" s="196"/>
      <c r="P80" s="196"/>
      <c r="Q80" s="197"/>
      <c r="R80" s="196"/>
      <c r="S80" s="196"/>
      <c r="T80" s="197"/>
      <c r="U80" s="196"/>
      <c r="V80" s="197"/>
      <c r="W80" s="196"/>
      <c r="X80" s="197"/>
      <c r="Y80" s="196"/>
      <c r="Z80" s="196"/>
      <c r="AA80" s="196"/>
      <c r="AB80" s="196"/>
    </row>
    <row r="81" spans="11:28">
      <c r="K81" s="191"/>
      <c r="M81" s="196"/>
      <c r="N81" s="196"/>
      <c r="O81" s="196"/>
      <c r="P81" s="196"/>
      <c r="Q81" s="197"/>
      <c r="R81" s="196"/>
      <c r="S81" s="196"/>
      <c r="T81" s="197"/>
      <c r="U81" s="196"/>
      <c r="V81" s="197"/>
      <c r="W81" s="196"/>
      <c r="X81" s="197"/>
      <c r="Y81" s="196"/>
      <c r="Z81" s="196"/>
      <c r="AA81" s="196"/>
      <c r="AB81" s="196"/>
    </row>
    <row r="82" spans="11:28">
      <c r="K82" s="191"/>
      <c r="M82" s="196"/>
      <c r="N82" s="196"/>
      <c r="O82" s="196"/>
      <c r="P82" s="196"/>
      <c r="Q82" s="197"/>
      <c r="R82" s="196"/>
      <c r="S82" s="196"/>
      <c r="T82" s="197"/>
      <c r="U82" s="196"/>
      <c r="V82" s="197"/>
      <c r="W82" s="196"/>
      <c r="X82" s="197"/>
      <c r="Y82" s="196"/>
      <c r="Z82" s="196"/>
      <c r="AA82" s="196"/>
      <c r="AB82" s="196"/>
    </row>
    <row r="83" spans="11:28">
      <c r="K83" s="191"/>
      <c r="M83" s="196"/>
      <c r="N83" s="196"/>
      <c r="O83" s="196"/>
      <c r="P83" s="196"/>
      <c r="Q83" s="197"/>
      <c r="R83" s="196"/>
      <c r="S83" s="196"/>
      <c r="T83" s="197"/>
      <c r="U83" s="196"/>
      <c r="V83" s="197"/>
      <c r="W83" s="196"/>
      <c r="X83" s="197"/>
      <c r="Y83" s="196"/>
      <c r="Z83" s="196"/>
      <c r="AA83" s="196"/>
      <c r="AB83" s="196"/>
    </row>
    <row r="84" spans="11:28">
      <c r="K84" s="191"/>
      <c r="M84" s="196"/>
      <c r="N84" s="196"/>
      <c r="O84" s="196"/>
      <c r="P84" s="196"/>
      <c r="Q84" s="197"/>
      <c r="R84" s="196"/>
      <c r="S84" s="196"/>
      <c r="T84" s="197"/>
      <c r="U84" s="196"/>
      <c r="V84" s="197"/>
      <c r="W84" s="196"/>
      <c r="X84" s="197"/>
      <c r="Y84" s="196"/>
      <c r="Z84" s="196"/>
      <c r="AA84" s="196"/>
      <c r="AB84" s="196"/>
    </row>
    <row r="85" spans="11:28">
      <c r="K85" s="198"/>
      <c r="L85" s="199"/>
      <c r="M85" s="200"/>
      <c r="N85" s="200"/>
      <c r="O85" s="200"/>
      <c r="P85" s="200"/>
      <c r="Q85" s="201"/>
      <c r="R85" s="200"/>
      <c r="S85" s="200"/>
      <c r="T85" s="201"/>
      <c r="U85" s="200"/>
      <c r="V85" s="201"/>
      <c r="W85" s="200"/>
      <c r="X85" s="201"/>
      <c r="Y85" s="196"/>
      <c r="Z85" s="196"/>
      <c r="AA85" s="196"/>
      <c r="AB85" s="196"/>
    </row>
    <row r="86" spans="11:28">
      <c r="K86" s="145" t="s">
        <v>302</v>
      </c>
      <c r="L86" s="167"/>
      <c r="M86" s="108" t="s">
        <v>303</v>
      </c>
      <c r="N86" s="108"/>
      <c r="O86" s="114"/>
      <c r="P86" s="114"/>
      <c r="Q86" s="112"/>
      <c r="R86" s="112"/>
      <c r="S86" s="112"/>
      <c r="T86" s="112"/>
      <c r="U86" s="112"/>
      <c r="V86" s="203">
        <f>SUM(V66:V85)</f>
        <v>2922765.3229865585</v>
      </c>
      <c r="W86" s="203">
        <f>SUM(W66:W85)</f>
        <v>0</v>
      </c>
      <c r="X86" s="203">
        <f>SUM(X66:X85)</f>
        <v>2922765.3229865585</v>
      </c>
      <c r="Y86" s="196"/>
      <c r="Z86" s="196"/>
      <c r="AA86" s="196"/>
      <c r="AB86" s="196"/>
    </row>
    <row r="87" spans="11:28">
      <c r="K87" s="99"/>
      <c r="L87" s="196"/>
      <c r="M87" s="196"/>
      <c r="N87" s="196"/>
      <c r="O87" s="196"/>
      <c r="P87" s="196"/>
      <c r="Q87" s="196"/>
      <c r="R87" s="196"/>
      <c r="S87" s="196"/>
      <c r="T87" s="196"/>
      <c r="U87" s="196"/>
      <c r="V87" s="196"/>
      <c r="W87" s="196"/>
      <c r="X87" s="196"/>
      <c r="Y87" s="196"/>
      <c r="Z87" s="196"/>
      <c r="AA87" s="196"/>
      <c r="AB87" s="196"/>
    </row>
    <row r="88" spans="11:28">
      <c r="K88" s="202">
        <v>3</v>
      </c>
      <c r="L88" s="196"/>
      <c r="M88" s="874" t="s">
        <v>715</v>
      </c>
      <c r="N88" s="196"/>
      <c r="O88" s="196"/>
      <c r="P88" s="196"/>
      <c r="Q88" s="196"/>
      <c r="R88" s="196"/>
      <c r="S88" s="196"/>
      <c r="T88" s="196"/>
      <c r="U88" s="196"/>
      <c r="V88" s="203"/>
      <c r="W88" s="196"/>
      <c r="X88" s="203">
        <f>X86</f>
        <v>2922765.3229865585</v>
      </c>
      <c r="Y88" s="196"/>
      <c r="Z88" s="196"/>
      <c r="AA88" s="196"/>
      <c r="AB88" s="196"/>
    </row>
    <row r="89" spans="11:28">
      <c r="K89" s="196"/>
      <c r="L89" s="196"/>
      <c r="M89" s="196"/>
      <c r="N89" s="196"/>
      <c r="O89" s="196"/>
      <c r="P89" s="196"/>
      <c r="Q89" s="196"/>
      <c r="R89" s="196"/>
      <c r="S89" s="196"/>
      <c r="T89" s="196"/>
      <c r="U89" s="196"/>
      <c r="V89" s="196"/>
      <c r="W89" s="196"/>
      <c r="X89" s="196"/>
      <c r="Y89" s="196"/>
      <c r="Z89" s="196"/>
      <c r="AA89" s="196"/>
      <c r="AB89" s="196"/>
    </row>
    <row r="90" spans="11:28">
      <c r="K90" s="196"/>
      <c r="L90" s="196"/>
      <c r="M90" s="196"/>
      <c r="N90" s="196"/>
      <c r="O90" s="196"/>
      <c r="P90" s="196"/>
      <c r="Q90" s="196"/>
      <c r="R90" s="196"/>
      <c r="S90" s="196"/>
      <c r="T90" s="196"/>
      <c r="U90" s="196"/>
      <c r="V90" s="196"/>
      <c r="W90" s="196"/>
      <c r="X90" s="196"/>
      <c r="Y90" s="196"/>
      <c r="Z90" s="196"/>
      <c r="AA90" s="196"/>
      <c r="AB90" s="196"/>
    </row>
    <row r="91" spans="11:28">
      <c r="K91" s="107" t="s">
        <v>113</v>
      </c>
      <c r="L91" s="196"/>
      <c r="M91" s="196"/>
      <c r="N91" s="196"/>
      <c r="O91" s="196"/>
      <c r="P91" s="196"/>
      <c r="Q91" s="196"/>
      <c r="R91" s="196"/>
      <c r="S91" s="196"/>
      <c r="T91" s="196"/>
      <c r="U91" s="196"/>
      <c r="V91" s="196"/>
      <c r="W91" s="196"/>
      <c r="X91" s="196"/>
      <c r="Y91" s="196"/>
      <c r="Z91" s="196"/>
      <c r="AA91" s="196"/>
      <c r="AB91" s="196"/>
    </row>
    <row r="92" spans="11:28" ht="15.75" thickBot="1">
      <c r="K92" s="204" t="s">
        <v>114</v>
      </c>
      <c r="L92" s="196"/>
      <c r="M92" s="196"/>
      <c r="N92" s="196"/>
      <c r="O92" s="196"/>
      <c r="P92" s="196"/>
      <c r="Q92" s="196"/>
      <c r="R92" s="196"/>
      <c r="S92" s="196"/>
      <c r="T92" s="196"/>
      <c r="U92" s="196"/>
      <c r="V92" s="196"/>
      <c r="W92" s="196"/>
      <c r="X92" s="196"/>
      <c r="Y92" s="196"/>
      <c r="Z92" s="196"/>
      <c r="AA92" s="196"/>
      <c r="AB92" s="196"/>
    </row>
    <row r="93" spans="11:28">
      <c r="K93" s="205" t="s">
        <v>115</v>
      </c>
      <c r="L93" s="110"/>
      <c r="M93" s="1034" t="s">
        <v>387</v>
      </c>
      <c r="N93" s="1032"/>
      <c r="O93" s="1032"/>
      <c r="P93" s="1032"/>
      <c r="Q93" s="1032"/>
      <c r="R93" s="1032"/>
      <c r="S93" s="1032"/>
      <c r="T93" s="1032"/>
      <c r="U93" s="1032"/>
      <c r="V93" s="1032"/>
      <c r="W93" s="1032"/>
      <c r="X93" s="1032"/>
      <c r="Y93" s="196"/>
      <c r="Z93" s="196"/>
      <c r="AA93" s="196"/>
      <c r="AB93" s="196"/>
    </row>
    <row r="94" spans="11:28">
      <c r="K94" s="205" t="s">
        <v>116</v>
      </c>
      <c r="L94" s="110"/>
      <c r="M94" s="1032" t="s">
        <v>388</v>
      </c>
      <c r="N94" s="1032"/>
      <c r="O94" s="1032"/>
      <c r="P94" s="1032"/>
      <c r="Q94" s="1032"/>
      <c r="R94" s="1032"/>
      <c r="S94" s="1032"/>
      <c r="T94" s="1032"/>
      <c r="U94" s="1032"/>
      <c r="V94" s="1032"/>
      <c r="W94" s="1032"/>
      <c r="X94" s="1032"/>
      <c r="Y94" s="196"/>
      <c r="Z94" s="196"/>
      <c r="AA94" s="196"/>
      <c r="AB94" s="196"/>
    </row>
    <row r="95" spans="11:28" ht="27.75" customHeight="1">
      <c r="K95" s="206" t="s">
        <v>117</v>
      </c>
      <c r="L95" s="110"/>
      <c r="M95" s="1033" t="s">
        <v>304</v>
      </c>
      <c r="N95" s="1033"/>
      <c r="O95" s="1033"/>
      <c r="P95" s="1033"/>
      <c r="Q95" s="1033"/>
      <c r="R95" s="1033"/>
      <c r="S95" s="1033"/>
      <c r="T95" s="1033"/>
      <c r="U95" s="1033"/>
      <c r="V95" s="1033"/>
      <c r="W95" s="1033"/>
      <c r="X95" s="1033"/>
      <c r="Y95" s="196"/>
      <c r="Z95" s="196"/>
      <c r="AA95" s="196"/>
      <c r="AB95" s="196"/>
    </row>
    <row r="96" spans="11:28" ht="15" customHeight="1">
      <c r="K96" s="206" t="s">
        <v>118</v>
      </c>
      <c r="L96" s="110"/>
      <c r="M96" s="1033" t="s">
        <v>305</v>
      </c>
      <c r="N96" s="1033"/>
      <c r="O96" s="1033"/>
      <c r="P96" s="1033"/>
      <c r="Q96" s="1033"/>
      <c r="R96" s="1033"/>
      <c r="S96" s="1033"/>
      <c r="T96" s="1033"/>
      <c r="U96" s="1033"/>
      <c r="V96" s="1033"/>
      <c r="W96" s="1033"/>
      <c r="X96" s="1033"/>
      <c r="Y96" s="196"/>
      <c r="Z96" s="196"/>
      <c r="AA96" s="196"/>
      <c r="AB96" s="196"/>
    </row>
    <row r="97" spans="3:28">
      <c r="K97" s="205" t="s">
        <v>119</v>
      </c>
      <c r="L97" s="110"/>
      <c r="M97" s="1032" t="s">
        <v>389</v>
      </c>
      <c r="N97" s="1032"/>
      <c r="O97" s="1032"/>
      <c r="P97" s="1032"/>
      <c r="Q97" s="1032"/>
      <c r="R97" s="1032"/>
      <c r="S97" s="1032"/>
      <c r="T97" s="1032"/>
      <c r="U97" s="1032"/>
      <c r="V97" s="1032"/>
      <c r="W97" s="1032"/>
      <c r="X97" s="1032"/>
      <c r="Y97" s="196"/>
      <c r="Z97" s="196"/>
      <c r="AA97" s="196"/>
      <c r="AB97" s="196"/>
    </row>
    <row r="98" spans="3:28">
      <c r="K98" s="205" t="s">
        <v>120</v>
      </c>
      <c r="L98" s="110"/>
      <c r="M98" s="1032" t="s">
        <v>306</v>
      </c>
      <c r="N98" s="1032"/>
      <c r="O98" s="1032"/>
      <c r="P98" s="1032"/>
      <c r="Q98" s="1032"/>
      <c r="R98" s="1032"/>
      <c r="S98" s="1032"/>
      <c r="T98" s="1032"/>
      <c r="U98" s="1032"/>
      <c r="V98" s="1032"/>
      <c r="W98" s="1032"/>
      <c r="X98" s="1032"/>
      <c r="Y98" s="196"/>
      <c r="Z98" s="196"/>
      <c r="AA98" s="196"/>
      <c r="AB98" s="196"/>
    </row>
    <row r="99" spans="3:28">
      <c r="K99" s="205" t="s">
        <v>121</v>
      </c>
      <c r="L99" s="110"/>
      <c r="M99" s="1032" t="s">
        <v>307</v>
      </c>
      <c r="N99" s="1032"/>
      <c r="O99" s="1032"/>
      <c r="P99" s="1032"/>
      <c r="Q99" s="1032"/>
      <c r="R99" s="1032"/>
      <c r="S99" s="1032"/>
      <c r="T99" s="1032"/>
      <c r="U99" s="1032"/>
      <c r="V99" s="1032"/>
      <c r="W99" s="1032"/>
      <c r="X99" s="1032"/>
      <c r="Y99" s="196"/>
      <c r="Z99" s="196"/>
      <c r="AA99" s="196"/>
      <c r="AB99" s="196"/>
    </row>
    <row r="100" spans="3:28">
      <c r="K100" s="418" t="s">
        <v>123</v>
      </c>
      <c r="L100" s="142"/>
      <c r="M100" s="1031" t="s">
        <v>416</v>
      </c>
      <c r="N100" s="1031"/>
      <c r="O100" s="1031"/>
      <c r="P100" s="1031"/>
      <c r="Q100" s="1031"/>
      <c r="R100" s="1031"/>
      <c r="S100" s="1031"/>
      <c r="T100" s="1031"/>
      <c r="U100" s="1031"/>
      <c r="V100" s="1031"/>
      <c r="W100" s="1031"/>
      <c r="X100" s="1031"/>
      <c r="Y100" s="196"/>
      <c r="Z100" s="196"/>
      <c r="AA100" s="196"/>
      <c r="AB100" s="196"/>
    </row>
    <row r="101" spans="3:28" ht="15.75">
      <c r="K101" s="170"/>
      <c r="L101" s="207"/>
      <c r="M101" s="208"/>
      <c r="N101" s="166"/>
      <c r="O101" s="114"/>
      <c r="P101" s="114"/>
      <c r="Q101" s="112"/>
      <c r="R101" s="107"/>
      <c r="S101" s="107"/>
      <c r="T101" s="156"/>
      <c r="U101" s="107"/>
      <c r="W101" s="112"/>
      <c r="X101" s="171"/>
      <c r="Y101" s="196"/>
      <c r="Z101" s="196"/>
      <c r="AA101" s="196"/>
      <c r="AB101" s="196"/>
    </row>
    <row r="102" spans="3:28" ht="15.75">
      <c r="K102" s="170"/>
      <c r="L102" s="207"/>
      <c r="M102" s="208"/>
      <c r="N102" s="166"/>
      <c r="O102" s="114"/>
      <c r="P102" s="114"/>
      <c r="Q102" s="112"/>
      <c r="R102" s="107"/>
      <c r="S102" s="107"/>
      <c r="T102" s="156"/>
      <c r="U102" s="107"/>
      <c r="W102" s="112"/>
      <c r="X102" s="158"/>
      <c r="Y102" s="196"/>
      <c r="Z102" s="196"/>
      <c r="AA102" s="196"/>
      <c r="AB102" s="196"/>
    </row>
    <row r="103" spans="3:28">
      <c r="M103" s="196"/>
      <c r="N103" s="196"/>
      <c r="O103" s="196"/>
      <c r="P103" s="196"/>
      <c r="Q103" s="196"/>
      <c r="R103" s="196"/>
      <c r="S103" s="196"/>
      <c r="T103" s="196"/>
      <c r="U103" s="196"/>
      <c r="V103" s="196"/>
      <c r="W103" s="196"/>
      <c r="X103" s="196"/>
      <c r="Y103" s="196"/>
      <c r="Z103" s="196"/>
      <c r="AA103" s="196"/>
      <c r="AB103" s="196"/>
    </row>
    <row r="104" spans="3:28">
      <c r="C104" s="196"/>
      <c r="D104" s="196"/>
      <c r="E104" s="196"/>
      <c r="F104" s="196"/>
      <c r="G104" s="196"/>
      <c r="H104" s="196"/>
      <c r="I104" s="196"/>
      <c r="J104" s="196"/>
    </row>
    <row r="105" spans="3:28">
      <c r="C105" s="196"/>
      <c r="D105" s="196"/>
      <c r="E105" s="196"/>
      <c r="F105" s="196"/>
      <c r="G105" s="196"/>
      <c r="H105" s="196"/>
      <c r="I105" s="196"/>
      <c r="J105" s="196"/>
    </row>
    <row r="106" spans="3:28">
      <c r="C106" s="196"/>
      <c r="D106" s="196"/>
      <c r="E106" s="196"/>
      <c r="F106" s="196"/>
      <c r="G106" s="196"/>
      <c r="H106" s="196"/>
      <c r="I106" s="196"/>
      <c r="J106" s="196"/>
    </row>
    <row r="107" spans="3:28">
      <c r="C107" s="196"/>
      <c r="D107" s="196"/>
      <c r="E107" s="196"/>
      <c r="F107" s="196"/>
      <c r="G107" s="196"/>
      <c r="H107" s="196"/>
      <c r="I107" s="196"/>
      <c r="J107" s="196"/>
    </row>
    <row r="108" spans="3:28">
      <c r="C108" s="196"/>
      <c r="D108" s="196"/>
      <c r="E108" s="196"/>
      <c r="F108" s="196"/>
      <c r="G108" s="196"/>
      <c r="H108" s="196"/>
      <c r="I108" s="196"/>
      <c r="J108" s="196"/>
    </row>
    <row r="109" spans="3:28">
      <c r="C109" s="196"/>
      <c r="D109" s="196"/>
      <c r="E109" s="196"/>
      <c r="F109" s="196"/>
      <c r="G109" s="196"/>
      <c r="H109" s="196"/>
      <c r="I109" s="196"/>
      <c r="J109" s="196"/>
    </row>
    <row r="110" spans="3:28">
      <c r="C110" s="196"/>
      <c r="D110" s="196"/>
      <c r="E110" s="196"/>
      <c r="F110" s="196"/>
      <c r="G110" s="196"/>
      <c r="H110" s="196"/>
      <c r="I110" s="196"/>
      <c r="J110" s="196"/>
    </row>
    <row r="111" spans="3:28">
      <c r="C111" s="196"/>
      <c r="D111" s="196"/>
      <c r="E111" s="196"/>
      <c r="F111" s="196"/>
      <c r="G111" s="196"/>
      <c r="H111" s="196"/>
      <c r="I111" s="196"/>
      <c r="J111" s="196"/>
    </row>
    <row r="112" spans="3:28">
      <c r="C112" s="196"/>
      <c r="D112" s="196"/>
      <c r="E112" s="196"/>
      <c r="F112" s="196"/>
      <c r="G112" s="196"/>
      <c r="H112" s="196"/>
      <c r="I112" s="196"/>
      <c r="J112" s="196"/>
    </row>
    <row r="113" spans="3:10">
      <c r="C113" s="196"/>
      <c r="D113" s="196"/>
      <c r="E113" s="196"/>
      <c r="F113" s="196"/>
      <c r="G113" s="196"/>
      <c r="H113" s="196"/>
      <c r="I113" s="196"/>
      <c r="J113" s="196"/>
    </row>
    <row r="114" spans="3:10">
      <c r="C114" s="196"/>
      <c r="D114" s="196"/>
      <c r="E114" s="196"/>
      <c r="F114" s="196"/>
      <c r="G114" s="196"/>
      <c r="H114" s="196"/>
      <c r="I114" s="196"/>
      <c r="J114" s="196"/>
    </row>
    <row r="115" spans="3:10">
      <c r="C115" s="196"/>
      <c r="D115" s="196"/>
      <c r="E115" s="196"/>
      <c r="F115" s="196"/>
      <c r="G115" s="196"/>
      <c r="H115" s="196"/>
      <c r="I115" s="196"/>
      <c r="J115" s="196"/>
    </row>
    <row r="116" spans="3:10">
      <c r="C116" s="196"/>
      <c r="D116" s="196"/>
      <c r="E116" s="196"/>
      <c r="F116" s="196"/>
      <c r="G116" s="196"/>
      <c r="H116" s="196"/>
      <c r="I116" s="196"/>
      <c r="J116" s="196"/>
    </row>
    <row r="117" spans="3:10">
      <c r="C117" s="196"/>
      <c r="D117" s="196"/>
      <c r="E117" s="196"/>
      <c r="F117" s="196"/>
      <c r="G117" s="196"/>
      <c r="H117" s="196"/>
      <c r="I117" s="196"/>
      <c r="J117" s="196"/>
    </row>
    <row r="118" spans="3:10">
      <c r="C118" s="196"/>
      <c r="D118" s="196"/>
      <c r="E118" s="196"/>
      <c r="F118" s="196"/>
      <c r="G118" s="196"/>
      <c r="H118" s="196"/>
      <c r="I118" s="196"/>
      <c r="J118" s="196"/>
    </row>
    <row r="119" spans="3:10">
      <c r="C119" s="196"/>
      <c r="D119" s="196"/>
      <c r="E119" s="196"/>
      <c r="F119" s="196"/>
      <c r="G119" s="196"/>
      <c r="H119" s="196"/>
      <c r="I119" s="196"/>
      <c r="J119" s="196"/>
    </row>
    <row r="120" spans="3:10">
      <c r="C120" s="196"/>
      <c r="D120" s="196"/>
      <c r="E120" s="196"/>
      <c r="F120" s="196"/>
      <c r="G120" s="196"/>
      <c r="H120" s="196"/>
      <c r="I120" s="196"/>
      <c r="J120" s="196"/>
    </row>
    <row r="121" spans="3:10">
      <c r="C121" s="196"/>
      <c r="D121" s="196"/>
      <c r="E121" s="196"/>
      <c r="F121" s="196"/>
      <c r="G121" s="196"/>
      <c r="H121" s="196"/>
      <c r="I121" s="196"/>
      <c r="J121" s="196"/>
    </row>
    <row r="122" spans="3:10">
      <c r="C122" s="196"/>
      <c r="D122" s="196"/>
      <c r="E122" s="196"/>
      <c r="F122" s="196"/>
      <c r="G122" s="196"/>
      <c r="H122" s="196"/>
      <c r="I122" s="196"/>
      <c r="J122" s="196"/>
    </row>
    <row r="123" spans="3:10">
      <c r="C123" s="196"/>
      <c r="D123" s="196"/>
      <c r="E123" s="196"/>
      <c r="F123" s="196"/>
      <c r="G123" s="196"/>
      <c r="H123" s="196"/>
      <c r="I123" s="196"/>
      <c r="J123" s="196"/>
    </row>
    <row r="124" spans="3:10">
      <c r="C124" s="196"/>
      <c r="D124" s="196"/>
      <c r="E124" s="196"/>
      <c r="F124" s="196"/>
      <c r="G124" s="196"/>
      <c r="H124" s="196"/>
      <c r="I124" s="196"/>
      <c r="J124" s="196"/>
    </row>
    <row r="125" spans="3:10">
      <c r="C125" s="196"/>
      <c r="D125" s="196"/>
      <c r="E125" s="196"/>
      <c r="F125" s="196"/>
      <c r="G125" s="196"/>
      <c r="H125" s="196"/>
      <c r="I125" s="196"/>
      <c r="J125" s="196"/>
    </row>
    <row r="126" spans="3:10">
      <c r="C126" s="196"/>
      <c r="D126" s="196"/>
      <c r="E126" s="196"/>
      <c r="F126" s="196"/>
      <c r="G126" s="196"/>
      <c r="H126" s="196"/>
      <c r="I126" s="196"/>
      <c r="J126" s="196"/>
    </row>
    <row r="127" spans="3:10">
      <c r="C127" s="196"/>
      <c r="D127" s="196"/>
      <c r="E127" s="196"/>
      <c r="F127" s="196"/>
      <c r="G127" s="196"/>
      <c r="H127" s="196"/>
      <c r="I127" s="196"/>
      <c r="J127" s="196"/>
    </row>
    <row r="128" spans="3:10">
      <c r="C128" s="196"/>
      <c r="D128" s="196"/>
      <c r="E128" s="196"/>
      <c r="F128" s="196"/>
      <c r="G128" s="196"/>
      <c r="H128" s="196"/>
      <c r="I128" s="196"/>
      <c r="J128" s="196"/>
    </row>
    <row r="129" spans="3:10">
      <c r="C129" s="196"/>
      <c r="D129" s="196"/>
      <c r="E129" s="196"/>
      <c r="F129" s="196"/>
      <c r="G129" s="196"/>
      <c r="H129" s="196"/>
      <c r="I129" s="196"/>
      <c r="J129" s="196"/>
    </row>
    <row r="130" spans="3:10">
      <c r="C130" s="196"/>
      <c r="D130" s="196"/>
      <c r="E130" s="196"/>
      <c r="F130" s="196"/>
      <c r="G130" s="196"/>
      <c r="H130" s="196"/>
      <c r="I130" s="196"/>
      <c r="J130" s="196"/>
    </row>
    <row r="131" spans="3:10">
      <c r="C131" s="196"/>
      <c r="D131" s="196"/>
      <c r="E131" s="196"/>
      <c r="F131" s="196"/>
      <c r="G131" s="196"/>
      <c r="H131" s="196"/>
      <c r="I131" s="196"/>
      <c r="J131" s="196"/>
    </row>
    <row r="132" spans="3:10">
      <c r="C132" s="196"/>
      <c r="D132" s="196"/>
      <c r="E132" s="196"/>
      <c r="F132" s="196"/>
      <c r="G132" s="196"/>
      <c r="H132" s="196"/>
      <c r="I132" s="196"/>
      <c r="J132" s="196"/>
    </row>
    <row r="133" spans="3:10">
      <c r="C133" s="196"/>
      <c r="D133" s="196"/>
      <c r="E133" s="196"/>
      <c r="F133" s="196"/>
      <c r="G133" s="196"/>
      <c r="H133" s="196"/>
      <c r="I133" s="196"/>
      <c r="J133" s="196"/>
    </row>
    <row r="134" spans="3:10">
      <c r="C134" s="196"/>
      <c r="D134" s="196"/>
      <c r="E134" s="196"/>
      <c r="F134" s="196"/>
      <c r="G134" s="196"/>
      <c r="H134" s="196"/>
      <c r="I134" s="196"/>
      <c r="J134" s="196"/>
    </row>
    <row r="135" spans="3:10">
      <c r="C135" s="196"/>
      <c r="D135" s="196"/>
      <c r="E135" s="196"/>
      <c r="F135" s="196"/>
      <c r="G135" s="196"/>
      <c r="H135" s="196"/>
      <c r="I135" s="196"/>
      <c r="J135" s="196"/>
    </row>
    <row r="136" spans="3:10">
      <c r="C136" s="196"/>
      <c r="D136" s="196"/>
      <c r="E136" s="196"/>
      <c r="F136" s="196"/>
      <c r="G136" s="196"/>
      <c r="H136" s="196"/>
      <c r="I136" s="196"/>
      <c r="J136" s="196"/>
    </row>
    <row r="137" spans="3:10">
      <c r="C137" s="196"/>
      <c r="D137" s="196"/>
      <c r="E137" s="196"/>
      <c r="F137" s="196"/>
      <c r="G137" s="196"/>
      <c r="H137" s="196"/>
      <c r="I137" s="196"/>
      <c r="J137" s="196"/>
    </row>
    <row r="138" spans="3:10">
      <c r="C138" s="196"/>
      <c r="D138" s="196"/>
      <c r="E138" s="196"/>
      <c r="F138" s="196"/>
      <c r="G138" s="196"/>
      <c r="H138" s="196"/>
      <c r="I138" s="196"/>
      <c r="J138" s="196"/>
    </row>
    <row r="139" spans="3:10">
      <c r="C139" s="196"/>
      <c r="D139" s="196"/>
      <c r="E139" s="196"/>
      <c r="F139" s="196"/>
      <c r="G139" s="196"/>
      <c r="H139" s="196"/>
      <c r="I139" s="196"/>
      <c r="J139" s="196"/>
    </row>
    <row r="140" spans="3:10">
      <c r="C140" s="196"/>
      <c r="D140" s="196"/>
      <c r="E140" s="196"/>
      <c r="F140" s="196"/>
      <c r="G140" s="196"/>
      <c r="H140" s="196"/>
      <c r="I140" s="196"/>
      <c r="J140" s="196"/>
    </row>
    <row r="141" spans="3:10">
      <c r="C141" s="196"/>
      <c r="D141" s="196"/>
      <c r="E141" s="196"/>
      <c r="F141" s="196"/>
      <c r="G141" s="196"/>
      <c r="H141" s="196"/>
      <c r="I141" s="196"/>
      <c r="J141" s="196"/>
    </row>
    <row r="142" spans="3:10">
      <c r="C142" s="196"/>
      <c r="D142" s="196"/>
      <c r="E142" s="196"/>
      <c r="F142" s="196"/>
      <c r="G142" s="196"/>
      <c r="H142" s="196"/>
      <c r="I142" s="196"/>
      <c r="J142" s="196"/>
    </row>
    <row r="143" spans="3:10">
      <c r="C143" s="196"/>
      <c r="D143" s="196"/>
      <c r="E143" s="196"/>
      <c r="F143" s="196"/>
      <c r="G143" s="196"/>
      <c r="H143" s="196"/>
      <c r="I143" s="196"/>
      <c r="J143" s="196"/>
    </row>
    <row r="144" spans="3:10">
      <c r="C144" s="196"/>
      <c r="D144" s="196"/>
      <c r="E144" s="196"/>
      <c r="F144" s="196"/>
      <c r="G144" s="196"/>
      <c r="H144" s="196"/>
      <c r="I144" s="196"/>
      <c r="J144" s="196"/>
    </row>
    <row r="145" spans="3:10">
      <c r="C145" s="196"/>
      <c r="D145" s="196"/>
      <c r="E145" s="196"/>
      <c r="F145" s="196"/>
      <c r="G145" s="196"/>
      <c r="H145" s="196"/>
      <c r="I145" s="196"/>
      <c r="J145" s="196"/>
    </row>
    <row r="146" spans="3:10">
      <c r="C146" s="196"/>
      <c r="D146" s="196"/>
      <c r="E146" s="196"/>
      <c r="F146" s="196"/>
      <c r="G146" s="196"/>
      <c r="H146" s="196"/>
      <c r="I146" s="196"/>
      <c r="J146" s="196"/>
    </row>
    <row r="147" spans="3:10">
      <c r="C147" s="196"/>
      <c r="D147" s="196"/>
      <c r="E147" s="196"/>
      <c r="F147" s="196"/>
      <c r="G147" s="196"/>
      <c r="H147" s="196"/>
      <c r="I147" s="196"/>
      <c r="J147" s="196"/>
    </row>
    <row r="148" spans="3:10">
      <c r="C148" s="196"/>
      <c r="D148" s="196"/>
      <c r="E148" s="196"/>
      <c r="F148" s="196"/>
      <c r="G148" s="196"/>
      <c r="H148" s="196"/>
      <c r="I148" s="196"/>
      <c r="J148" s="196"/>
    </row>
    <row r="149" spans="3:10">
      <c r="C149" s="196"/>
      <c r="D149" s="196"/>
      <c r="E149" s="196"/>
      <c r="F149" s="196"/>
      <c r="G149" s="196"/>
      <c r="H149" s="196"/>
      <c r="I149" s="196"/>
      <c r="J149" s="196"/>
    </row>
    <row r="150" spans="3:10">
      <c r="C150" s="196"/>
      <c r="D150" s="196"/>
      <c r="E150" s="196"/>
      <c r="F150" s="196"/>
      <c r="G150" s="196"/>
      <c r="H150" s="196"/>
      <c r="I150" s="196"/>
      <c r="J150" s="196"/>
    </row>
    <row r="151" spans="3:10">
      <c r="C151" s="196"/>
      <c r="D151" s="196"/>
      <c r="E151" s="196"/>
      <c r="F151" s="196"/>
      <c r="G151" s="196"/>
      <c r="H151" s="196"/>
      <c r="I151" s="196"/>
      <c r="J151" s="196"/>
    </row>
    <row r="152" spans="3:10">
      <c r="C152" s="196"/>
      <c r="D152" s="196"/>
      <c r="E152" s="196"/>
      <c r="F152" s="196"/>
      <c r="G152" s="196"/>
      <c r="H152" s="196"/>
      <c r="I152" s="196"/>
      <c r="J152" s="196"/>
    </row>
    <row r="153" spans="3:10">
      <c r="C153" s="196"/>
      <c r="D153" s="196"/>
      <c r="E153" s="196"/>
      <c r="F153" s="196"/>
      <c r="G153" s="196"/>
      <c r="H153" s="196"/>
      <c r="I153" s="196"/>
      <c r="J153" s="196"/>
    </row>
    <row r="154" spans="3:10">
      <c r="C154" s="196"/>
      <c r="D154" s="196"/>
      <c r="E154" s="196"/>
      <c r="F154" s="196"/>
      <c r="G154" s="196"/>
      <c r="H154" s="196"/>
      <c r="I154" s="196"/>
      <c r="J154" s="196"/>
    </row>
    <row r="155" spans="3:10">
      <c r="C155" s="196"/>
      <c r="D155" s="196"/>
      <c r="E155" s="196"/>
      <c r="F155" s="196"/>
      <c r="G155" s="196"/>
      <c r="H155" s="196"/>
      <c r="I155" s="196"/>
      <c r="J155" s="196"/>
    </row>
    <row r="156" spans="3:10">
      <c r="C156" s="196"/>
      <c r="D156" s="196"/>
      <c r="E156" s="196"/>
      <c r="F156" s="196"/>
      <c r="G156" s="196"/>
      <c r="H156" s="196"/>
      <c r="I156" s="196"/>
      <c r="J156" s="196"/>
    </row>
    <row r="157" spans="3:10">
      <c r="C157" s="196"/>
      <c r="D157" s="196"/>
      <c r="E157" s="196"/>
      <c r="F157" s="196"/>
      <c r="G157" s="196"/>
      <c r="H157" s="196"/>
      <c r="I157" s="196"/>
      <c r="J157" s="196"/>
    </row>
    <row r="158" spans="3:10">
      <c r="C158" s="196"/>
      <c r="D158" s="196"/>
      <c r="E158" s="196"/>
      <c r="F158" s="196"/>
      <c r="G158" s="196"/>
      <c r="H158" s="196"/>
      <c r="I158" s="196"/>
      <c r="J158" s="196"/>
    </row>
    <row r="159" spans="3:10">
      <c r="C159" s="196"/>
      <c r="D159" s="196"/>
      <c r="E159" s="196"/>
      <c r="F159" s="196"/>
      <c r="G159" s="196"/>
      <c r="H159" s="196"/>
      <c r="I159" s="196"/>
      <c r="J159" s="196"/>
    </row>
    <row r="160" spans="3:10">
      <c r="C160" s="196"/>
      <c r="D160" s="196"/>
      <c r="E160" s="196"/>
      <c r="F160" s="196"/>
      <c r="G160" s="196"/>
      <c r="H160" s="196"/>
      <c r="I160" s="196"/>
      <c r="J160" s="196"/>
    </row>
    <row r="161" spans="3:10">
      <c r="C161" s="196"/>
      <c r="D161" s="196"/>
      <c r="E161" s="196"/>
      <c r="F161" s="196"/>
      <c r="G161" s="196"/>
      <c r="H161" s="196"/>
      <c r="I161" s="196"/>
      <c r="J161" s="196"/>
    </row>
    <row r="162" spans="3:10">
      <c r="C162" s="196"/>
      <c r="D162" s="196"/>
      <c r="E162" s="196"/>
      <c r="F162" s="196"/>
      <c r="G162" s="196"/>
      <c r="H162" s="196"/>
      <c r="I162" s="196"/>
      <c r="J162" s="196"/>
    </row>
    <row r="163" spans="3:10">
      <c r="C163" s="196"/>
      <c r="D163" s="196"/>
      <c r="E163" s="196"/>
      <c r="F163" s="196"/>
      <c r="G163" s="196"/>
      <c r="H163" s="196"/>
      <c r="I163" s="196"/>
      <c r="J163" s="196"/>
    </row>
    <row r="164" spans="3:10">
      <c r="C164" s="196"/>
      <c r="D164" s="196"/>
      <c r="E164" s="196"/>
      <c r="F164" s="196"/>
      <c r="G164" s="196"/>
      <c r="H164" s="196"/>
      <c r="I164" s="196"/>
      <c r="J164" s="196"/>
    </row>
    <row r="165" spans="3:10">
      <c r="C165" s="196"/>
      <c r="D165" s="196"/>
      <c r="E165" s="196"/>
      <c r="F165" s="196"/>
      <c r="G165" s="196"/>
      <c r="H165" s="196"/>
      <c r="I165" s="196"/>
      <c r="J165" s="196"/>
    </row>
    <row r="166" spans="3:10">
      <c r="C166" s="196"/>
      <c r="D166" s="196"/>
      <c r="E166" s="196"/>
      <c r="F166" s="196"/>
      <c r="G166" s="196"/>
      <c r="H166" s="196"/>
      <c r="I166" s="196"/>
      <c r="J166" s="196"/>
    </row>
    <row r="167" spans="3:10">
      <c r="C167" s="196"/>
      <c r="D167" s="196"/>
      <c r="E167" s="196"/>
      <c r="F167" s="196"/>
      <c r="G167" s="196"/>
      <c r="H167" s="196"/>
      <c r="I167" s="196"/>
      <c r="J167" s="196"/>
    </row>
    <row r="168" spans="3:10">
      <c r="C168" s="196"/>
      <c r="D168" s="196"/>
      <c r="E168" s="196"/>
      <c r="F168" s="196"/>
      <c r="G168" s="196"/>
      <c r="H168" s="196"/>
      <c r="I168" s="196"/>
      <c r="J168" s="196"/>
    </row>
    <row r="169" spans="3:10">
      <c r="C169" s="196"/>
      <c r="D169" s="196"/>
      <c r="E169" s="196"/>
      <c r="F169" s="196"/>
      <c r="G169" s="196"/>
      <c r="H169" s="196"/>
      <c r="I169" s="196"/>
      <c r="J169" s="196"/>
    </row>
    <row r="170" spans="3:10">
      <c r="C170" s="196"/>
      <c r="D170" s="196"/>
      <c r="E170" s="196"/>
      <c r="F170" s="196"/>
      <c r="G170" s="196"/>
      <c r="H170" s="196"/>
      <c r="I170" s="196"/>
      <c r="J170" s="196"/>
    </row>
    <row r="171" spans="3:10">
      <c r="C171" s="196"/>
      <c r="D171" s="196"/>
      <c r="E171" s="196"/>
      <c r="F171" s="196"/>
      <c r="G171" s="196"/>
      <c r="H171" s="196"/>
      <c r="I171" s="196"/>
      <c r="J171" s="196"/>
    </row>
    <row r="172" spans="3:10">
      <c r="C172" s="196"/>
      <c r="D172" s="196"/>
      <c r="E172" s="196"/>
      <c r="F172" s="196"/>
      <c r="G172" s="196"/>
      <c r="H172" s="196"/>
      <c r="I172" s="196"/>
      <c r="J172" s="196"/>
    </row>
    <row r="173" spans="3:10">
      <c r="C173" s="196"/>
      <c r="D173" s="196"/>
      <c r="E173" s="196"/>
      <c r="F173" s="196"/>
      <c r="G173" s="196"/>
      <c r="H173" s="196"/>
      <c r="I173" s="196"/>
      <c r="J173" s="196"/>
    </row>
    <row r="174" spans="3:10">
      <c r="C174" s="196"/>
      <c r="D174" s="196"/>
      <c r="E174" s="196"/>
      <c r="F174" s="196"/>
      <c r="G174" s="196"/>
      <c r="H174" s="196"/>
      <c r="I174" s="196"/>
      <c r="J174" s="196"/>
    </row>
    <row r="175" spans="3:10">
      <c r="C175" s="196"/>
      <c r="D175" s="196"/>
      <c r="E175" s="196"/>
      <c r="F175" s="196"/>
      <c r="G175" s="196"/>
      <c r="H175" s="196"/>
      <c r="I175" s="196"/>
      <c r="J175" s="196"/>
    </row>
    <row r="176" spans="3:10">
      <c r="C176" s="196"/>
      <c r="D176" s="196"/>
      <c r="E176" s="196"/>
      <c r="F176" s="196"/>
      <c r="G176" s="196"/>
      <c r="H176" s="196"/>
      <c r="I176" s="196"/>
      <c r="J176" s="196"/>
    </row>
    <row r="177" spans="3:10">
      <c r="C177" s="196"/>
      <c r="D177" s="196"/>
      <c r="E177" s="196"/>
      <c r="F177" s="196"/>
      <c r="G177" s="196"/>
      <c r="H177" s="196"/>
      <c r="I177" s="196"/>
      <c r="J177" s="196"/>
    </row>
    <row r="178" spans="3:10">
      <c r="C178" s="196"/>
      <c r="D178" s="196"/>
      <c r="E178" s="196"/>
      <c r="F178" s="196"/>
      <c r="G178" s="196"/>
      <c r="H178" s="196"/>
      <c r="I178" s="196"/>
      <c r="J178" s="196"/>
    </row>
    <row r="179" spans="3:10">
      <c r="C179" s="196"/>
      <c r="D179" s="196"/>
      <c r="E179" s="196"/>
      <c r="F179" s="196"/>
      <c r="G179" s="196"/>
      <c r="H179" s="196"/>
      <c r="I179" s="196"/>
      <c r="J179" s="196"/>
    </row>
    <row r="180" spans="3:10">
      <c r="C180" s="196"/>
      <c r="D180" s="196"/>
      <c r="E180" s="196"/>
      <c r="F180" s="196"/>
      <c r="G180" s="196"/>
      <c r="H180" s="196"/>
      <c r="I180" s="196"/>
      <c r="J180" s="196"/>
    </row>
    <row r="181" spans="3:10">
      <c r="C181" s="196"/>
      <c r="D181" s="196"/>
      <c r="E181" s="196"/>
      <c r="F181" s="196"/>
      <c r="G181" s="196"/>
      <c r="H181" s="196"/>
      <c r="I181" s="196"/>
      <c r="J181" s="196"/>
    </row>
    <row r="182" spans="3:10">
      <c r="C182" s="196"/>
      <c r="D182" s="196"/>
      <c r="E182" s="196"/>
      <c r="F182" s="196"/>
      <c r="G182" s="196"/>
      <c r="H182" s="196"/>
      <c r="I182" s="196"/>
      <c r="J182" s="196"/>
    </row>
    <row r="183" spans="3:10">
      <c r="C183" s="196"/>
      <c r="D183" s="196"/>
      <c r="E183" s="196"/>
      <c r="F183" s="196"/>
      <c r="G183" s="196"/>
      <c r="H183" s="196"/>
      <c r="I183" s="196"/>
      <c r="J183" s="196"/>
    </row>
    <row r="184" spans="3:10">
      <c r="C184" s="196"/>
      <c r="D184" s="196"/>
      <c r="E184" s="196"/>
      <c r="F184" s="196"/>
      <c r="G184" s="196"/>
      <c r="H184" s="196"/>
      <c r="I184" s="196"/>
      <c r="J184" s="196"/>
    </row>
    <row r="185" spans="3:10">
      <c r="C185" s="196"/>
      <c r="D185" s="196"/>
      <c r="E185" s="196"/>
      <c r="F185" s="196"/>
      <c r="G185" s="196"/>
      <c r="H185" s="196"/>
      <c r="I185" s="196"/>
      <c r="J185" s="196"/>
    </row>
    <row r="186" spans="3:10">
      <c r="C186" s="196"/>
      <c r="D186" s="196"/>
      <c r="E186" s="196"/>
      <c r="F186" s="196"/>
      <c r="G186" s="196"/>
      <c r="H186" s="196"/>
      <c r="I186" s="196"/>
      <c r="J186" s="196"/>
    </row>
    <row r="187" spans="3:10">
      <c r="C187" s="196"/>
      <c r="D187" s="196"/>
      <c r="E187" s="196"/>
      <c r="F187" s="196"/>
      <c r="G187" s="196"/>
      <c r="H187" s="196"/>
      <c r="I187" s="196"/>
      <c r="J187" s="196"/>
    </row>
    <row r="188" spans="3:10">
      <c r="C188" s="196"/>
      <c r="D188" s="196"/>
      <c r="E188" s="196"/>
      <c r="F188" s="196"/>
      <c r="G188" s="196"/>
      <c r="H188" s="196"/>
      <c r="I188" s="196"/>
      <c r="J188" s="196"/>
    </row>
    <row r="189" spans="3:10">
      <c r="C189" s="196"/>
      <c r="D189" s="196"/>
      <c r="E189" s="196"/>
      <c r="F189" s="196"/>
      <c r="G189" s="196"/>
      <c r="H189" s="196"/>
      <c r="I189" s="196"/>
      <c r="J189" s="196"/>
    </row>
    <row r="190" spans="3:10">
      <c r="C190" s="196"/>
      <c r="D190" s="196"/>
      <c r="E190" s="196"/>
      <c r="F190" s="196"/>
      <c r="G190" s="196"/>
      <c r="H190" s="196"/>
      <c r="I190" s="196"/>
      <c r="J190" s="196"/>
    </row>
    <row r="191" spans="3:10">
      <c r="C191" s="196"/>
      <c r="D191" s="196"/>
      <c r="E191" s="196"/>
      <c r="F191" s="196"/>
      <c r="G191" s="196"/>
      <c r="H191" s="196"/>
      <c r="I191" s="196"/>
      <c r="J191" s="196"/>
    </row>
    <row r="192" spans="3:10">
      <c r="C192" s="196"/>
      <c r="D192" s="196"/>
      <c r="E192" s="196"/>
      <c r="F192" s="196"/>
      <c r="G192" s="196"/>
      <c r="H192" s="196"/>
      <c r="I192" s="196"/>
      <c r="J192" s="196"/>
    </row>
    <row r="193" spans="3:10">
      <c r="C193" s="196"/>
      <c r="D193" s="196"/>
      <c r="E193" s="196"/>
      <c r="F193" s="196"/>
      <c r="G193" s="196"/>
      <c r="H193" s="196"/>
      <c r="I193" s="196"/>
      <c r="J193" s="196"/>
    </row>
    <row r="194" spans="3:10">
      <c r="C194" s="196"/>
      <c r="D194" s="196"/>
      <c r="E194" s="196"/>
      <c r="F194" s="196"/>
      <c r="G194" s="196"/>
      <c r="H194" s="196"/>
      <c r="I194" s="196"/>
      <c r="J194" s="196"/>
    </row>
    <row r="195" spans="3:10">
      <c r="C195" s="196"/>
      <c r="D195" s="196"/>
      <c r="E195" s="196"/>
      <c r="F195" s="196"/>
      <c r="G195" s="196"/>
      <c r="H195" s="196"/>
      <c r="I195" s="196"/>
      <c r="J195" s="196"/>
    </row>
    <row r="196" spans="3:10">
      <c r="C196" s="196"/>
      <c r="D196" s="196"/>
      <c r="E196" s="196"/>
      <c r="F196" s="196"/>
      <c r="G196" s="196"/>
      <c r="H196" s="196"/>
      <c r="I196" s="196"/>
      <c r="J196" s="196"/>
    </row>
    <row r="197" spans="3:10">
      <c r="C197" s="196"/>
      <c r="D197" s="196"/>
      <c r="E197" s="196"/>
      <c r="F197" s="196"/>
      <c r="G197" s="196"/>
      <c r="H197" s="196"/>
      <c r="I197" s="196"/>
      <c r="J197" s="196"/>
    </row>
    <row r="198" spans="3:10">
      <c r="C198" s="196"/>
      <c r="D198" s="196"/>
      <c r="E198" s="196"/>
      <c r="F198" s="196"/>
      <c r="G198" s="196"/>
      <c r="H198" s="196"/>
      <c r="I198" s="196"/>
      <c r="J198" s="196"/>
    </row>
    <row r="199" spans="3:10">
      <c r="C199" s="196"/>
      <c r="D199" s="196"/>
      <c r="E199" s="196"/>
      <c r="F199" s="196"/>
      <c r="G199" s="196"/>
      <c r="H199" s="196"/>
      <c r="I199" s="196"/>
      <c r="J199" s="196"/>
    </row>
    <row r="200" spans="3:10">
      <c r="C200" s="196"/>
      <c r="D200" s="196"/>
      <c r="E200" s="196"/>
      <c r="F200" s="196"/>
      <c r="G200" s="196"/>
      <c r="H200" s="196"/>
      <c r="I200" s="196"/>
      <c r="J200" s="196"/>
    </row>
    <row r="201" spans="3:10">
      <c r="C201" s="196"/>
      <c r="D201" s="196"/>
      <c r="E201" s="196"/>
      <c r="F201" s="196"/>
      <c r="G201" s="196"/>
      <c r="H201" s="196"/>
      <c r="I201" s="196"/>
      <c r="J201" s="196"/>
    </row>
    <row r="202" spans="3:10">
      <c r="C202" s="196"/>
      <c r="D202" s="196"/>
      <c r="E202" s="196"/>
      <c r="F202" s="196"/>
      <c r="G202" s="196"/>
      <c r="H202" s="196"/>
      <c r="I202" s="196"/>
      <c r="J202" s="196"/>
    </row>
    <row r="203" spans="3:10">
      <c r="C203" s="196"/>
      <c r="D203" s="196"/>
      <c r="E203" s="196"/>
      <c r="F203" s="196"/>
      <c r="G203" s="196"/>
      <c r="H203" s="196"/>
      <c r="I203" s="196"/>
      <c r="J203" s="196"/>
    </row>
    <row r="204" spans="3:10">
      <c r="C204" s="196"/>
      <c r="D204" s="196"/>
      <c r="E204" s="196"/>
      <c r="F204" s="196"/>
      <c r="G204" s="196"/>
      <c r="H204" s="196"/>
      <c r="I204" s="196"/>
      <c r="J204" s="196"/>
    </row>
    <row r="205" spans="3:10">
      <c r="C205" s="196"/>
      <c r="D205" s="196"/>
      <c r="E205" s="196"/>
      <c r="F205" s="196"/>
      <c r="G205" s="196"/>
      <c r="H205" s="196"/>
      <c r="I205" s="196"/>
      <c r="J205" s="196"/>
    </row>
    <row r="206" spans="3:10">
      <c r="C206" s="196"/>
      <c r="D206" s="196"/>
      <c r="E206" s="196"/>
      <c r="F206" s="196"/>
      <c r="G206" s="196"/>
      <c r="H206" s="196"/>
      <c r="I206" s="196"/>
      <c r="J206" s="196"/>
    </row>
    <row r="207" spans="3:10">
      <c r="C207" s="196"/>
      <c r="D207" s="196"/>
      <c r="E207" s="196"/>
      <c r="F207" s="196"/>
      <c r="G207" s="196"/>
      <c r="H207" s="196"/>
      <c r="I207" s="196"/>
      <c r="J207" s="196"/>
    </row>
    <row r="208" spans="3:10">
      <c r="C208" s="196"/>
      <c r="D208" s="196"/>
      <c r="E208" s="196"/>
      <c r="F208" s="196"/>
      <c r="G208" s="196"/>
      <c r="H208" s="196"/>
      <c r="I208" s="196"/>
      <c r="J208" s="196"/>
    </row>
    <row r="209" spans="3:10">
      <c r="C209" s="196"/>
      <c r="D209" s="196"/>
      <c r="E209" s="196"/>
      <c r="F209" s="196"/>
      <c r="G209" s="196"/>
      <c r="H209" s="196"/>
      <c r="I209" s="196"/>
      <c r="J209" s="196"/>
    </row>
    <row r="210" spans="3:10">
      <c r="C210" s="196"/>
      <c r="D210" s="196"/>
      <c r="E210" s="196"/>
      <c r="F210" s="196"/>
      <c r="G210" s="196"/>
      <c r="H210" s="196"/>
      <c r="I210" s="196"/>
      <c r="J210" s="196"/>
    </row>
    <row r="211" spans="3:10">
      <c r="C211" s="196"/>
      <c r="D211" s="196"/>
      <c r="E211" s="196"/>
      <c r="F211" s="196"/>
      <c r="G211" s="196"/>
      <c r="H211" s="196"/>
      <c r="I211" s="196"/>
      <c r="J211" s="196"/>
    </row>
    <row r="212" spans="3:10">
      <c r="C212" s="196"/>
      <c r="D212" s="196"/>
      <c r="E212" s="196"/>
      <c r="F212" s="196"/>
      <c r="G212" s="196"/>
      <c r="H212" s="196"/>
      <c r="I212" s="196"/>
      <c r="J212" s="196"/>
    </row>
    <row r="213" spans="3:10">
      <c r="C213" s="196"/>
      <c r="D213" s="196"/>
      <c r="E213" s="196"/>
      <c r="F213" s="196"/>
      <c r="G213" s="196"/>
      <c r="H213" s="196"/>
      <c r="I213" s="196"/>
      <c r="J213" s="196"/>
    </row>
    <row r="214" spans="3:10">
      <c r="C214" s="196"/>
      <c r="D214" s="196"/>
      <c r="E214" s="196"/>
      <c r="F214" s="196"/>
      <c r="G214" s="196"/>
      <c r="H214" s="196"/>
      <c r="I214" s="196"/>
      <c r="J214" s="196"/>
    </row>
    <row r="215" spans="3:10">
      <c r="C215" s="196"/>
      <c r="D215" s="196"/>
      <c r="E215" s="196"/>
      <c r="F215" s="196"/>
      <c r="G215" s="196"/>
      <c r="H215" s="196"/>
      <c r="I215" s="196"/>
      <c r="J215" s="196"/>
    </row>
    <row r="216" spans="3:10">
      <c r="C216" s="196"/>
      <c r="D216" s="196"/>
      <c r="E216" s="196"/>
      <c r="F216" s="196"/>
      <c r="G216" s="196"/>
      <c r="H216" s="196"/>
      <c r="I216" s="196"/>
      <c r="J216" s="196"/>
    </row>
    <row r="217" spans="3:10">
      <c r="C217" s="196"/>
      <c r="D217" s="196"/>
      <c r="E217" s="196"/>
      <c r="F217" s="196"/>
      <c r="G217" s="196"/>
      <c r="H217" s="196"/>
      <c r="I217" s="196"/>
      <c r="J217" s="196"/>
    </row>
    <row r="218" spans="3:10">
      <c r="C218" s="196"/>
      <c r="D218" s="196"/>
      <c r="E218" s="196"/>
      <c r="F218" s="196"/>
      <c r="G218" s="196"/>
      <c r="H218" s="196"/>
      <c r="I218" s="196"/>
      <c r="J218" s="196"/>
    </row>
    <row r="219" spans="3:10">
      <c r="C219" s="196"/>
      <c r="D219" s="196"/>
      <c r="E219" s="196"/>
      <c r="F219" s="196"/>
      <c r="G219" s="196"/>
      <c r="H219" s="196"/>
      <c r="I219" s="196"/>
      <c r="J219" s="196"/>
    </row>
    <row r="220" spans="3:10">
      <c r="C220" s="196"/>
      <c r="D220" s="196"/>
      <c r="E220" s="196"/>
      <c r="F220" s="196"/>
      <c r="G220" s="196"/>
      <c r="H220" s="196"/>
      <c r="I220" s="196"/>
      <c r="J220" s="196"/>
    </row>
    <row r="221" spans="3:10">
      <c r="C221" s="196"/>
      <c r="D221" s="196"/>
      <c r="E221" s="196"/>
      <c r="F221" s="196"/>
      <c r="G221" s="196"/>
      <c r="H221" s="196"/>
      <c r="I221" s="196"/>
      <c r="J221" s="196"/>
    </row>
    <row r="222" spans="3:10">
      <c r="C222" s="196"/>
      <c r="D222" s="196"/>
      <c r="E222" s="196"/>
      <c r="F222" s="196"/>
      <c r="G222" s="196"/>
      <c r="H222" s="196"/>
      <c r="I222" s="196"/>
      <c r="J222" s="196"/>
    </row>
    <row r="223" spans="3:10">
      <c r="C223" s="196"/>
      <c r="D223" s="196"/>
      <c r="E223" s="196"/>
      <c r="F223" s="196"/>
      <c r="G223" s="196"/>
      <c r="H223" s="196"/>
      <c r="I223" s="196"/>
      <c r="J223" s="196"/>
    </row>
    <row r="224" spans="3:10">
      <c r="C224" s="196"/>
      <c r="D224" s="196"/>
      <c r="E224" s="196"/>
      <c r="F224" s="196"/>
      <c r="G224" s="196"/>
      <c r="H224" s="196"/>
      <c r="I224" s="196"/>
      <c r="J224" s="196"/>
    </row>
    <row r="225" spans="3:10">
      <c r="C225" s="196"/>
      <c r="D225" s="196"/>
      <c r="E225" s="196"/>
      <c r="F225" s="196"/>
      <c r="G225" s="196"/>
      <c r="H225" s="196"/>
      <c r="I225" s="196"/>
      <c r="J225" s="196"/>
    </row>
    <row r="226" spans="3:10">
      <c r="C226" s="196"/>
      <c r="D226" s="196"/>
      <c r="E226" s="196"/>
      <c r="F226" s="196"/>
      <c r="G226" s="196"/>
      <c r="H226" s="196"/>
      <c r="I226" s="196"/>
      <c r="J226" s="196"/>
    </row>
    <row r="227" spans="3:10">
      <c r="C227" s="196"/>
      <c r="D227" s="196"/>
      <c r="E227" s="196"/>
      <c r="F227" s="196"/>
      <c r="G227" s="196"/>
      <c r="H227" s="196"/>
      <c r="I227" s="196"/>
      <c r="J227" s="196"/>
    </row>
    <row r="228" spans="3:10">
      <c r="C228" s="196"/>
      <c r="D228" s="196"/>
      <c r="E228" s="196"/>
      <c r="F228" s="196"/>
      <c r="G228" s="196"/>
      <c r="H228" s="196"/>
      <c r="I228" s="196"/>
      <c r="J228" s="196"/>
    </row>
    <row r="229" spans="3:10">
      <c r="C229" s="196"/>
      <c r="D229" s="196"/>
      <c r="E229" s="196"/>
      <c r="F229" s="196"/>
      <c r="G229" s="196"/>
      <c r="H229" s="196"/>
      <c r="I229" s="196"/>
      <c r="J229" s="196"/>
    </row>
    <row r="230" spans="3:10">
      <c r="C230" s="196"/>
      <c r="D230" s="196"/>
      <c r="E230" s="196"/>
      <c r="F230" s="196"/>
      <c r="G230" s="196"/>
      <c r="H230" s="196"/>
      <c r="I230" s="196"/>
      <c r="J230" s="196"/>
    </row>
    <row r="231" spans="3:10">
      <c r="C231" s="196"/>
      <c r="D231" s="196"/>
      <c r="E231" s="196"/>
      <c r="F231" s="196"/>
      <c r="G231" s="196"/>
      <c r="H231" s="196"/>
      <c r="I231" s="196"/>
      <c r="J231" s="196"/>
    </row>
    <row r="232" spans="3:10">
      <c r="C232" s="196"/>
      <c r="D232" s="196"/>
      <c r="E232" s="196"/>
      <c r="F232" s="196"/>
      <c r="G232" s="196"/>
      <c r="H232" s="196"/>
      <c r="I232" s="196"/>
      <c r="J232" s="196"/>
    </row>
    <row r="233" spans="3:10">
      <c r="C233" s="196"/>
      <c r="D233" s="196"/>
      <c r="E233" s="196"/>
      <c r="F233" s="196"/>
      <c r="G233" s="196"/>
      <c r="H233" s="196"/>
      <c r="I233" s="196"/>
      <c r="J233" s="196"/>
    </row>
    <row r="234" spans="3:10">
      <c r="C234" s="196"/>
      <c r="D234" s="196"/>
      <c r="E234" s="196"/>
      <c r="F234" s="196"/>
      <c r="G234" s="196"/>
      <c r="H234" s="196"/>
      <c r="I234" s="196"/>
      <c r="J234" s="196"/>
    </row>
    <row r="235" spans="3:10">
      <c r="C235" s="196"/>
      <c r="D235" s="196"/>
      <c r="E235" s="196"/>
      <c r="F235" s="196"/>
      <c r="G235" s="196"/>
      <c r="H235" s="196"/>
      <c r="I235" s="196"/>
      <c r="J235" s="196"/>
    </row>
    <row r="236" spans="3:10">
      <c r="C236" s="196"/>
      <c r="D236" s="196"/>
      <c r="E236" s="196"/>
      <c r="F236" s="196"/>
      <c r="G236" s="196"/>
      <c r="H236" s="196"/>
      <c r="I236" s="196"/>
      <c r="J236" s="196"/>
    </row>
    <row r="237" spans="3:10">
      <c r="C237" s="196"/>
      <c r="D237" s="196"/>
      <c r="E237" s="196"/>
      <c r="F237" s="196"/>
      <c r="G237" s="196"/>
      <c r="H237" s="196"/>
      <c r="I237" s="196"/>
      <c r="J237" s="196"/>
    </row>
    <row r="238" spans="3:10">
      <c r="C238" s="196"/>
      <c r="D238" s="196"/>
      <c r="E238" s="196"/>
      <c r="F238" s="196"/>
      <c r="G238" s="196"/>
      <c r="H238" s="196"/>
      <c r="I238" s="196"/>
      <c r="J238" s="196"/>
    </row>
    <row r="239" spans="3:10">
      <c r="C239" s="196"/>
      <c r="D239" s="196"/>
      <c r="E239" s="196"/>
      <c r="F239" s="196"/>
      <c r="G239" s="196"/>
      <c r="H239" s="196"/>
      <c r="I239" s="196"/>
      <c r="J239" s="196"/>
    </row>
    <row r="240" spans="3:10">
      <c r="C240" s="196"/>
      <c r="D240" s="196"/>
      <c r="E240" s="196"/>
      <c r="F240" s="196"/>
      <c r="G240" s="196"/>
      <c r="H240" s="196"/>
      <c r="I240" s="196"/>
      <c r="J240" s="196"/>
    </row>
    <row r="241" spans="3:10">
      <c r="C241" s="196"/>
      <c r="D241" s="196"/>
      <c r="E241" s="196"/>
      <c r="F241" s="196"/>
      <c r="G241" s="196"/>
      <c r="H241" s="196"/>
      <c r="I241" s="196"/>
      <c r="J241" s="196"/>
    </row>
    <row r="242" spans="3:10">
      <c r="C242" s="196"/>
      <c r="D242" s="196"/>
      <c r="E242" s="196"/>
      <c r="F242" s="196"/>
      <c r="G242" s="196"/>
      <c r="H242" s="196"/>
      <c r="I242" s="196"/>
      <c r="J242" s="196"/>
    </row>
    <row r="243" spans="3:10">
      <c r="C243" s="196"/>
      <c r="D243" s="196"/>
      <c r="E243" s="196"/>
      <c r="F243" s="196"/>
      <c r="G243" s="196"/>
      <c r="H243" s="196"/>
      <c r="I243" s="196"/>
      <c r="J243" s="196"/>
    </row>
    <row r="244" spans="3:10">
      <c r="C244" s="196"/>
      <c r="D244" s="196"/>
      <c r="E244" s="196"/>
      <c r="F244" s="196"/>
      <c r="G244" s="196"/>
      <c r="H244" s="196"/>
      <c r="I244" s="196"/>
      <c r="J244" s="196"/>
    </row>
    <row r="245" spans="3:10">
      <c r="C245" s="196"/>
      <c r="D245" s="196"/>
      <c r="E245" s="196"/>
      <c r="F245" s="196"/>
      <c r="G245" s="196"/>
      <c r="H245" s="196"/>
      <c r="I245" s="196"/>
      <c r="J245" s="196"/>
    </row>
    <row r="246" spans="3:10">
      <c r="C246" s="196"/>
      <c r="D246" s="196"/>
      <c r="E246" s="196"/>
      <c r="F246" s="196"/>
      <c r="G246" s="196"/>
      <c r="H246" s="196"/>
      <c r="I246" s="196"/>
      <c r="J246" s="196"/>
    </row>
    <row r="247" spans="3:10">
      <c r="C247" s="196"/>
      <c r="D247" s="196"/>
      <c r="E247" s="196"/>
      <c r="F247" s="196"/>
      <c r="G247" s="196"/>
      <c r="H247" s="196"/>
      <c r="I247" s="196"/>
      <c r="J247" s="196"/>
    </row>
    <row r="248" spans="3:10">
      <c r="C248" s="196"/>
      <c r="D248" s="196"/>
      <c r="E248" s="196"/>
      <c r="F248" s="196"/>
      <c r="G248" s="196"/>
      <c r="H248" s="196"/>
      <c r="I248" s="196"/>
      <c r="J248" s="196"/>
    </row>
    <row r="249" spans="3:10">
      <c r="C249" s="196"/>
      <c r="D249" s="196"/>
      <c r="E249" s="196"/>
      <c r="F249" s="196"/>
      <c r="G249" s="196"/>
      <c r="H249" s="196"/>
      <c r="I249" s="196"/>
      <c r="J249" s="196"/>
    </row>
    <row r="250" spans="3:10">
      <c r="C250" s="196"/>
      <c r="D250" s="196"/>
      <c r="E250" s="196"/>
      <c r="F250" s="196"/>
      <c r="G250" s="196"/>
      <c r="H250" s="196"/>
      <c r="I250" s="196"/>
      <c r="J250" s="196"/>
    </row>
    <row r="251" spans="3:10">
      <c r="C251" s="196"/>
      <c r="D251" s="196"/>
      <c r="E251" s="196"/>
      <c r="F251" s="196"/>
      <c r="G251" s="196"/>
      <c r="H251" s="196"/>
      <c r="I251" s="196"/>
      <c r="J251" s="196"/>
    </row>
    <row r="252" spans="3:10">
      <c r="C252" s="196"/>
      <c r="D252" s="196"/>
      <c r="E252" s="196"/>
      <c r="F252" s="196"/>
      <c r="G252" s="196"/>
      <c r="H252" s="196"/>
      <c r="I252" s="196"/>
      <c r="J252" s="196"/>
    </row>
    <row r="253" spans="3:10">
      <c r="C253" s="196"/>
      <c r="D253" s="196"/>
      <c r="E253" s="196"/>
      <c r="F253" s="196"/>
      <c r="G253" s="196"/>
      <c r="H253" s="196"/>
      <c r="I253" s="196"/>
      <c r="J253" s="196"/>
    </row>
    <row r="254" spans="3:10">
      <c r="C254" s="196"/>
      <c r="D254" s="196"/>
      <c r="E254" s="196"/>
      <c r="F254" s="196"/>
      <c r="G254" s="196"/>
      <c r="H254" s="196"/>
      <c r="I254" s="196"/>
      <c r="J254" s="196"/>
    </row>
    <row r="255" spans="3:10">
      <c r="C255" s="196"/>
      <c r="D255" s="196"/>
      <c r="E255" s="196"/>
      <c r="F255" s="196"/>
      <c r="G255" s="196"/>
      <c r="H255" s="196"/>
      <c r="I255" s="196"/>
      <c r="J255" s="196"/>
    </row>
    <row r="256" spans="3:10">
      <c r="C256" s="196"/>
      <c r="D256" s="196"/>
      <c r="E256" s="196"/>
      <c r="F256" s="196"/>
      <c r="G256" s="196"/>
      <c r="H256" s="196"/>
      <c r="I256" s="196"/>
      <c r="J256" s="196"/>
    </row>
    <row r="257" spans="3:10">
      <c r="C257" s="196"/>
      <c r="D257" s="196"/>
      <c r="E257" s="196"/>
      <c r="F257" s="196"/>
      <c r="G257" s="196"/>
      <c r="H257" s="196"/>
      <c r="I257" s="196"/>
      <c r="J257" s="196"/>
    </row>
    <row r="258" spans="3:10">
      <c r="C258" s="196"/>
      <c r="D258" s="196"/>
      <c r="E258" s="196"/>
      <c r="F258" s="196"/>
      <c r="G258" s="196"/>
      <c r="H258" s="196"/>
      <c r="I258" s="196"/>
      <c r="J258" s="196"/>
    </row>
    <row r="259" spans="3:10">
      <c r="C259" s="196"/>
      <c r="D259" s="196"/>
      <c r="E259" s="196"/>
      <c r="F259" s="196"/>
      <c r="G259" s="196"/>
      <c r="H259" s="196"/>
      <c r="I259" s="196"/>
      <c r="J259" s="196"/>
    </row>
    <row r="260" spans="3:10">
      <c r="C260" s="196"/>
      <c r="D260" s="196"/>
      <c r="E260" s="196"/>
      <c r="F260" s="196"/>
      <c r="G260" s="196"/>
      <c r="H260" s="196"/>
      <c r="I260" s="196"/>
      <c r="J260" s="196"/>
    </row>
    <row r="261" spans="3:10">
      <c r="C261" s="196"/>
      <c r="D261" s="196"/>
      <c r="E261" s="196"/>
      <c r="F261" s="196"/>
      <c r="G261" s="196"/>
      <c r="H261" s="196"/>
      <c r="I261" s="196"/>
      <c r="J261" s="196"/>
    </row>
    <row r="262" spans="3:10">
      <c r="C262" s="196"/>
      <c r="D262" s="196"/>
      <c r="E262" s="196"/>
      <c r="F262" s="196"/>
      <c r="G262" s="196"/>
      <c r="H262" s="196"/>
      <c r="I262" s="196"/>
      <c r="J262" s="196"/>
    </row>
    <row r="263" spans="3:10">
      <c r="C263" s="196"/>
      <c r="D263" s="196"/>
      <c r="E263" s="196"/>
      <c r="F263" s="196"/>
      <c r="G263" s="196"/>
      <c r="H263" s="196"/>
      <c r="I263" s="196"/>
      <c r="J263" s="196"/>
    </row>
    <row r="264" spans="3:10">
      <c r="C264" s="196"/>
      <c r="D264" s="196"/>
      <c r="E264" s="196"/>
      <c r="F264" s="196"/>
      <c r="G264" s="196"/>
      <c r="H264" s="196"/>
      <c r="I264" s="196"/>
      <c r="J264" s="196"/>
    </row>
    <row r="265" spans="3:10">
      <c r="C265" s="196"/>
      <c r="D265" s="196"/>
      <c r="E265" s="196"/>
      <c r="F265" s="196"/>
      <c r="G265" s="196"/>
      <c r="H265" s="196"/>
      <c r="I265" s="196"/>
      <c r="J265" s="196"/>
    </row>
    <row r="266" spans="3:10">
      <c r="C266" s="196"/>
      <c r="D266" s="196"/>
      <c r="E266" s="196"/>
      <c r="F266" s="196"/>
      <c r="G266" s="196"/>
      <c r="H266" s="196"/>
      <c r="I266" s="196"/>
      <c r="J266" s="196"/>
    </row>
    <row r="267" spans="3:10">
      <c r="C267" s="196"/>
      <c r="D267" s="196"/>
      <c r="E267" s="196"/>
      <c r="F267" s="196"/>
      <c r="G267" s="196"/>
      <c r="H267" s="196"/>
      <c r="I267" s="196"/>
      <c r="J267" s="196"/>
    </row>
    <row r="268" spans="3:10">
      <c r="C268" s="196"/>
      <c r="D268" s="196"/>
      <c r="E268" s="196"/>
      <c r="F268" s="196"/>
      <c r="G268" s="196"/>
      <c r="H268" s="196"/>
      <c r="I268" s="196"/>
      <c r="J268" s="196"/>
    </row>
    <row r="269" spans="3:10">
      <c r="C269" s="196"/>
      <c r="D269" s="196"/>
      <c r="E269" s="196"/>
      <c r="F269" s="196"/>
      <c r="G269" s="196"/>
      <c r="H269" s="196"/>
      <c r="I269" s="196"/>
      <c r="J269" s="196"/>
    </row>
    <row r="270" spans="3:10">
      <c r="C270" s="196"/>
      <c r="D270" s="196"/>
      <c r="E270" s="196"/>
      <c r="F270" s="196"/>
      <c r="G270" s="196"/>
      <c r="H270" s="196"/>
      <c r="I270" s="196"/>
      <c r="J270" s="196"/>
    </row>
    <row r="271" spans="3:10">
      <c r="C271" s="196"/>
      <c r="D271" s="196"/>
      <c r="E271" s="196"/>
      <c r="F271" s="196"/>
      <c r="G271" s="196"/>
      <c r="H271" s="196"/>
      <c r="I271" s="196"/>
      <c r="J271" s="196"/>
    </row>
    <row r="272" spans="3:10">
      <c r="C272" s="196"/>
      <c r="D272" s="196"/>
      <c r="E272" s="196"/>
      <c r="F272" s="196"/>
      <c r="G272" s="196"/>
      <c r="H272" s="196"/>
      <c r="I272" s="196"/>
      <c r="J272" s="196"/>
    </row>
    <row r="273" spans="3:10">
      <c r="C273" s="196"/>
      <c r="D273" s="196"/>
      <c r="E273" s="196"/>
      <c r="F273" s="196"/>
      <c r="G273" s="196"/>
      <c r="H273" s="196"/>
      <c r="I273" s="196"/>
      <c r="J273" s="196"/>
    </row>
    <row r="274" spans="3:10">
      <c r="C274" s="196"/>
      <c r="D274" s="196"/>
      <c r="E274" s="196"/>
      <c r="F274" s="196"/>
      <c r="G274" s="196"/>
      <c r="H274" s="196"/>
      <c r="I274" s="196"/>
      <c r="J274" s="196"/>
    </row>
    <row r="275" spans="3:10">
      <c r="C275" s="196"/>
      <c r="D275" s="196"/>
      <c r="E275" s="196"/>
      <c r="F275" s="196"/>
      <c r="G275" s="196"/>
      <c r="H275" s="196"/>
      <c r="I275" s="196"/>
      <c r="J275" s="196"/>
    </row>
    <row r="276" spans="3:10">
      <c r="C276" s="196"/>
      <c r="D276" s="196"/>
      <c r="E276" s="196"/>
      <c r="F276" s="196"/>
      <c r="G276" s="196"/>
      <c r="H276" s="196"/>
      <c r="I276" s="196"/>
      <c r="J276" s="196"/>
    </row>
    <row r="277" spans="3:10">
      <c r="C277" s="196"/>
      <c r="D277" s="196"/>
      <c r="E277" s="196"/>
      <c r="F277" s="196"/>
      <c r="G277" s="196"/>
      <c r="H277" s="196"/>
      <c r="I277" s="196"/>
      <c r="J277" s="196"/>
    </row>
    <row r="278" spans="3:10">
      <c r="C278" s="196"/>
      <c r="D278" s="196"/>
      <c r="E278" s="196"/>
      <c r="F278" s="196"/>
      <c r="G278" s="196"/>
      <c r="H278" s="196"/>
      <c r="I278" s="196"/>
      <c r="J278" s="196"/>
    </row>
    <row r="279" spans="3:10">
      <c r="C279" s="196"/>
      <c r="D279" s="196"/>
      <c r="E279" s="196"/>
      <c r="F279" s="196"/>
      <c r="G279" s="196"/>
      <c r="H279" s="196"/>
      <c r="I279" s="196"/>
      <c r="J279" s="196"/>
    </row>
    <row r="280" spans="3:10">
      <c r="C280" s="196"/>
      <c r="D280" s="196"/>
      <c r="E280" s="196"/>
      <c r="F280" s="196"/>
      <c r="G280" s="196"/>
      <c r="H280" s="196"/>
      <c r="I280" s="196"/>
      <c r="J280" s="196"/>
    </row>
    <row r="281" spans="3:10">
      <c r="C281" s="196"/>
      <c r="D281" s="196"/>
      <c r="E281" s="196"/>
      <c r="F281" s="196"/>
      <c r="G281" s="196"/>
      <c r="H281" s="196"/>
      <c r="I281" s="196"/>
      <c r="J281" s="196"/>
    </row>
    <row r="282" spans="3:10">
      <c r="C282" s="196"/>
      <c r="D282" s="196"/>
      <c r="E282" s="196"/>
      <c r="F282" s="196"/>
      <c r="G282" s="196"/>
      <c r="H282" s="196"/>
      <c r="I282" s="196"/>
      <c r="J282" s="196"/>
    </row>
    <row r="283" spans="3:10">
      <c r="C283" s="196"/>
      <c r="D283" s="196"/>
      <c r="E283" s="196"/>
      <c r="F283" s="196"/>
      <c r="G283" s="196"/>
      <c r="H283" s="196"/>
      <c r="I283" s="196"/>
      <c r="J283" s="196"/>
    </row>
    <row r="284" spans="3:10">
      <c r="C284" s="196"/>
      <c r="D284" s="196"/>
      <c r="E284" s="196"/>
      <c r="F284" s="196"/>
      <c r="G284" s="196"/>
      <c r="H284" s="196"/>
      <c r="I284" s="196"/>
      <c r="J284" s="196"/>
    </row>
    <row r="285" spans="3:10">
      <c r="C285" s="196"/>
      <c r="D285" s="196"/>
      <c r="E285" s="196"/>
      <c r="F285" s="196"/>
      <c r="G285" s="196"/>
      <c r="H285" s="196"/>
      <c r="I285" s="196"/>
      <c r="J285" s="196"/>
    </row>
    <row r="286" spans="3:10">
      <c r="C286" s="196"/>
      <c r="D286" s="196"/>
      <c r="E286" s="196"/>
      <c r="F286" s="196"/>
      <c r="G286" s="196"/>
      <c r="H286" s="196"/>
      <c r="I286" s="196"/>
      <c r="J286" s="196"/>
    </row>
    <row r="287" spans="3:10">
      <c r="C287" s="196"/>
      <c r="D287" s="196"/>
      <c r="E287" s="196"/>
      <c r="F287" s="196"/>
      <c r="G287" s="196"/>
      <c r="H287" s="196"/>
      <c r="I287" s="196"/>
      <c r="J287" s="196"/>
    </row>
    <row r="288" spans="3:10">
      <c r="C288" s="196"/>
      <c r="D288" s="196"/>
      <c r="E288" s="196"/>
      <c r="F288" s="196"/>
      <c r="G288" s="196"/>
      <c r="H288" s="196"/>
      <c r="I288" s="196"/>
      <c r="J288" s="196"/>
    </row>
    <row r="289" spans="3:10">
      <c r="C289" s="196"/>
      <c r="D289" s="196"/>
      <c r="E289" s="196"/>
      <c r="F289" s="196"/>
      <c r="G289" s="196"/>
      <c r="H289" s="196"/>
      <c r="I289" s="196"/>
      <c r="J289" s="196"/>
    </row>
    <row r="290" spans="3:10">
      <c r="C290" s="196"/>
      <c r="D290" s="196"/>
      <c r="E290" s="196"/>
      <c r="F290" s="196"/>
      <c r="G290" s="196"/>
      <c r="H290" s="196"/>
      <c r="I290" s="196"/>
      <c r="J290" s="196"/>
    </row>
    <row r="291" spans="3:10">
      <c r="C291" s="196"/>
      <c r="D291" s="196"/>
      <c r="E291" s="196"/>
      <c r="F291" s="196"/>
      <c r="G291" s="196"/>
      <c r="H291" s="196"/>
      <c r="I291" s="196"/>
      <c r="J291" s="196"/>
    </row>
    <row r="292" spans="3:10">
      <c r="C292" s="196"/>
      <c r="D292" s="196"/>
      <c r="E292" s="196"/>
      <c r="F292" s="196"/>
      <c r="G292" s="196"/>
      <c r="H292" s="196"/>
      <c r="I292" s="196"/>
      <c r="J292" s="196"/>
    </row>
    <row r="293" spans="3:10">
      <c r="C293" s="196"/>
      <c r="D293" s="196"/>
      <c r="E293" s="196"/>
      <c r="F293" s="196"/>
      <c r="G293" s="196"/>
      <c r="H293" s="196"/>
      <c r="I293" s="196"/>
      <c r="J293" s="196"/>
    </row>
    <row r="294" spans="3:10">
      <c r="C294" s="196"/>
      <c r="D294" s="196"/>
      <c r="E294" s="196"/>
      <c r="F294" s="196"/>
      <c r="G294" s="196"/>
      <c r="H294" s="196"/>
      <c r="I294" s="196"/>
      <c r="J294" s="196"/>
    </row>
    <row r="295" spans="3:10">
      <c r="C295" s="196"/>
      <c r="D295" s="196"/>
      <c r="E295" s="196"/>
      <c r="F295" s="196"/>
      <c r="G295" s="196"/>
      <c r="H295" s="196"/>
      <c r="I295" s="196"/>
      <c r="J295" s="196"/>
    </row>
    <row r="296" spans="3:10">
      <c r="C296" s="196"/>
      <c r="D296" s="196"/>
      <c r="E296" s="196"/>
      <c r="F296" s="196"/>
      <c r="G296" s="196"/>
      <c r="H296" s="196"/>
      <c r="I296" s="196"/>
      <c r="J296" s="196"/>
    </row>
    <row r="297" spans="3:10">
      <c r="C297" s="196"/>
      <c r="D297" s="196"/>
      <c r="E297" s="196"/>
      <c r="F297" s="196"/>
      <c r="G297" s="196"/>
      <c r="H297" s="196"/>
      <c r="I297" s="196"/>
      <c r="J297" s="196"/>
    </row>
    <row r="298" spans="3:10">
      <c r="C298" s="196"/>
      <c r="D298" s="196"/>
      <c r="E298" s="196"/>
      <c r="F298" s="196"/>
      <c r="G298" s="196"/>
      <c r="H298" s="196"/>
      <c r="I298" s="196"/>
      <c r="J298" s="196"/>
    </row>
  </sheetData>
  <mergeCells count="8">
    <mergeCell ref="M100:X100"/>
    <mergeCell ref="M99:X99"/>
    <mergeCell ref="M93:X93"/>
    <mergeCell ref="M94:X94"/>
    <mergeCell ref="M95:X95"/>
    <mergeCell ref="M96:X96"/>
    <mergeCell ref="M97:X97"/>
    <mergeCell ref="M98:X98"/>
  </mergeCells>
  <printOptions horizontalCentered="1"/>
  <pageMargins left="0.75" right="0.75" top="0.75" bottom="0.5" header="0.5" footer="0.5"/>
  <pageSetup scale="56" orientation="landscape" horizontalDpi="300" verticalDpi="300" r:id="rId1"/>
  <headerFooter alignWithMargins="0"/>
  <rowBreaks count="1" manualBreakCount="1">
    <brk id="48" min="10" max="2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>
    <tabColor rgb="FFFF3300"/>
    <pageSetUpPr fitToPage="1"/>
  </sheetPr>
  <dimension ref="A1:BG298"/>
  <sheetViews>
    <sheetView zoomScale="75" zoomScaleNormal="75" workbookViewId="0">
      <selection activeCell="A2" sqref="A2"/>
    </sheetView>
  </sheetViews>
  <sheetFormatPr defaultRowHeight="15"/>
  <cols>
    <col min="1" max="1" width="6" style="138" customWidth="1"/>
    <col min="2" max="2" width="1.44140625" style="138" customWidth="1"/>
    <col min="3" max="3" width="53.21875" style="138" customWidth="1"/>
    <col min="4" max="4" width="1.109375" style="138" customWidth="1"/>
    <col min="5" max="5" width="37.109375" style="138" customWidth="1"/>
    <col min="6" max="6" width="1" style="138" customWidth="1"/>
    <col min="7" max="7" width="14.109375" style="138" customWidth="1"/>
    <col min="8" max="8" width="1" style="138" customWidth="1"/>
    <col min="9" max="9" width="12.77734375" style="138" customWidth="1"/>
    <col min="10" max="10" width="2.109375" style="138" customWidth="1"/>
    <col min="11" max="11" width="4.88671875" style="138" customWidth="1"/>
    <col min="12" max="12" width="2.88671875" style="138" customWidth="1"/>
    <col min="13" max="13" width="26.88671875" style="138" customWidth="1"/>
    <col min="14" max="14" width="9.21875" style="138" customWidth="1"/>
    <col min="15" max="15" width="10.77734375" style="138" customWidth="1"/>
    <col min="16" max="16" width="15.6640625" style="138" bestFit="1" customWidth="1"/>
    <col min="17" max="17" width="13.33203125" style="138" customWidth="1"/>
    <col min="18" max="18" width="11.21875" style="138" customWidth="1"/>
    <col min="19" max="19" width="14" style="138" customWidth="1"/>
    <col min="20" max="20" width="14.21875" style="138" customWidth="1"/>
    <col min="21" max="21" width="11.77734375" style="138" customWidth="1"/>
    <col min="22" max="22" width="15.6640625" style="138" customWidth="1"/>
    <col min="23" max="23" width="12.33203125" style="138" customWidth="1"/>
    <col min="24" max="24" width="16.33203125" style="138" customWidth="1"/>
    <col min="25" max="250" width="8.77734375" style="138"/>
    <col min="251" max="251" width="6" style="138" customWidth="1"/>
    <col min="252" max="252" width="1.44140625" style="138" customWidth="1"/>
    <col min="253" max="253" width="39.109375" style="138" customWidth="1"/>
    <col min="254" max="254" width="12" style="138" customWidth="1"/>
    <col min="255" max="255" width="14.44140625" style="138" customWidth="1"/>
    <col min="256" max="256" width="11.88671875" style="138" customWidth="1"/>
    <col min="257" max="257" width="14.109375" style="138" customWidth="1"/>
    <col min="258" max="258" width="13.88671875" style="138" customWidth="1"/>
    <col min="259" max="260" width="12.77734375" style="138" customWidth="1"/>
    <col min="261" max="261" width="13.5546875" style="138" customWidth="1"/>
    <col min="262" max="262" width="15.33203125" style="138" customWidth="1"/>
    <col min="263" max="263" width="12.77734375" style="138" customWidth="1"/>
    <col min="264" max="264" width="13.88671875" style="138" customWidth="1"/>
    <col min="265" max="265" width="1.88671875" style="138" customWidth="1"/>
    <col min="266" max="266" width="13" style="138" customWidth="1"/>
    <col min="267" max="506" width="8.77734375" style="138"/>
    <col min="507" max="507" width="6" style="138" customWidth="1"/>
    <col min="508" max="508" width="1.44140625" style="138" customWidth="1"/>
    <col min="509" max="509" width="39.109375" style="138" customWidth="1"/>
    <col min="510" max="510" width="12" style="138" customWidth="1"/>
    <col min="511" max="511" width="14.44140625" style="138" customWidth="1"/>
    <col min="512" max="512" width="11.88671875" style="138" customWidth="1"/>
    <col min="513" max="513" width="14.109375" style="138" customWidth="1"/>
    <col min="514" max="514" width="13.88671875" style="138" customWidth="1"/>
    <col min="515" max="516" width="12.77734375" style="138" customWidth="1"/>
    <col min="517" max="517" width="13.5546875" style="138" customWidth="1"/>
    <col min="518" max="518" width="15.33203125" style="138" customWidth="1"/>
    <col min="519" max="519" width="12.77734375" style="138" customWidth="1"/>
    <col min="520" max="520" width="13.88671875" style="138" customWidth="1"/>
    <col min="521" max="521" width="1.88671875" style="138" customWidth="1"/>
    <col min="522" max="522" width="13" style="138" customWidth="1"/>
    <col min="523" max="762" width="8.77734375" style="138"/>
    <col min="763" max="763" width="6" style="138" customWidth="1"/>
    <col min="764" max="764" width="1.44140625" style="138" customWidth="1"/>
    <col min="765" max="765" width="39.109375" style="138" customWidth="1"/>
    <col min="766" max="766" width="12" style="138" customWidth="1"/>
    <col min="767" max="767" width="14.44140625" style="138" customWidth="1"/>
    <col min="768" max="768" width="11.88671875" style="138" customWidth="1"/>
    <col min="769" max="769" width="14.109375" style="138" customWidth="1"/>
    <col min="770" max="770" width="13.88671875" style="138" customWidth="1"/>
    <col min="771" max="772" width="12.77734375" style="138" customWidth="1"/>
    <col min="773" max="773" width="13.5546875" style="138" customWidth="1"/>
    <col min="774" max="774" width="15.33203125" style="138" customWidth="1"/>
    <col min="775" max="775" width="12.77734375" style="138" customWidth="1"/>
    <col min="776" max="776" width="13.88671875" style="138" customWidth="1"/>
    <col min="777" max="777" width="1.88671875" style="138" customWidth="1"/>
    <col min="778" max="778" width="13" style="138" customWidth="1"/>
    <col min="779" max="1018" width="8.77734375" style="138"/>
    <col min="1019" max="1019" width="6" style="138" customWidth="1"/>
    <col min="1020" max="1020" width="1.44140625" style="138" customWidth="1"/>
    <col min="1021" max="1021" width="39.109375" style="138" customWidth="1"/>
    <col min="1022" max="1022" width="12" style="138" customWidth="1"/>
    <col min="1023" max="1023" width="14.44140625" style="138" customWidth="1"/>
    <col min="1024" max="1024" width="11.88671875" style="138" customWidth="1"/>
    <col min="1025" max="1025" width="14.109375" style="138" customWidth="1"/>
    <col min="1026" max="1026" width="13.88671875" style="138" customWidth="1"/>
    <col min="1027" max="1028" width="12.77734375" style="138" customWidth="1"/>
    <col min="1029" max="1029" width="13.5546875" style="138" customWidth="1"/>
    <col min="1030" max="1030" width="15.33203125" style="138" customWidth="1"/>
    <col min="1031" max="1031" width="12.77734375" style="138" customWidth="1"/>
    <col min="1032" max="1032" width="13.88671875" style="138" customWidth="1"/>
    <col min="1033" max="1033" width="1.88671875" style="138" customWidth="1"/>
    <col min="1034" max="1034" width="13" style="138" customWidth="1"/>
    <col min="1035" max="1274" width="8.77734375" style="138"/>
    <col min="1275" max="1275" width="6" style="138" customWidth="1"/>
    <col min="1276" max="1276" width="1.44140625" style="138" customWidth="1"/>
    <col min="1277" max="1277" width="39.109375" style="138" customWidth="1"/>
    <col min="1278" max="1278" width="12" style="138" customWidth="1"/>
    <col min="1279" max="1279" width="14.44140625" style="138" customWidth="1"/>
    <col min="1280" max="1280" width="11.88671875" style="138" customWidth="1"/>
    <col min="1281" max="1281" width="14.109375" style="138" customWidth="1"/>
    <col min="1282" max="1282" width="13.88671875" style="138" customWidth="1"/>
    <col min="1283" max="1284" width="12.77734375" style="138" customWidth="1"/>
    <col min="1285" max="1285" width="13.5546875" style="138" customWidth="1"/>
    <col min="1286" max="1286" width="15.33203125" style="138" customWidth="1"/>
    <col min="1287" max="1287" width="12.77734375" style="138" customWidth="1"/>
    <col min="1288" max="1288" width="13.88671875" style="138" customWidth="1"/>
    <col min="1289" max="1289" width="1.88671875" style="138" customWidth="1"/>
    <col min="1290" max="1290" width="13" style="138" customWidth="1"/>
    <col min="1291" max="1530" width="8.77734375" style="138"/>
    <col min="1531" max="1531" width="6" style="138" customWidth="1"/>
    <col min="1532" max="1532" width="1.44140625" style="138" customWidth="1"/>
    <col min="1533" max="1533" width="39.109375" style="138" customWidth="1"/>
    <col min="1534" max="1534" width="12" style="138" customWidth="1"/>
    <col min="1535" max="1535" width="14.44140625" style="138" customWidth="1"/>
    <col min="1536" max="1536" width="11.88671875" style="138" customWidth="1"/>
    <col min="1537" max="1537" width="14.109375" style="138" customWidth="1"/>
    <col min="1538" max="1538" width="13.88671875" style="138" customWidth="1"/>
    <col min="1539" max="1540" width="12.77734375" style="138" customWidth="1"/>
    <col min="1541" max="1541" width="13.5546875" style="138" customWidth="1"/>
    <col min="1542" max="1542" width="15.33203125" style="138" customWidth="1"/>
    <col min="1543" max="1543" width="12.77734375" style="138" customWidth="1"/>
    <col min="1544" max="1544" width="13.88671875" style="138" customWidth="1"/>
    <col min="1545" max="1545" width="1.88671875" style="138" customWidth="1"/>
    <col min="1546" max="1546" width="13" style="138" customWidth="1"/>
    <col min="1547" max="1786" width="8.77734375" style="138"/>
    <col min="1787" max="1787" width="6" style="138" customWidth="1"/>
    <col min="1788" max="1788" width="1.44140625" style="138" customWidth="1"/>
    <col min="1789" max="1789" width="39.109375" style="138" customWidth="1"/>
    <col min="1790" max="1790" width="12" style="138" customWidth="1"/>
    <col min="1791" max="1791" width="14.44140625" style="138" customWidth="1"/>
    <col min="1792" max="1792" width="11.88671875" style="138" customWidth="1"/>
    <col min="1793" max="1793" width="14.109375" style="138" customWidth="1"/>
    <col min="1794" max="1794" width="13.88671875" style="138" customWidth="1"/>
    <col min="1795" max="1796" width="12.77734375" style="138" customWidth="1"/>
    <col min="1797" max="1797" width="13.5546875" style="138" customWidth="1"/>
    <col min="1798" max="1798" width="15.33203125" style="138" customWidth="1"/>
    <col min="1799" max="1799" width="12.77734375" style="138" customWidth="1"/>
    <col min="1800" max="1800" width="13.88671875" style="138" customWidth="1"/>
    <col min="1801" max="1801" width="1.88671875" style="138" customWidth="1"/>
    <col min="1802" max="1802" width="13" style="138" customWidth="1"/>
    <col min="1803" max="2042" width="8.77734375" style="138"/>
    <col min="2043" max="2043" width="6" style="138" customWidth="1"/>
    <col min="2044" max="2044" width="1.44140625" style="138" customWidth="1"/>
    <col min="2045" max="2045" width="39.109375" style="138" customWidth="1"/>
    <col min="2046" max="2046" width="12" style="138" customWidth="1"/>
    <col min="2047" max="2047" width="14.44140625" style="138" customWidth="1"/>
    <col min="2048" max="2048" width="11.88671875" style="138" customWidth="1"/>
    <col min="2049" max="2049" width="14.109375" style="138" customWidth="1"/>
    <col min="2050" max="2050" width="13.88671875" style="138" customWidth="1"/>
    <col min="2051" max="2052" width="12.77734375" style="138" customWidth="1"/>
    <col min="2053" max="2053" width="13.5546875" style="138" customWidth="1"/>
    <col min="2054" max="2054" width="15.33203125" style="138" customWidth="1"/>
    <col min="2055" max="2055" width="12.77734375" style="138" customWidth="1"/>
    <col min="2056" max="2056" width="13.88671875" style="138" customWidth="1"/>
    <col min="2057" max="2057" width="1.88671875" style="138" customWidth="1"/>
    <col min="2058" max="2058" width="13" style="138" customWidth="1"/>
    <col min="2059" max="2298" width="8.77734375" style="138"/>
    <col min="2299" max="2299" width="6" style="138" customWidth="1"/>
    <col min="2300" max="2300" width="1.44140625" style="138" customWidth="1"/>
    <col min="2301" max="2301" width="39.109375" style="138" customWidth="1"/>
    <col min="2302" max="2302" width="12" style="138" customWidth="1"/>
    <col min="2303" max="2303" width="14.44140625" style="138" customWidth="1"/>
    <col min="2304" max="2304" width="11.88671875" style="138" customWidth="1"/>
    <col min="2305" max="2305" width="14.109375" style="138" customWidth="1"/>
    <col min="2306" max="2306" width="13.88671875" style="138" customWidth="1"/>
    <col min="2307" max="2308" width="12.77734375" style="138" customWidth="1"/>
    <col min="2309" max="2309" width="13.5546875" style="138" customWidth="1"/>
    <col min="2310" max="2310" width="15.33203125" style="138" customWidth="1"/>
    <col min="2311" max="2311" width="12.77734375" style="138" customWidth="1"/>
    <col min="2312" max="2312" width="13.88671875" style="138" customWidth="1"/>
    <col min="2313" max="2313" width="1.88671875" style="138" customWidth="1"/>
    <col min="2314" max="2314" width="13" style="138" customWidth="1"/>
    <col min="2315" max="2554" width="8.77734375" style="138"/>
    <col min="2555" max="2555" width="6" style="138" customWidth="1"/>
    <col min="2556" max="2556" width="1.44140625" style="138" customWidth="1"/>
    <col min="2557" max="2557" width="39.109375" style="138" customWidth="1"/>
    <col min="2558" max="2558" width="12" style="138" customWidth="1"/>
    <col min="2559" max="2559" width="14.44140625" style="138" customWidth="1"/>
    <col min="2560" max="2560" width="11.88671875" style="138" customWidth="1"/>
    <col min="2561" max="2561" width="14.109375" style="138" customWidth="1"/>
    <col min="2562" max="2562" width="13.88671875" style="138" customWidth="1"/>
    <col min="2563" max="2564" width="12.77734375" style="138" customWidth="1"/>
    <col min="2565" max="2565" width="13.5546875" style="138" customWidth="1"/>
    <col min="2566" max="2566" width="15.33203125" style="138" customWidth="1"/>
    <col min="2567" max="2567" width="12.77734375" style="138" customWidth="1"/>
    <col min="2568" max="2568" width="13.88671875" style="138" customWidth="1"/>
    <col min="2569" max="2569" width="1.88671875" style="138" customWidth="1"/>
    <col min="2570" max="2570" width="13" style="138" customWidth="1"/>
    <col min="2571" max="2810" width="8.77734375" style="138"/>
    <col min="2811" max="2811" width="6" style="138" customWidth="1"/>
    <col min="2812" max="2812" width="1.44140625" style="138" customWidth="1"/>
    <col min="2813" max="2813" width="39.109375" style="138" customWidth="1"/>
    <col min="2814" max="2814" width="12" style="138" customWidth="1"/>
    <col min="2815" max="2815" width="14.44140625" style="138" customWidth="1"/>
    <col min="2816" max="2816" width="11.88671875" style="138" customWidth="1"/>
    <col min="2817" max="2817" width="14.109375" style="138" customWidth="1"/>
    <col min="2818" max="2818" width="13.88671875" style="138" customWidth="1"/>
    <col min="2819" max="2820" width="12.77734375" style="138" customWidth="1"/>
    <col min="2821" max="2821" width="13.5546875" style="138" customWidth="1"/>
    <col min="2822" max="2822" width="15.33203125" style="138" customWidth="1"/>
    <col min="2823" max="2823" width="12.77734375" style="138" customWidth="1"/>
    <col min="2824" max="2824" width="13.88671875" style="138" customWidth="1"/>
    <col min="2825" max="2825" width="1.88671875" style="138" customWidth="1"/>
    <col min="2826" max="2826" width="13" style="138" customWidth="1"/>
    <col min="2827" max="3066" width="8.77734375" style="138"/>
    <col min="3067" max="3067" width="6" style="138" customWidth="1"/>
    <col min="3068" max="3068" width="1.44140625" style="138" customWidth="1"/>
    <col min="3069" max="3069" width="39.109375" style="138" customWidth="1"/>
    <col min="3070" max="3070" width="12" style="138" customWidth="1"/>
    <col min="3071" max="3071" width="14.44140625" style="138" customWidth="1"/>
    <col min="3072" max="3072" width="11.88671875" style="138" customWidth="1"/>
    <col min="3073" max="3073" width="14.109375" style="138" customWidth="1"/>
    <col min="3074" max="3074" width="13.88671875" style="138" customWidth="1"/>
    <col min="3075" max="3076" width="12.77734375" style="138" customWidth="1"/>
    <col min="3077" max="3077" width="13.5546875" style="138" customWidth="1"/>
    <col min="3078" max="3078" width="15.33203125" style="138" customWidth="1"/>
    <col min="3079" max="3079" width="12.77734375" style="138" customWidth="1"/>
    <col min="3080" max="3080" width="13.88671875" style="138" customWidth="1"/>
    <col min="3081" max="3081" width="1.88671875" style="138" customWidth="1"/>
    <col min="3082" max="3082" width="13" style="138" customWidth="1"/>
    <col min="3083" max="3322" width="8.77734375" style="138"/>
    <col min="3323" max="3323" width="6" style="138" customWidth="1"/>
    <col min="3324" max="3324" width="1.44140625" style="138" customWidth="1"/>
    <col min="3325" max="3325" width="39.109375" style="138" customWidth="1"/>
    <col min="3326" max="3326" width="12" style="138" customWidth="1"/>
    <col min="3327" max="3327" width="14.44140625" style="138" customWidth="1"/>
    <col min="3328" max="3328" width="11.88671875" style="138" customWidth="1"/>
    <col min="3329" max="3329" width="14.109375" style="138" customWidth="1"/>
    <col min="3330" max="3330" width="13.88671875" style="138" customWidth="1"/>
    <col min="3331" max="3332" width="12.77734375" style="138" customWidth="1"/>
    <col min="3333" max="3333" width="13.5546875" style="138" customWidth="1"/>
    <col min="3334" max="3334" width="15.33203125" style="138" customWidth="1"/>
    <col min="3335" max="3335" width="12.77734375" style="138" customWidth="1"/>
    <col min="3336" max="3336" width="13.88671875" style="138" customWidth="1"/>
    <col min="3337" max="3337" width="1.88671875" style="138" customWidth="1"/>
    <col min="3338" max="3338" width="13" style="138" customWidth="1"/>
    <col min="3339" max="3578" width="8.77734375" style="138"/>
    <col min="3579" max="3579" width="6" style="138" customWidth="1"/>
    <col min="3580" max="3580" width="1.44140625" style="138" customWidth="1"/>
    <col min="3581" max="3581" width="39.109375" style="138" customWidth="1"/>
    <col min="3582" max="3582" width="12" style="138" customWidth="1"/>
    <col min="3583" max="3583" width="14.44140625" style="138" customWidth="1"/>
    <col min="3584" max="3584" width="11.88671875" style="138" customWidth="1"/>
    <col min="3585" max="3585" width="14.109375" style="138" customWidth="1"/>
    <col min="3586" max="3586" width="13.88671875" style="138" customWidth="1"/>
    <col min="3587" max="3588" width="12.77734375" style="138" customWidth="1"/>
    <col min="3589" max="3589" width="13.5546875" style="138" customWidth="1"/>
    <col min="3590" max="3590" width="15.33203125" style="138" customWidth="1"/>
    <col min="3591" max="3591" width="12.77734375" style="138" customWidth="1"/>
    <col min="3592" max="3592" width="13.88671875" style="138" customWidth="1"/>
    <col min="3593" max="3593" width="1.88671875" style="138" customWidth="1"/>
    <col min="3594" max="3594" width="13" style="138" customWidth="1"/>
    <col min="3595" max="3834" width="8.77734375" style="138"/>
    <col min="3835" max="3835" width="6" style="138" customWidth="1"/>
    <col min="3836" max="3836" width="1.44140625" style="138" customWidth="1"/>
    <col min="3837" max="3837" width="39.109375" style="138" customWidth="1"/>
    <col min="3838" max="3838" width="12" style="138" customWidth="1"/>
    <col min="3839" max="3839" width="14.44140625" style="138" customWidth="1"/>
    <col min="3840" max="3840" width="11.88671875" style="138" customWidth="1"/>
    <col min="3841" max="3841" width="14.109375" style="138" customWidth="1"/>
    <col min="3842" max="3842" width="13.88671875" style="138" customWidth="1"/>
    <col min="3843" max="3844" width="12.77734375" style="138" customWidth="1"/>
    <col min="3845" max="3845" width="13.5546875" style="138" customWidth="1"/>
    <col min="3846" max="3846" width="15.33203125" style="138" customWidth="1"/>
    <col min="3847" max="3847" width="12.77734375" style="138" customWidth="1"/>
    <col min="3848" max="3848" width="13.88671875" style="138" customWidth="1"/>
    <col min="3849" max="3849" width="1.88671875" style="138" customWidth="1"/>
    <col min="3850" max="3850" width="13" style="138" customWidth="1"/>
    <col min="3851" max="4090" width="8.77734375" style="138"/>
    <col min="4091" max="4091" width="6" style="138" customWidth="1"/>
    <col min="4092" max="4092" width="1.44140625" style="138" customWidth="1"/>
    <col min="4093" max="4093" width="39.109375" style="138" customWidth="1"/>
    <col min="4094" max="4094" width="12" style="138" customWidth="1"/>
    <col min="4095" max="4095" width="14.44140625" style="138" customWidth="1"/>
    <col min="4096" max="4096" width="11.88671875" style="138" customWidth="1"/>
    <col min="4097" max="4097" width="14.109375" style="138" customWidth="1"/>
    <col min="4098" max="4098" width="13.88671875" style="138" customWidth="1"/>
    <col min="4099" max="4100" width="12.77734375" style="138" customWidth="1"/>
    <col min="4101" max="4101" width="13.5546875" style="138" customWidth="1"/>
    <col min="4102" max="4102" width="15.33203125" style="138" customWidth="1"/>
    <col min="4103" max="4103" width="12.77734375" style="138" customWidth="1"/>
    <col min="4104" max="4104" width="13.88671875" style="138" customWidth="1"/>
    <col min="4105" max="4105" width="1.88671875" style="138" customWidth="1"/>
    <col min="4106" max="4106" width="13" style="138" customWidth="1"/>
    <col min="4107" max="4346" width="8.77734375" style="138"/>
    <col min="4347" max="4347" width="6" style="138" customWidth="1"/>
    <col min="4348" max="4348" width="1.44140625" style="138" customWidth="1"/>
    <col min="4349" max="4349" width="39.109375" style="138" customWidth="1"/>
    <col min="4350" max="4350" width="12" style="138" customWidth="1"/>
    <col min="4351" max="4351" width="14.44140625" style="138" customWidth="1"/>
    <col min="4352" max="4352" width="11.88671875" style="138" customWidth="1"/>
    <col min="4353" max="4353" width="14.109375" style="138" customWidth="1"/>
    <col min="4354" max="4354" width="13.88671875" style="138" customWidth="1"/>
    <col min="4355" max="4356" width="12.77734375" style="138" customWidth="1"/>
    <col min="4357" max="4357" width="13.5546875" style="138" customWidth="1"/>
    <col min="4358" max="4358" width="15.33203125" style="138" customWidth="1"/>
    <col min="4359" max="4359" width="12.77734375" style="138" customWidth="1"/>
    <col min="4360" max="4360" width="13.88671875" style="138" customWidth="1"/>
    <col min="4361" max="4361" width="1.88671875" style="138" customWidth="1"/>
    <col min="4362" max="4362" width="13" style="138" customWidth="1"/>
    <col min="4363" max="4602" width="8.77734375" style="138"/>
    <col min="4603" max="4603" width="6" style="138" customWidth="1"/>
    <col min="4604" max="4604" width="1.44140625" style="138" customWidth="1"/>
    <col min="4605" max="4605" width="39.109375" style="138" customWidth="1"/>
    <col min="4606" max="4606" width="12" style="138" customWidth="1"/>
    <col min="4607" max="4607" width="14.44140625" style="138" customWidth="1"/>
    <col min="4608" max="4608" width="11.88671875" style="138" customWidth="1"/>
    <col min="4609" max="4609" width="14.109375" style="138" customWidth="1"/>
    <col min="4610" max="4610" width="13.88671875" style="138" customWidth="1"/>
    <col min="4611" max="4612" width="12.77734375" style="138" customWidth="1"/>
    <col min="4613" max="4613" width="13.5546875" style="138" customWidth="1"/>
    <col min="4614" max="4614" width="15.33203125" style="138" customWidth="1"/>
    <col min="4615" max="4615" width="12.77734375" style="138" customWidth="1"/>
    <col min="4616" max="4616" width="13.88671875" style="138" customWidth="1"/>
    <col min="4617" max="4617" width="1.88671875" style="138" customWidth="1"/>
    <col min="4618" max="4618" width="13" style="138" customWidth="1"/>
    <col min="4619" max="4858" width="8.77734375" style="138"/>
    <col min="4859" max="4859" width="6" style="138" customWidth="1"/>
    <col min="4860" max="4860" width="1.44140625" style="138" customWidth="1"/>
    <col min="4861" max="4861" width="39.109375" style="138" customWidth="1"/>
    <col min="4862" max="4862" width="12" style="138" customWidth="1"/>
    <col min="4863" max="4863" width="14.44140625" style="138" customWidth="1"/>
    <col min="4864" max="4864" width="11.88671875" style="138" customWidth="1"/>
    <col min="4865" max="4865" width="14.109375" style="138" customWidth="1"/>
    <col min="4866" max="4866" width="13.88671875" style="138" customWidth="1"/>
    <col min="4867" max="4868" width="12.77734375" style="138" customWidth="1"/>
    <col min="4869" max="4869" width="13.5546875" style="138" customWidth="1"/>
    <col min="4870" max="4870" width="15.33203125" style="138" customWidth="1"/>
    <col min="4871" max="4871" width="12.77734375" style="138" customWidth="1"/>
    <col min="4872" max="4872" width="13.88671875" style="138" customWidth="1"/>
    <col min="4873" max="4873" width="1.88671875" style="138" customWidth="1"/>
    <col min="4874" max="4874" width="13" style="138" customWidth="1"/>
    <col min="4875" max="5114" width="8.77734375" style="138"/>
    <col min="5115" max="5115" width="6" style="138" customWidth="1"/>
    <col min="5116" max="5116" width="1.44140625" style="138" customWidth="1"/>
    <col min="5117" max="5117" width="39.109375" style="138" customWidth="1"/>
    <col min="5118" max="5118" width="12" style="138" customWidth="1"/>
    <col min="5119" max="5119" width="14.44140625" style="138" customWidth="1"/>
    <col min="5120" max="5120" width="11.88671875" style="138" customWidth="1"/>
    <col min="5121" max="5121" width="14.109375" style="138" customWidth="1"/>
    <col min="5122" max="5122" width="13.88671875" style="138" customWidth="1"/>
    <col min="5123" max="5124" width="12.77734375" style="138" customWidth="1"/>
    <col min="5125" max="5125" width="13.5546875" style="138" customWidth="1"/>
    <col min="5126" max="5126" width="15.33203125" style="138" customWidth="1"/>
    <col min="5127" max="5127" width="12.77734375" style="138" customWidth="1"/>
    <col min="5128" max="5128" width="13.88671875" style="138" customWidth="1"/>
    <col min="5129" max="5129" width="1.88671875" style="138" customWidth="1"/>
    <col min="5130" max="5130" width="13" style="138" customWidth="1"/>
    <col min="5131" max="5370" width="8.77734375" style="138"/>
    <col min="5371" max="5371" width="6" style="138" customWidth="1"/>
    <col min="5372" max="5372" width="1.44140625" style="138" customWidth="1"/>
    <col min="5373" max="5373" width="39.109375" style="138" customWidth="1"/>
    <col min="5374" max="5374" width="12" style="138" customWidth="1"/>
    <col min="5375" max="5375" width="14.44140625" style="138" customWidth="1"/>
    <col min="5376" max="5376" width="11.88671875" style="138" customWidth="1"/>
    <col min="5377" max="5377" width="14.109375" style="138" customWidth="1"/>
    <col min="5378" max="5378" width="13.88671875" style="138" customWidth="1"/>
    <col min="5379" max="5380" width="12.77734375" style="138" customWidth="1"/>
    <col min="5381" max="5381" width="13.5546875" style="138" customWidth="1"/>
    <col min="5382" max="5382" width="15.33203125" style="138" customWidth="1"/>
    <col min="5383" max="5383" width="12.77734375" style="138" customWidth="1"/>
    <col min="5384" max="5384" width="13.88671875" style="138" customWidth="1"/>
    <col min="5385" max="5385" width="1.88671875" style="138" customWidth="1"/>
    <col min="5386" max="5386" width="13" style="138" customWidth="1"/>
    <col min="5387" max="5626" width="8.77734375" style="138"/>
    <col min="5627" max="5627" width="6" style="138" customWidth="1"/>
    <col min="5628" max="5628" width="1.44140625" style="138" customWidth="1"/>
    <col min="5629" max="5629" width="39.109375" style="138" customWidth="1"/>
    <col min="5630" max="5630" width="12" style="138" customWidth="1"/>
    <col min="5631" max="5631" width="14.44140625" style="138" customWidth="1"/>
    <col min="5632" max="5632" width="11.88671875" style="138" customWidth="1"/>
    <col min="5633" max="5633" width="14.109375" style="138" customWidth="1"/>
    <col min="5634" max="5634" width="13.88671875" style="138" customWidth="1"/>
    <col min="5635" max="5636" width="12.77734375" style="138" customWidth="1"/>
    <col min="5637" max="5637" width="13.5546875" style="138" customWidth="1"/>
    <col min="5638" max="5638" width="15.33203125" style="138" customWidth="1"/>
    <col min="5639" max="5639" width="12.77734375" style="138" customWidth="1"/>
    <col min="5640" max="5640" width="13.88671875" style="138" customWidth="1"/>
    <col min="5641" max="5641" width="1.88671875" style="138" customWidth="1"/>
    <col min="5642" max="5642" width="13" style="138" customWidth="1"/>
    <col min="5643" max="5882" width="8.77734375" style="138"/>
    <col min="5883" max="5883" width="6" style="138" customWidth="1"/>
    <col min="5884" max="5884" width="1.44140625" style="138" customWidth="1"/>
    <col min="5885" max="5885" width="39.109375" style="138" customWidth="1"/>
    <col min="5886" max="5886" width="12" style="138" customWidth="1"/>
    <col min="5887" max="5887" width="14.44140625" style="138" customWidth="1"/>
    <col min="5888" max="5888" width="11.88671875" style="138" customWidth="1"/>
    <col min="5889" max="5889" width="14.109375" style="138" customWidth="1"/>
    <col min="5890" max="5890" width="13.88671875" style="138" customWidth="1"/>
    <col min="5891" max="5892" width="12.77734375" style="138" customWidth="1"/>
    <col min="5893" max="5893" width="13.5546875" style="138" customWidth="1"/>
    <col min="5894" max="5894" width="15.33203125" style="138" customWidth="1"/>
    <col min="5895" max="5895" width="12.77734375" style="138" customWidth="1"/>
    <col min="5896" max="5896" width="13.88671875" style="138" customWidth="1"/>
    <col min="5897" max="5897" width="1.88671875" style="138" customWidth="1"/>
    <col min="5898" max="5898" width="13" style="138" customWidth="1"/>
    <col min="5899" max="6138" width="8.77734375" style="138"/>
    <col min="6139" max="6139" width="6" style="138" customWidth="1"/>
    <col min="6140" max="6140" width="1.44140625" style="138" customWidth="1"/>
    <col min="6141" max="6141" width="39.109375" style="138" customWidth="1"/>
    <col min="6142" max="6142" width="12" style="138" customWidth="1"/>
    <col min="6143" max="6143" width="14.44140625" style="138" customWidth="1"/>
    <col min="6144" max="6144" width="11.88671875" style="138" customWidth="1"/>
    <col min="6145" max="6145" width="14.109375" style="138" customWidth="1"/>
    <col min="6146" max="6146" width="13.88671875" style="138" customWidth="1"/>
    <col min="6147" max="6148" width="12.77734375" style="138" customWidth="1"/>
    <col min="6149" max="6149" width="13.5546875" style="138" customWidth="1"/>
    <col min="6150" max="6150" width="15.33203125" style="138" customWidth="1"/>
    <col min="6151" max="6151" width="12.77734375" style="138" customWidth="1"/>
    <col min="6152" max="6152" width="13.88671875" style="138" customWidth="1"/>
    <col min="6153" max="6153" width="1.88671875" style="138" customWidth="1"/>
    <col min="6154" max="6154" width="13" style="138" customWidth="1"/>
    <col min="6155" max="6394" width="8.77734375" style="138"/>
    <col min="6395" max="6395" width="6" style="138" customWidth="1"/>
    <col min="6396" max="6396" width="1.44140625" style="138" customWidth="1"/>
    <col min="6397" max="6397" width="39.109375" style="138" customWidth="1"/>
    <col min="6398" max="6398" width="12" style="138" customWidth="1"/>
    <col min="6399" max="6399" width="14.44140625" style="138" customWidth="1"/>
    <col min="6400" max="6400" width="11.88671875" style="138" customWidth="1"/>
    <col min="6401" max="6401" width="14.109375" style="138" customWidth="1"/>
    <col min="6402" max="6402" width="13.88671875" style="138" customWidth="1"/>
    <col min="6403" max="6404" width="12.77734375" style="138" customWidth="1"/>
    <col min="6405" max="6405" width="13.5546875" style="138" customWidth="1"/>
    <col min="6406" max="6406" width="15.33203125" style="138" customWidth="1"/>
    <col min="6407" max="6407" width="12.77734375" style="138" customWidth="1"/>
    <col min="6408" max="6408" width="13.88671875" style="138" customWidth="1"/>
    <col min="6409" max="6409" width="1.88671875" style="138" customWidth="1"/>
    <col min="6410" max="6410" width="13" style="138" customWidth="1"/>
    <col min="6411" max="6650" width="8.77734375" style="138"/>
    <col min="6651" max="6651" width="6" style="138" customWidth="1"/>
    <col min="6652" max="6652" width="1.44140625" style="138" customWidth="1"/>
    <col min="6653" max="6653" width="39.109375" style="138" customWidth="1"/>
    <col min="6654" max="6654" width="12" style="138" customWidth="1"/>
    <col min="6655" max="6655" width="14.44140625" style="138" customWidth="1"/>
    <col min="6656" max="6656" width="11.88671875" style="138" customWidth="1"/>
    <col min="6657" max="6657" width="14.109375" style="138" customWidth="1"/>
    <col min="6658" max="6658" width="13.88671875" style="138" customWidth="1"/>
    <col min="6659" max="6660" width="12.77734375" style="138" customWidth="1"/>
    <col min="6661" max="6661" width="13.5546875" style="138" customWidth="1"/>
    <col min="6662" max="6662" width="15.33203125" style="138" customWidth="1"/>
    <col min="6663" max="6663" width="12.77734375" style="138" customWidth="1"/>
    <col min="6664" max="6664" width="13.88671875" style="138" customWidth="1"/>
    <col min="6665" max="6665" width="1.88671875" style="138" customWidth="1"/>
    <col min="6666" max="6666" width="13" style="138" customWidth="1"/>
    <col min="6667" max="6906" width="8.77734375" style="138"/>
    <col min="6907" max="6907" width="6" style="138" customWidth="1"/>
    <col min="6908" max="6908" width="1.44140625" style="138" customWidth="1"/>
    <col min="6909" max="6909" width="39.109375" style="138" customWidth="1"/>
    <col min="6910" max="6910" width="12" style="138" customWidth="1"/>
    <col min="6911" max="6911" width="14.44140625" style="138" customWidth="1"/>
    <col min="6912" max="6912" width="11.88671875" style="138" customWidth="1"/>
    <col min="6913" max="6913" width="14.109375" style="138" customWidth="1"/>
    <col min="6914" max="6914" width="13.88671875" style="138" customWidth="1"/>
    <col min="6915" max="6916" width="12.77734375" style="138" customWidth="1"/>
    <col min="6917" max="6917" width="13.5546875" style="138" customWidth="1"/>
    <col min="6918" max="6918" width="15.33203125" style="138" customWidth="1"/>
    <col min="6919" max="6919" width="12.77734375" style="138" customWidth="1"/>
    <col min="6920" max="6920" width="13.88671875" style="138" customWidth="1"/>
    <col min="6921" max="6921" width="1.88671875" style="138" customWidth="1"/>
    <col min="6922" max="6922" width="13" style="138" customWidth="1"/>
    <col min="6923" max="7162" width="8.77734375" style="138"/>
    <col min="7163" max="7163" width="6" style="138" customWidth="1"/>
    <col min="7164" max="7164" width="1.44140625" style="138" customWidth="1"/>
    <col min="7165" max="7165" width="39.109375" style="138" customWidth="1"/>
    <col min="7166" max="7166" width="12" style="138" customWidth="1"/>
    <col min="7167" max="7167" width="14.44140625" style="138" customWidth="1"/>
    <col min="7168" max="7168" width="11.88671875" style="138" customWidth="1"/>
    <col min="7169" max="7169" width="14.109375" style="138" customWidth="1"/>
    <col min="7170" max="7170" width="13.88671875" style="138" customWidth="1"/>
    <col min="7171" max="7172" width="12.77734375" style="138" customWidth="1"/>
    <col min="7173" max="7173" width="13.5546875" style="138" customWidth="1"/>
    <col min="7174" max="7174" width="15.33203125" style="138" customWidth="1"/>
    <col min="7175" max="7175" width="12.77734375" style="138" customWidth="1"/>
    <col min="7176" max="7176" width="13.88671875" style="138" customWidth="1"/>
    <col min="7177" max="7177" width="1.88671875" style="138" customWidth="1"/>
    <col min="7178" max="7178" width="13" style="138" customWidth="1"/>
    <col min="7179" max="7418" width="8.77734375" style="138"/>
    <col min="7419" max="7419" width="6" style="138" customWidth="1"/>
    <col min="7420" max="7420" width="1.44140625" style="138" customWidth="1"/>
    <col min="7421" max="7421" width="39.109375" style="138" customWidth="1"/>
    <col min="7422" max="7422" width="12" style="138" customWidth="1"/>
    <col min="7423" max="7423" width="14.44140625" style="138" customWidth="1"/>
    <col min="7424" max="7424" width="11.88671875" style="138" customWidth="1"/>
    <col min="7425" max="7425" width="14.109375" style="138" customWidth="1"/>
    <col min="7426" max="7426" width="13.88671875" style="138" customWidth="1"/>
    <col min="7427" max="7428" width="12.77734375" style="138" customWidth="1"/>
    <col min="7429" max="7429" width="13.5546875" style="138" customWidth="1"/>
    <col min="7430" max="7430" width="15.33203125" style="138" customWidth="1"/>
    <col min="7431" max="7431" width="12.77734375" style="138" customWidth="1"/>
    <col min="7432" max="7432" width="13.88671875" style="138" customWidth="1"/>
    <col min="7433" max="7433" width="1.88671875" style="138" customWidth="1"/>
    <col min="7434" max="7434" width="13" style="138" customWidth="1"/>
    <col min="7435" max="7674" width="8.77734375" style="138"/>
    <col min="7675" max="7675" width="6" style="138" customWidth="1"/>
    <col min="7676" max="7676" width="1.44140625" style="138" customWidth="1"/>
    <col min="7677" max="7677" width="39.109375" style="138" customWidth="1"/>
    <col min="7678" max="7678" width="12" style="138" customWidth="1"/>
    <col min="7679" max="7679" width="14.44140625" style="138" customWidth="1"/>
    <col min="7680" max="7680" width="11.88671875" style="138" customWidth="1"/>
    <col min="7681" max="7681" width="14.109375" style="138" customWidth="1"/>
    <col min="7682" max="7682" width="13.88671875" style="138" customWidth="1"/>
    <col min="7683" max="7684" width="12.77734375" style="138" customWidth="1"/>
    <col min="7685" max="7685" width="13.5546875" style="138" customWidth="1"/>
    <col min="7686" max="7686" width="15.33203125" style="138" customWidth="1"/>
    <col min="7687" max="7687" width="12.77734375" style="138" customWidth="1"/>
    <col min="7688" max="7688" width="13.88671875" style="138" customWidth="1"/>
    <col min="7689" max="7689" width="1.88671875" style="138" customWidth="1"/>
    <col min="7690" max="7690" width="13" style="138" customWidth="1"/>
    <col min="7691" max="7930" width="8.77734375" style="138"/>
    <col min="7931" max="7931" width="6" style="138" customWidth="1"/>
    <col min="7932" max="7932" width="1.44140625" style="138" customWidth="1"/>
    <col min="7933" max="7933" width="39.109375" style="138" customWidth="1"/>
    <col min="7934" max="7934" width="12" style="138" customWidth="1"/>
    <col min="7935" max="7935" width="14.44140625" style="138" customWidth="1"/>
    <col min="7936" max="7936" width="11.88671875" style="138" customWidth="1"/>
    <col min="7937" max="7937" width="14.109375" style="138" customWidth="1"/>
    <col min="7938" max="7938" width="13.88671875" style="138" customWidth="1"/>
    <col min="7939" max="7940" width="12.77734375" style="138" customWidth="1"/>
    <col min="7941" max="7941" width="13.5546875" style="138" customWidth="1"/>
    <col min="7942" max="7942" width="15.33203125" style="138" customWidth="1"/>
    <col min="7943" max="7943" width="12.77734375" style="138" customWidth="1"/>
    <col min="7944" max="7944" width="13.88671875" style="138" customWidth="1"/>
    <col min="7945" max="7945" width="1.88671875" style="138" customWidth="1"/>
    <col min="7946" max="7946" width="13" style="138" customWidth="1"/>
    <col min="7947" max="8186" width="8.77734375" style="138"/>
    <col min="8187" max="8187" width="6" style="138" customWidth="1"/>
    <col min="8188" max="8188" width="1.44140625" style="138" customWidth="1"/>
    <col min="8189" max="8189" width="39.109375" style="138" customWidth="1"/>
    <col min="8190" max="8190" width="12" style="138" customWidth="1"/>
    <col min="8191" max="8191" width="14.44140625" style="138" customWidth="1"/>
    <col min="8192" max="8192" width="11.88671875" style="138" customWidth="1"/>
    <col min="8193" max="8193" width="14.109375" style="138" customWidth="1"/>
    <col min="8194" max="8194" width="13.88671875" style="138" customWidth="1"/>
    <col min="8195" max="8196" width="12.77734375" style="138" customWidth="1"/>
    <col min="8197" max="8197" width="13.5546875" style="138" customWidth="1"/>
    <col min="8198" max="8198" width="15.33203125" style="138" customWidth="1"/>
    <col min="8199" max="8199" width="12.77734375" style="138" customWidth="1"/>
    <col min="8200" max="8200" width="13.88671875" style="138" customWidth="1"/>
    <col min="8201" max="8201" width="1.88671875" style="138" customWidth="1"/>
    <col min="8202" max="8202" width="13" style="138" customWidth="1"/>
    <col min="8203" max="8442" width="8.77734375" style="138"/>
    <col min="8443" max="8443" width="6" style="138" customWidth="1"/>
    <col min="8444" max="8444" width="1.44140625" style="138" customWidth="1"/>
    <col min="8445" max="8445" width="39.109375" style="138" customWidth="1"/>
    <col min="8446" max="8446" width="12" style="138" customWidth="1"/>
    <col min="8447" max="8447" width="14.44140625" style="138" customWidth="1"/>
    <col min="8448" max="8448" width="11.88671875" style="138" customWidth="1"/>
    <col min="8449" max="8449" width="14.109375" style="138" customWidth="1"/>
    <col min="8450" max="8450" width="13.88671875" style="138" customWidth="1"/>
    <col min="8451" max="8452" width="12.77734375" style="138" customWidth="1"/>
    <col min="8453" max="8453" width="13.5546875" style="138" customWidth="1"/>
    <col min="8454" max="8454" width="15.33203125" style="138" customWidth="1"/>
    <col min="8455" max="8455" width="12.77734375" style="138" customWidth="1"/>
    <col min="8456" max="8456" width="13.88671875" style="138" customWidth="1"/>
    <col min="8457" max="8457" width="1.88671875" style="138" customWidth="1"/>
    <col min="8458" max="8458" width="13" style="138" customWidth="1"/>
    <col min="8459" max="8698" width="8.77734375" style="138"/>
    <col min="8699" max="8699" width="6" style="138" customWidth="1"/>
    <col min="8700" max="8700" width="1.44140625" style="138" customWidth="1"/>
    <col min="8701" max="8701" width="39.109375" style="138" customWidth="1"/>
    <col min="8702" max="8702" width="12" style="138" customWidth="1"/>
    <col min="8703" max="8703" width="14.44140625" style="138" customWidth="1"/>
    <col min="8704" max="8704" width="11.88671875" style="138" customWidth="1"/>
    <col min="8705" max="8705" width="14.109375" style="138" customWidth="1"/>
    <col min="8706" max="8706" width="13.88671875" style="138" customWidth="1"/>
    <col min="8707" max="8708" width="12.77734375" style="138" customWidth="1"/>
    <col min="8709" max="8709" width="13.5546875" style="138" customWidth="1"/>
    <col min="8710" max="8710" width="15.33203125" style="138" customWidth="1"/>
    <col min="8711" max="8711" width="12.77734375" style="138" customWidth="1"/>
    <col min="8712" max="8712" width="13.88671875" style="138" customWidth="1"/>
    <col min="8713" max="8713" width="1.88671875" style="138" customWidth="1"/>
    <col min="8714" max="8714" width="13" style="138" customWidth="1"/>
    <col min="8715" max="8954" width="8.77734375" style="138"/>
    <col min="8955" max="8955" width="6" style="138" customWidth="1"/>
    <col min="8956" max="8956" width="1.44140625" style="138" customWidth="1"/>
    <col min="8957" max="8957" width="39.109375" style="138" customWidth="1"/>
    <col min="8958" max="8958" width="12" style="138" customWidth="1"/>
    <col min="8959" max="8959" width="14.44140625" style="138" customWidth="1"/>
    <col min="8960" max="8960" width="11.88671875" style="138" customWidth="1"/>
    <col min="8961" max="8961" width="14.109375" style="138" customWidth="1"/>
    <col min="8962" max="8962" width="13.88671875" style="138" customWidth="1"/>
    <col min="8963" max="8964" width="12.77734375" style="138" customWidth="1"/>
    <col min="8965" max="8965" width="13.5546875" style="138" customWidth="1"/>
    <col min="8966" max="8966" width="15.33203125" style="138" customWidth="1"/>
    <col min="8967" max="8967" width="12.77734375" style="138" customWidth="1"/>
    <col min="8968" max="8968" width="13.88671875" style="138" customWidth="1"/>
    <col min="8969" max="8969" width="1.88671875" style="138" customWidth="1"/>
    <col min="8970" max="8970" width="13" style="138" customWidth="1"/>
    <col min="8971" max="9210" width="8.77734375" style="138"/>
    <col min="9211" max="9211" width="6" style="138" customWidth="1"/>
    <col min="9212" max="9212" width="1.44140625" style="138" customWidth="1"/>
    <col min="9213" max="9213" width="39.109375" style="138" customWidth="1"/>
    <col min="9214" max="9214" width="12" style="138" customWidth="1"/>
    <col min="9215" max="9215" width="14.44140625" style="138" customWidth="1"/>
    <col min="9216" max="9216" width="11.88671875" style="138" customWidth="1"/>
    <col min="9217" max="9217" width="14.109375" style="138" customWidth="1"/>
    <col min="9218" max="9218" width="13.88671875" style="138" customWidth="1"/>
    <col min="9219" max="9220" width="12.77734375" style="138" customWidth="1"/>
    <col min="9221" max="9221" width="13.5546875" style="138" customWidth="1"/>
    <col min="9222" max="9222" width="15.33203125" style="138" customWidth="1"/>
    <col min="9223" max="9223" width="12.77734375" style="138" customWidth="1"/>
    <col min="9224" max="9224" width="13.88671875" style="138" customWidth="1"/>
    <col min="9225" max="9225" width="1.88671875" style="138" customWidth="1"/>
    <col min="9226" max="9226" width="13" style="138" customWidth="1"/>
    <col min="9227" max="9466" width="8.77734375" style="138"/>
    <col min="9467" max="9467" width="6" style="138" customWidth="1"/>
    <col min="9468" max="9468" width="1.44140625" style="138" customWidth="1"/>
    <col min="9469" max="9469" width="39.109375" style="138" customWidth="1"/>
    <col min="9470" max="9470" width="12" style="138" customWidth="1"/>
    <col min="9471" max="9471" width="14.44140625" style="138" customWidth="1"/>
    <col min="9472" max="9472" width="11.88671875" style="138" customWidth="1"/>
    <col min="9473" max="9473" width="14.109375" style="138" customWidth="1"/>
    <col min="9474" max="9474" width="13.88671875" style="138" customWidth="1"/>
    <col min="9475" max="9476" width="12.77734375" style="138" customWidth="1"/>
    <col min="9477" max="9477" width="13.5546875" style="138" customWidth="1"/>
    <col min="9478" max="9478" width="15.33203125" style="138" customWidth="1"/>
    <col min="9479" max="9479" width="12.77734375" style="138" customWidth="1"/>
    <col min="9480" max="9480" width="13.88671875" style="138" customWidth="1"/>
    <col min="9481" max="9481" width="1.88671875" style="138" customWidth="1"/>
    <col min="9482" max="9482" width="13" style="138" customWidth="1"/>
    <col min="9483" max="9722" width="8.77734375" style="138"/>
    <col min="9723" max="9723" width="6" style="138" customWidth="1"/>
    <col min="9724" max="9724" width="1.44140625" style="138" customWidth="1"/>
    <col min="9725" max="9725" width="39.109375" style="138" customWidth="1"/>
    <col min="9726" max="9726" width="12" style="138" customWidth="1"/>
    <col min="9727" max="9727" width="14.44140625" style="138" customWidth="1"/>
    <col min="9728" max="9728" width="11.88671875" style="138" customWidth="1"/>
    <col min="9729" max="9729" width="14.109375" style="138" customWidth="1"/>
    <col min="9730" max="9730" width="13.88671875" style="138" customWidth="1"/>
    <col min="9731" max="9732" width="12.77734375" style="138" customWidth="1"/>
    <col min="9733" max="9733" width="13.5546875" style="138" customWidth="1"/>
    <col min="9734" max="9734" width="15.33203125" style="138" customWidth="1"/>
    <col min="9735" max="9735" width="12.77734375" style="138" customWidth="1"/>
    <col min="9736" max="9736" width="13.88671875" style="138" customWidth="1"/>
    <col min="9737" max="9737" width="1.88671875" style="138" customWidth="1"/>
    <col min="9738" max="9738" width="13" style="138" customWidth="1"/>
    <col min="9739" max="9978" width="8.77734375" style="138"/>
    <col min="9979" max="9979" width="6" style="138" customWidth="1"/>
    <col min="9980" max="9980" width="1.44140625" style="138" customWidth="1"/>
    <col min="9981" max="9981" width="39.109375" style="138" customWidth="1"/>
    <col min="9982" max="9982" width="12" style="138" customWidth="1"/>
    <col min="9983" max="9983" width="14.44140625" style="138" customWidth="1"/>
    <col min="9984" max="9984" width="11.88671875" style="138" customWidth="1"/>
    <col min="9985" max="9985" width="14.109375" style="138" customWidth="1"/>
    <col min="9986" max="9986" width="13.88671875" style="138" customWidth="1"/>
    <col min="9987" max="9988" width="12.77734375" style="138" customWidth="1"/>
    <col min="9989" max="9989" width="13.5546875" style="138" customWidth="1"/>
    <col min="9990" max="9990" width="15.33203125" style="138" customWidth="1"/>
    <col min="9991" max="9991" width="12.77734375" style="138" customWidth="1"/>
    <col min="9992" max="9992" width="13.88671875" style="138" customWidth="1"/>
    <col min="9993" max="9993" width="1.88671875" style="138" customWidth="1"/>
    <col min="9994" max="9994" width="13" style="138" customWidth="1"/>
    <col min="9995" max="10234" width="8.77734375" style="138"/>
    <col min="10235" max="10235" width="6" style="138" customWidth="1"/>
    <col min="10236" max="10236" width="1.44140625" style="138" customWidth="1"/>
    <col min="10237" max="10237" width="39.109375" style="138" customWidth="1"/>
    <col min="10238" max="10238" width="12" style="138" customWidth="1"/>
    <col min="10239" max="10239" width="14.44140625" style="138" customWidth="1"/>
    <col min="10240" max="10240" width="11.88671875" style="138" customWidth="1"/>
    <col min="10241" max="10241" width="14.109375" style="138" customWidth="1"/>
    <col min="10242" max="10242" width="13.88671875" style="138" customWidth="1"/>
    <col min="10243" max="10244" width="12.77734375" style="138" customWidth="1"/>
    <col min="10245" max="10245" width="13.5546875" style="138" customWidth="1"/>
    <col min="10246" max="10246" width="15.33203125" style="138" customWidth="1"/>
    <col min="10247" max="10247" width="12.77734375" style="138" customWidth="1"/>
    <col min="10248" max="10248" width="13.88671875" style="138" customWidth="1"/>
    <col min="10249" max="10249" width="1.88671875" style="138" customWidth="1"/>
    <col min="10250" max="10250" width="13" style="138" customWidth="1"/>
    <col min="10251" max="10490" width="8.77734375" style="138"/>
    <col min="10491" max="10491" width="6" style="138" customWidth="1"/>
    <col min="10492" max="10492" width="1.44140625" style="138" customWidth="1"/>
    <col min="10493" max="10493" width="39.109375" style="138" customWidth="1"/>
    <col min="10494" max="10494" width="12" style="138" customWidth="1"/>
    <col min="10495" max="10495" width="14.44140625" style="138" customWidth="1"/>
    <col min="10496" max="10496" width="11.88671875" style="138" customWidth="1"/>
    <col min="10497" max="10497" width="14.109375" style="138" customWidth="1"/>
    <col min="10498" max="10498" width="13.88671875" style="138" customWidth="1"/>
    <col min="10499" max="10500" width="12.77734375" style="138" customWidth="1"/>
    <col min="10501" max="10501" width="13.5546875" style="138" customWidth="1"/>
    <col min="10502" max="10502" width="15.33203125" style="138" customWidth="1"/>
    <col min="10503" max="10503" width="12.77734375" style="138" customWidth="1"/>
    <col min="10504" max="10504" width="13.88671875" style="138" customWidth="1"/>
    <col min="10505" max="10505" width="1.88671875" style="138" customWidth="1"/>
    <col min="10506" max="10506" width="13" style="138" customWidth="1"/>
    <col min="10507" max="10746" width="8.77734375" style="138"/>
    <col min="10747" max="10747" width="6" style="138" customWidth="1"/>
    <col min="10748" max="10748" width="1.44140625" style="138" customWidth="1"/>
    <col min="10749" max="10749" width="39.109375" style="138" customWidth="1"/>
    <col min="10750" max="10750" width="12" style="138" customWidth="1"/>
    <col min="10751" max="10751" width="14.44140625" style="138" customWidth="1"/>
    <col min="10752" max="10752" width="11.88671875" style="138" customWidth="1"/>
    <col min="10753" max="10753" width="14.109375" style="138" customWidth="1"/>
    <col min="10754" max="10754" width="13.88671875" style="138" customWidth="1"/>
    <col min="10755" max="10756" width="12.77734375" style="138" customWidth="1"/>
    <col min="10757" max="10757" width="13.5546875" style="138" customWidth="1"/>
    <col min="10758" max="10758" width="15.33203125" style="138" customWidth="1"/>
    <col min="10759" max="10759" width="12.77734375" style="138" customWidth="1"/>
    <col min="10760" max="10760" width="13.88671875" style="138" customWidth="1"/>
    <col min="10761" max="10761" width="1.88671875" style="138" customWidth="1"/>
    <col min="10762" max="10762" width="13" style="138" customWidth="1"/>
    <col min="10763" max="11002" width="8.77734375" style="138"/>
    <col min="11003" max="11003" width="6" style="138" customWidth="1"/>
    <col min="11004" max="11004" width="1.44140625" style="138" customWidth="1"/>
    <col min="11005" max="11005" width="39.109375" style="138" customWidth="1"/>
    <col min="11006" max="11006" width="12" style="138" customWidth="1"/>
    <col min="11007" max="11007" width="14.44140625" style="138" customWidth="1"/>
    <col min="11008" max="11008" width="11.88671875" style="138" customWidth="1"/>
    <col min="11009" max="11009" width="14.109375" style="138" customWidth="1"/>
    <col min="11010" max="11010" width="13.88671875" style="138" customWidth="1"/>
    <col min="11011" max="11012" width="12.77734375" style="138" customWidth="1"/>
    <col min="11013" max="11013" width="13.5546875" style="138" customWidth="1"/>
    <col min="11014" max="11014" width="15.33203125" style="138" customWidth="1"/>
    <col min="11015" max="11015" width="12.77734375" style="138" customWidth="1"/>
    <col min="11016" max="11016" width="13.88671875" style="138" customWidth="1"/>
    <col min="11017" max="11017" width="1.88671875" style="138" customWidth="1"/>
    <col min="11018" max="11018" width="13" style="138" customWidth="1"/>
    <col min="11019" max="11258" width="8.77734375" style="138"/>
    <col min="11259" max="11259" width="6" style="138" customWidth="1"/>
    <col min="11260" max="11260" width="1.44140625" style="138" customWidth="1"/>
    <col min="11261" max="11261" width="39.109375" style="138" customWidth="1"/>
    <col min="11262" max="11262" width="12" style="138" customWidth="1"/>
    <col min="11263" max="11263" width="14.44140625" style="138" customWidth="1"/>
    <col min="11264" max="11264" width="11.88671875" style="138" customWidth="1"/>
    <col min="11265" max="11265" width="14.109375" style="138" customWidth="1"/>
    <col min="11266" max="11266" width="13.88671875" style="138" customWidth="1"/>
    <col min="11267" max="11268" width="12.77734375" style="138" customWidth="1"/>
    <col min="11269" max="11269" width="13.5546875" style="138" customWidth="1"/>
    <col min="11270" max="11270" width="15.33203125" style="138" customWidth="1"/>
    <col min="11271" max="11271" width="12.77734375" style="138" customWidth="1"/>
    <col min="11272" max="11272" width="13.88671875" style="138" customWidth="1"/>
    <col min="11273" max="11273" width="1.88671875" style="138" customWidth="1"/>
    <col min="11274" max="11274" width="13" style="138" customWidth="1"/>
    <col min="11275" max="11514" width="8.77734375" style="138"/>
    <col min="11515" max="11515" width="6" style="138" customWidth="1"/>
    <col min="11516" max="11516" width="1.44140625" style="138" customWidth="1"/>
    <col min="11517" max="11517" width="39.109375" style="138" customWidth="1"/>
    <col min="11518" max="11518" width="12" style="138" customWidth="1"/>
    <col min="11519" max="11519" width="14.44140625" style="138" customWidth="1"/>
    <col min="11520" max="11520" width="11.88671875" style="138" customWidth="1"/>
    <col min="11521" max="11521" width="14.109375" style="138" customWidth="1"/>
    <col min="11522" max="11522" width="13.88671875" style="138" customWidth="1"/>
    <col min="11523" max="11524" width="12.77734375" style="138" customWidth="1"/>
    <col min="11525" max="11525" width="13.5546875" style="138" customWidth="1"/>
    <col min="11526" max="11526" width="15.33203125" style="138" customWidth="1"/>
    <col min="11527" max="11527" width="12.77734375" style="138" customWidth="1"/>
    <col min="11528" max="11528" width="13.88671875" style="138" customWidth="1"/>
    <col min="11529" max="11529" width="1.88671875" style="138" customWidth="1"/>
    <col min="11530" max="11530" width="13" style="138" customWidth="1"/>
    <col min="11531" max="11770" width="8.77734375" style="138"/>
    <col min="11771" max="11771" width="6" style="138" customWidth="1"/>
    <col min="11772" max="11772" width="1.44140625" style="138" customWidth="1"/>
    <col min="11773" max="11773" width="39.109375" style="138" customWidth="1"/>
    <col min="11774" max="11774" width="12" style="138" customWidth="1"/>
    <col min="11775" max="11775" width="14.44140625" style="138" customWidth="1"/>
    <col min="11776" max="11776" width="11.88671875" style="138" customWidth="1"/>
    <col min="11777" max="11777" width="14.109375" style="138" customWidth="1"/>
    <col min="11778" max="11778" width="13.88671875" style="138" customWidth="1"/>
    <col min="11779" max="11780" width="12.77734375" style="138" customWidth="1"/>
    <col min="11781" max="11781" width="13.5546875" style="138" customWidth="1"/>
    <col min="11782" max="11782" width="15.33203125" style="138" customWidth="1"/>
    <col min="11783" max="11783" width="12.77734375" style="138" customWidth="1"/>
    <col min="11784" max="11784" width="13.88671875" style="138" customWidth="1"/>
    <col min="11785" max="11785" width="1.88671875" style="138" customWidth="1"/>
    <col min="11786" max="11786" width="13" style="138" customWidth="1"/>
    <col min="11787" max="12026" width="8.77734375" style="138"/>
    <col min="12027" max="12027" width="6" style="138" customWidth="1"/>
    <col min="12028" max="12028" width="1.44140625" style="138" customWidth="1"/>
    <col min="12029" max="12029" width="39.109375" style="138" customWidth="1"/>
    <col min="12030" max="12030" width="12" style="138" customWidth="1"/>
    <col min="12031" max="12031" width="14.44140625" style="138" customWidth="1"/>
    <col min="12032" max="12032" width="11.88671875" style="138" customWidth="1"/>
    <col min="12033" max="12033" width="14.109375" style="138" customWidth="1"/>
    <col min="12034" max="12034" width="13.88671875" style="138" customWidth="1"/>
    <col min="12035" max="12036" width="12.77734375" style="138" customWidth="1"/>
    <col min="12037" max="12037" width="13.5546875" style="138" customWidth="1"/>
    <col min="12038" max="12038" width="15.33203125" style="138" customWidth="1"/>
    <col min="12039" max="12039" width="12.77734375" style="138" customWidth="1"/>
    <col min="12040" max="12040" width="13.88671875" style="138" customWidth="1"/>
    <col min="12041" max="12041" width="1.88671875" style="138" customWidth="1"/>
    <col min="12042" max="12042" width="13" style="138" customWidth="1"/>
    <col min="12043" max="12282" width="8.77734375" style="138"/>
    <col min="12283" max="12283" width="6" style="138" customWidth="1"/>
    <col min="12284" max="12284" width="1.44140625" style="138" customWidth="1"/>
    <col min="12285" max="12285" width="39.109375" style="138" customWidth="1"/>
    <col min="12286" max="12286" width="12" style="138" customWidth="1"/>
    <col min="12287" max="12287" width="14.44140625" style="138" customWidth="1"/>
    <col min="12288" max="12288" width="11.88671875" style="138" customWidth="1"/>
    <col min="12289" max="12289" width="14.109375" style="138" customWidth="1"/>
    <col min="12290" max="12290" width="13.88671875" style="138" customWidth="1"/>
    <col min="12291" max="12292" width="12.77734375" style="138" customWidth="1"/>
    <col min="12293" max="12293" width="13.5546875" style="138" customWidth="1"/>
    <col min="12294" max="12294" width="15.33203125" style="138" customWidth="1"/>
    <col min="12295" max="12295" width="12.77734375" style="138" customWidth="1"/>
    <col min="12296" max="12296" width="13.88671875" style="138" customWidth="1"/>
    <col min="12297" max="12297" width="1.88671875" style="138" customWidth="1"/>
    <col min="12298" max="12298" width="13" style="138" customWidth="1"/>
    <col min="12299" max="12538" width="8.77734375" style="138"/>
    <col min="12539" max="12539" width="6" style="138" customWidth="1"/>
    <col min="12540" max="12540" width="1.44140625" style="138" customWidth="1"/>
    <col min="12541" max="12541" width="39.109375" style="138" customWidth="1"/>
    <col min="12542" max="12542" width="12" style="138" customWidth="1"/>
    <col min="12543" max="12543" width="14.44140625" style="138" customWidth="1"/>
    <col min="12544" max="12544" width="11.88671875" style="138" customWidth="1"/>
    <col min="12545" max="12545" width="14.109375" style="138" customWidth="1"/>
    <col min="12546" max="12546" width="13.88671875" style="138" customWidth="1"/>
    <col min="12547" max="12548" width="12.77734375" style="138" customWidth="1"/>
    <col min="12549" max="12549" width="13.5546875" style="138" customWidth="1"/>
    <col min="12550" max="12550" width="15.33203125" style="138" customWidth="1"/>
    <col min="12551" max="12551" width="12.77734375" style="138" customWidth="1"/>
    <col min="12552" max="12552" width="13.88671875" style="138" customWidth="1"/>
    <col min="12553" max="12553" width="1.88671875" style="138" customWidth="1"/>
    <col min="12554" max="12554" width="13" style="138" customWidth="1"/>
    <col min="12555" max="12794" width="8.77734375" style="138"/>
    <col min="12795" max="12795" width="6" style="138" customWidth="1"/>
    <col min="12796" max="12796" width="1.44140625" style="138" customWidth="1"/>
    <col min="12797" max="12797" width="39.109375" style="138" customWidth="1"/>
    <col min="12798" max="12798" width="12" style="138" customWidth="1"/>
    <col min="12799" max="12799" width="14.44140625" style="138" customWidth="1"/>
    <col min="12800" max="12800" width="11.88671875" style="138" customWidth="1"/>
    <col min="12801" max="12801" width="14.109375" style="138" customWidth="1"/>
    <col min="12802" max="12802" width="13.88671875" style="138" customWidth="1"/>
    <col min="12803" max="12804" width="12.77734375" style="138" customWidth="1"/>
    <col min="12805" max="12805" width="13.5546875" style="138" customWidth="1"/>
    <col min="12806" max="12806" width="15.33203125" style="138" customWidth="1"/>
    <col min="12807" max="12807" width="12.77734375" style="138" customWidth="1"/>
    <col min="12808" max="12808" width="13.88671875" style="138" customWidth="1"/>
    <col min="12809" max="12809" width="1.88671875" style="138" customWidth="1"/>
    <col min="12810" max="12810" width="13" style="138" customWidth="1"/>
    <col min="12811" max="13050" width="8.77734375" style="138"/>
    <col min="13051" max="13051" width="6" style="138" customWidth="1"/>
    <col min="13052" max="13052" width="1.44140625" style="138" customWidth="1"/>
    <col min="13053" max="13053" width="39.109375" style="138" customWidth="1"/>
    <col min="13054" max="13054" width="12" style="138" customWidth="1"/>
    <col min="13055" max="13055" width="14.44140625" style="138" customWidth="1"/>
    <col min="13056" max="13056" width="11.88671875" style="138" customWidth="1"/>
    <col min="13057" max="13057" width="14.109375" style="138" customWidth="1"/>
    <col min="13058" max="13058" width="13.88671875" style="138" customWidth="1"/>
    <col min="13059" max="13060" width="12.77734375" style="138" customWidth="1"/>
    <col min="13061" max="13061" width="13.5546875" style="138" customWidth="1"/>
    <col min="13062" max="13062" width="15.33203125" style="138" customWidth="1"/>
    <col min="13063" max="13063" width="12.77734375" style="138" customWidth="1"/>
    <col min="13064" max="13064" width="13.88671875" style="138" customWidth="1"/>
    <col min="13065" max="13065" width="1.88671875" style="138" customWidth="1"/>
    <col min="13066" max="13066" width="13" style="138" customWidth="1"/>
    <col min="13067" max="13306" width="8.77734375" style="138"/>
    <col min="13307" max="13307" width="6" style="138" customWidth="1"/>
    <col min="13308" max="13308" width="1.44140625" style="138" customWidth="1"/>
    <col min="13309" max="13309" width="39.109375" style="138" customWidth="1"/>
    <col min="13310" max="13310" width="12" style="138" customWidth="1"/>
    <col min="13311" max="13311" width="14.44140625" style="138" customWidth="1"/>
    <col min="13312" max="13312" width="11.88671875" style="138" customWidth="1"/>
    <col min="13313" max="13313" width="14.109375" style="138" customWidth="1"/>
    <col min="13314" max="13314" width="13.88671875" style="138" customWidth="1"/>
    <col min="13315" max="13316" width="12.77734375" style="138" customWidth="1"/>
    <col min="13317" max="13317" width="13.5546875" style="138" customWidth="1"/>
    <col min="13318" max="13318" width="15.33203125" style="138" customWidth="1"/>
    <col min="13319" max="13319" width="12.77734375" style="138" customWidth="1"/>
    <col min="13320" max="13320" width="13.88671875" style="138" customWidth="1"/>
    <col min="13321" max="13321" width="1.88671875" style="138" customWidth="1"/>
    <col min="13322" max="13322" width="13" style="138" customWidth="1"/>
    <col min="13323" max="13562" width="8.77734375" style="138"/>
    <col min="13563" max="13563" width="6" style="138" customWidth="1"/>
    <col min="13564" max="13564" width="1.44140625" style="138" customWidth="1"/>
    <col min="13565" max="13565" width="39.109375" style="138" customWidth="1"/>
    <col min="13566" max="13566" width="12" style="138" customWidth="1"/>
    <col min="13567" max="13567" width="14.44140625" style="138" customWidth="1"/>
    <col min="13568" max="13568" width="11.88671875" style="138" customWidth="1"/>
    <col min="13569" max="13569" width="14.109375" style="138" customWidth="1"/>
    <col min="13570" max="13570" width="13.88671875" style="138" customWidth="1"/>
    <col min="13571" max="13572" width="12.77734375" style="138" customWidth="1"/>
    <col min="13573" max="13573" width="13.5546875" style="138" customWidth="1"/>
    <col min="13574" max="13574" width="15.33203125" style="138" customWidth="1"/>
    <col min="13575" max="13575" width="12.77734375" style="138" customWidth="1"/>
    <col min="13576" max="13576" width="13.88671875" style="138" customWidth="1"/>
    <col min="13577" max="13577" width="1.88671875" style="138" customWidth="1"/>
    <col min="13578" max="13578" width="13" style="138" customWidth="1"/>
    <col min="13579" max="13818" width="8.77734375" style="138"/>
    <col min="13819" max="13819" width="6" style="138" customWidth="1"/>
    <col min="13820" max="13820" width="1.44140625" style="138" customWidth="1"/>
    <col min="13821" max="13821" width="39.109375" style="138" customWidth="1"/>
    <col min="13822" max="13822" width="12" style="138" customWidth="1"/>
    <col min="13823" max="13823" width="14.44140625" style="138" customWidth="1"/>
    <col min="13824" max="13824" width="11.88671875" style="138" customWidth="1"/>
    <col min="13825" max="13825" width="14.109375" style="138" customWidth="1"/>
    <col min="13826" max="13826" width="13.88671875" style="138" customWidth="1"/>
    <col min="13827" max="13828" width="12.77734375" style="138" customWidth="1"/>
    <col min="13829" max="13829" width="13.5546875" style="138" customWidth="1"/>
    <col min="13830" max="13830" width="15.33203125" style="138" customWidth="1"/>
    <col min="13831" max="13831" width="12.77734375" style="138" customWidth="1"/>
    <col min="13832" max="13832" width="13.88671875" style="138" customWidth="1"/>
    <col min="13833" max="13833" width="1.88671875" style="138" customWidth="1"/>
    <col min="13834" max="13834" width="13" style="138" customWidth="1"/>
    <col min="13835" max="14074" width="8.77734375" style="138"/>
    <col min="14075" max="14075" width="6" style="138" customWidth="1"/>
    <col min="14076" max="14076" width="1.44140625" style="138" customWidth="1"/>
    <col min="14077" max="14077" width="39.109375" style="138" customWidth="1"/>
    <col min="14078" max="14078" width="12" style="138" customWidth="1"/>
    <col min="14079" max="14079" width="14.44140625" style="138" customWidth="1"/>
    <col min="14080" max="14080" width="11.88671875" style="138" customWidth="1"/>
    <col min="14081" max="14081" width="14.109375" style="138" customWidth="1"/>
    <col min="14082" max="14082" width="13.88671875" style="138" customWidth="1"/>
    <col min="14083" max="14084" width="12.77734375" style="138" customWidth="1"/>
    <col min="14085" max="14085" width="13.5546875" style="138" customWidth="1"/>
    <col min="14086" max="14086" width="15.33203125" style="138" customWidth="1"/>
    <col min="14087" max="14087" width="12.77734375" style="138" customWidth="1"/>
    <col min="14088" max="14088" width="13.88671875" style="138" customWidth="1"/>
    <col min="14089" max="14089" width="1.88671875" style="138" customWidth="1"/>
    <col min="14090" max="14090" width="13" style="138" customWidth="1"/>
    <col min="14091" max="14330" width="8.77734375" style="138"/>
    <col min="14331" max="14331" width="6" style="138" customWidth="1"/>
    <col min="14332" max="14332" width="1.44140625" style="138" customWidth="1"/>
    <col min="14333" max="14333" width="39.109375" style="138" customWidth="1"/>
    <col min="14334" max="14334" width="12" style="138" customWidth="1"/>
    <col min="14335" max="14335" width="14.44140625" style="138" customWidth="1"/>
    <col min="14336" max="14336" width="11.88671875" style="138" customWidth="1"/>
    <col min="14337" max="14337" width="14.109375" style="138" customWidth="1"/>
    <col min="14338" max="14338" width="13.88671875" style="138" customWidth="1"/>
    <col min="14339" max="14340" width="12.77734375" style="138" customWidth="1"/>
    <col min="14341" max="14341" width="13.5546875" style="138" customWidth="1"/>
    <col min="14342" max="14342" width="15.33203125" style="138" customWidth="1"/>
    <col min="14343" max="14343" width="12.77734375" style="138" customWidth="1"/>
    <col min="14344" max="14344" width="13.88671875" style="138" customWidth="1"/>
    <col min="14345" max="14345" width="1.88671875" style="138" customWidth="1"/>
    <col min="14346" max="14346" width="13" style="138" customWidth="1"/>
    <col min="14347" max="14586" width="8.77734375" style="138"/>
    <col min="14587" max="14587" width="6" style="138" customWidth="1"/>
    <col min="14588" max="14588" width="1.44140625" style="138" customWidth="1"/>
    <col min="14589" max="14589" width="39.109375" style="138" customWidth="1"/>
    <col min="14590" max="14590" width="12" style="138" customWidth="1"/>
    <col min="14591" max="14591" width="14.44140625" style="138" customWidth="1"/>
    <col min="14592" max="14592" width="11.88671875" style="138" customWidth="1"/>
    <col min="14593" max="14593" width="14.109375" style="138" customWidth="1"/>
    <col min="14594" max="14594" width="13.88671875" style="138" customWidth="1"/>
    <col min="14595" max="14596" width="12.77734375" style="138" customWidth="1"/>
    <col min="14597" max="14597" width="13.5546875" style="138" customWidth="1"/>
    <col min="14598" max="14598" width="15.33203125" style="138" customWidth="1"/>
    <col min="14599" max="14599" width="12.77734375" style="138" customWidth="1"/>
    <col min="14600" max="14600" width="13.88671875" style="138" customWidth="1"/>
    <col min="14601" max="14601" width="1.88671875" style="138" customWidth="1"/>
    <col min="14602" max="14602" width="13" style="138" customWidth="1"/>
    <col min="14603" max="14842" width="8.77734375" style="138"/>
    <col min="14843" max="14843" width="6" style="138" customWidth="1"/>
    <col min="14844" max="14844" width="1.44140625" style="138" customWidth="1"/>
    <col min="14845" max="14845" width="39.109375" style="138" customWidth="1"/>
    <col min="14846" max="14846" width="12" style="138" customWidth="1"/>
    <col min="14847" max="14847" width="14.44140625" style="138" customWidth="1"/>
    <col min="14848" max="14848" width="11.88671875" style="138" customWidth="1"/>
    <col min="14849" max="14849" width="14.109375" style="138" customWidth="1"/>
    <col min="14850" max="14850" width="13.88671875" style="138" customWidth="1"/>
    <col min="14851" max="14852" width="12.77734375" style="138" customWidth="1"/>
    <col min="14853" max="14853" width="13.5546875" style="138" customWidth="1"/>
    <col min="14854" max="14854" width="15.33203125" style="138" customWidth="1"/>
    <col min="14855" max="14855" width="12.77734375" style="138" customWidth="1"/>
    <col min="14856" max="14856" width="13.88671875" style="138" customWidth="1"/>
    <col min="14857" max="14857" width="1.88671875" style="138" customWidth="1"/>
    <col min="14858" max="14858" width="13" style="138" customWidth="1"/>
    <col min="14859" max="15098" width="8.77734375" style="138"/>
    <col min="15099" max="15099" width="6" style="138" customWidth="1"/>
    <col min="15100" max="15100" width="1.44140625" style="138" customWidth="1"/>
    <col min="15101" max="15101" width="39.109375" style="138" customWidth="1"/>
    <col min="15102" max="15102" width="12" style="138" customWidth="1"/>
    <col min="15103" max="15103" width="14.44140625" style="138" customWidth="1"/>
    <col min="15104" max="15104" width="11.88671875" style="138" customWidth="1"/>
    <col min="15105" max="15105" width="14.109375" style="138" customWidth="1"/>
    <col min="15106" max="15106" width="13.88671875" style="138" customWidth="1"/>
    <col min="15107" max="15108" width="12.77734375" style="138" customWidth="1"/>
    <col min="15109" max="15109" width="13.5546875" style="138" customWidth="1"/>
    <col min="15110" max="15110" width="15.33203125" style="138" customWidth="1"/>
    <col min="15111" max="15111" width="12.77734375" style="138" customWidth="1"/>
    <col min="15112" max="15112" width="13.88671875" style="138" customWidth="1"/>
    <col min="15113" max="15113" width="1.88671875" style="138" customWidth="1"/>
    <col min="15114" max="15114" width="13" style="138" customWidth="1"/>
    <col min="15115" max="15354" width="8.77734375" style="138"/>
    <col min="15355" max="15355" width="6" style="138" customWidth="1"/>
    <col min="15356" max="15356" width="1.44140625" style="138" customWidth="1"/>
    <col min="15357" max="15357" width="39.109375" style="138" customWidth="1"/>
    <col min="15358" max="15358" width="12" style="138" customWidth="1"/>
    <col min="15359" max="15359" width="14.44140625" style="138" customWidth="1"/>
    <col min="15360" max="15360" width="11.88671875" style="138" customWidth="1"/>
    <col min="15361" max="15361" width="14.109375" style="138" customWidth="1"/>
    <col min="15362" max="15362" width="13.88671875" style="138" customWidth="1"/>
    <col min="15363" max="15364" width="12.77734375" style="138" customWidth="1"/>
    <col min="15365" max="15365" width="13.5546875" style="138" customWidth="1"/>
    <col min="15366" max="15366" width="15.33203125" style="138" customWidth="1"/>
    <col min="15367" max="15367" width="12.77734375" style="138" customWidth="1"/>
    <col min="15368" max="15368" width="13.88671875" style="138" customWidth="1"/>
    <col min="15369" max="15369" width="1.88671875" style="138" customWidth="1"/>
    <col min="15370" max="15370" width="13" style="138" customWidth="1"/>
    <col min="15371" max="15610" width="8.77734375" style="138"/>
    <col min="15611" max="15611" width="6" style="138" customWidth="1"/>
    <col min="15612" max="15612" width="1.44140625" style="138" customWidth="1"/>
    <col min="15613" max="15613" width="39.109375" style="138" customWidth="1"/>
    <col min="15614" max="15614" width="12" style="138" customWidth="1"/>
    <col min="15615" max="15615" width="14.44140625" style="138" customWidth="1"/>
    <col min="15616" max="15616" width="11.88671875" style="138" customWidth="1"/>
    <col min="15617" max="15617" width="14.109375" style="138" customWidth="1"/>
    <col min="15618" max="15618" width="13.88671875" style="138" customWidth="1"/>
    <col min="15619" max="15620" width="12.77734375" style="138" customWidth="1"/>
    <col min="15621" max="15621" width="13.5546875" style="138" customWidth="1"/>
    <col min="15622" max="15622" width="15.33203125" style="138" customWidth="1"/>
    <col min="15623" max="15623" width="12.77734375" style="138" customWidth="1"/>
    <col min="15624" max="15624" width="13.88671875" style="138" customWidth="1"/>
    <col min="15625" max="15625" width="1.88671875" style="138" customWidth="1"/>
    <col min="15626" max="15626" width="13" style="138" customWidth="1"/>
    <col min="15627" max="15866" width="8.77734375" style="138"/>
    <col min="15867" max="15867" width="6" style="138" customWidth="1"/>
    <col min="15868" max="15868" width="1.44140625" style="138" customWidth="1"/>
    <col min="15869" max="15869" width="39.109375" style="138" customWidth="1"/>
    <col min="15870" max="15870" width="12" style="138" customWidth="1"/>
    <col min="15871" max="15871" width="14.44140625" style="138" customWidth="1"/>
    <col min="15872" max="15872" width="11.88671875" style="138" customWidth="1"/>
    <col min="15873" max="15873" width="14.109375" style="138" customWidth="1"/>
    <col min="15874" max="15874" width="13.88671875" style="138" customWidth="1"/>
    <col min="15875" max="15876" width="12.77734375" style="138" customWidth="1"/>
    <col min="15877" max="15877" width="13.5546875" style="138" customWidth="1"/>
    <col min="15878" max="15878" width="15.33203125" style="138" customWidth="1"/>
    <col min="15879" max="15879" width="12.77734375" style="138" customWidth="1"/>
    <col min="15880" max="15880" width="13.88671875" style="138" customWidth="1"/>
    <col min="15881" max="15881" width="1.88671875" style="138" customWidth="1"/>
    <col min="15882" max="15882" width="13" style="138" customWidth="1"/>
    <col min="15883" max="16122" width="8.77734375" style="138"/>
    <col min="16123" max="16123" width="6" style="138" customWidth="1"/>
    <col min="16124" max="16124" width="1.44140625" style="138" customWidth="1"/>
    <col min="16125" max="16125" width="39.109375" style="138" customWidth="1"/>
    <col min="16126" max="16126" width="12" style="138" customWidth="1"/>
    <col min="16127" max="16127" width="14.44140625" style="138" customWidth="1"/>
    <col min="16128" max="16128" width="11.88671875" style="138" customWidth="1"/>
    <col min="16129" max="16129" width="14.109375" style="138" customWidth="1"/>
    <col min="16130" max="16130" width="13.88671875" style="138" customWidth="1"/>
    <col min="16131" max="16132" width="12.77734375" style="138" customWidth="1"/>
    <col min="16133" max="16133" width="13.5546875" style="138" customWidth="1"/>
    <col min="16134" max="16134" width="15.33203125" style="138" customWidth="1"/>
    <col min="16135" max="16135" width="12.77734375" style="138" customWidth="1"/>
    <col min="16136" max="16136" width="13.88671875" style="138" customWidth="1"/>
    <col min="16137" max="16137" width="1.88671875" style="138" customWidth="1"/>
    <col min="16138" max="16138" width="13" style="138" customWidth="1"/>
    <col min="16139" max="16378" width="8.77734375" style="138"/>
    <col min="16379" max="16384" width="8.77734375" style="138" customWidth="1"/>
  </cols>
  <sheetData>
    <row r="1" spans="1:59">
      <c r="I1" s="77" t="s">
        <v>369</v>
      </c>
    </row>
    <row r="2" spans="1:59">
      <c r="I2" s="77" t="s">
        <v>366</v>
      </c>
    </row>
    <row r="3" spans="1:59">
      <c r="I3" s="424" t="s">
        <v>231</v>
      </c>
    </row>
    <row r="4" spans="1:59">
      <c r="I4" s="139" t="str">
        <f>'DE Ohio &amp; Kentucky'!J7</f>
        <v>For the 12 months ended: 12/31/2015</v>
      </c>
    </row>
    <row r="5" spans="1:59">
      <c r="C5" s="113"/>
    </row>
    <row r="6" spans="1:59">
      <c r="A6" s="221" t="s">
        <v>309</v>
      </c>
      <c r="B6" s="283"/>
      <c r="C6" s="283"/>
      <c r="D6" s="221"/>
      <c r="E6" s="221"/>
      <c r="F6" s="221"/>
      <c r="G6" s="283"/>
      <c r="H6" s="221"/>
      <c r="I6" s="221"/>
      <c r="K6" s="141"/>
      <c r="L6" s="140"/>
      <c r="M6" s="142"/>
      <c r="N6" s="142"/>
      <c r="O6" s="142"/>
      <c r="P6" s="142"/>
      <c r="Q6" s="142"/>
      <c r="R6" s="142"/>
      <c r="S6" s="142"/>
      <c r="T6" s="142"/>
      <c r="U6" s="142"/>
      <c r="V6" s="142"/>
      <c r="W6" s="142"/>
      <c r="X6" s="142"/>
      <c r="Y6" s="142"/>
      <c r="Z6" s="142"/>
      <c r="AA6" s="142"/>
      <c r="AB6" s="142"/>
      <c r="AC6" s="142"/>
      <c r="AD6" s="142"/>
      <c r="AE6" s="142"/>
      <c r="AF6" s="142"/>
      <c r="AG6" s="142"/>
      <c r="AH6" s="142"/>
      <c r="AI6" s="142"/>
      <c r="AJ6" s="142"/>
      <c r="AK6" s="142"/>
      <c r="AL6" s="142"/>
      <c r="AM6" s="142"/>
      <c r="AN6" s="142"/>
      <c r="AO6" s="142"/>
      <c r="AP6" s="142"/>
      <c r="AQ6" s="142"/>
      <c r="AR6" s="142"/>
      <c r="AS6" s="142"/>
      <c r="AT6" s="142"/>
      <c r="AU6" s="142"/>
      <c r="AV6" s="142"/>
      <c r="AW6" s="142"/>
      <c r="AX6" s="142"/>
      <c r="AY6" s="142"/>
      <c r="AZ6" s="142"/>
      <c r="BA6" s="142"/>
      <c r="BB6" s="142"/>
      <c r="BC6" s="142"/>
      <c r="BD6" s="142"/>
      <c r="BE6" s="142"/>
      <c r="BF6" s="142"/>
      <c r="BG6" s="142"/>
    </row>
    <row r="7" spans="1:59">
      <c r="A7" s="222" t="s">
        <v>370</v>
      </c>
      <c r="B7" s="283"/>
      <c r="C7" s="283"/>
      <c r="D7" s="221"/>
      <c r="E7" s="221"/>
      <c r="F7" s="221"/>
      <c r="G7" s="283"/>
      <c r="H7" s="221"/>
      <c r="I7" s="221"/>
      <c r="K7" s="141"/>
      <c r="L7" s="140"/>
      <c r="M7" s="142"/>
      <c r="N7" s="142"/>
      <c r="O7" s="142"/>
      <c r="P7" s="142"/>
      <c r="Q7" s="142"/>
      <c r="R7" s="142"/>
      <c r="S7" s="142"/>
      <c r="T7" s="142"/>
      <c r="U7" s="142"/>
      <c r="V7" s="142"/>
      <c r="W7" s="142"/>
      <c r="X7" s="142"/>
      <c r="Y7" s="142"/>
      <c r="Z7" s="142"/>
      <c r="AA7" s="142"/>
      <c r="AB7" s="142"/>
      <c r="AC7" s="142"/>
      <c r="AD7" s="142"/>
      <c r="AE7" s="142"/>
      <c r="AF7" s="142"/>
      <c r="AG7" s="142"/>
      <c r="AH7" s="142"/>
      <c r="AI7" s="142"/>
      <c r="AJ7" s="142"/>
      <c r="AK7" s="142"/>
      <c r="AL7" s="142"/>
      <c r="AM7" s="142"/>
      <c r="AN7" s="142"/>
      <c r="AO7" s="142"/>
      <c r="AP7" s="142"/>
      <c r="AQ7" s="142"/>
      <c r="AR7" s="142"/>
      <c r="AS7" s="142"/>
      <c r="AT7" s="142"/>
      <c r="AU7" s="142"/>
      <c r="AV7" s="142"/>
      <c r="AW7" s="142"/>
      <c r="AX7" s="142"/>
      <c r="AY7" s="142"/>
      <c r="AZ7" s="142"/>
      <c r="BA7" s="142"/>
      <c r="BB7" s="142"/>
      <c r="BC7" s="142"/>
      <c r="BD7" s="142"/>
      <c r="BE7" s="142"/>
      <c r="BF7" s="142"/>
      <c r="BG7" s="142"/>
    </row>
    <row r="8" spans="1:59">
      <c r="A8" s="223"/>
      <c r="B8" s="283"/>
      <c r="C8" s="283"/>
      <c r="D8" s="223"/>
      <c r="E8" s="223"/>
      <c r="F8" s="223"/>
      <c r="G8" s="283"/>
      <c r="H8" s="223"/>
      <c r="I8" s="223"/>
      <c r="K8" s="141"/>
      <c r="L8" s="140"/>
      <c r="M8" s="142"/>
      <c r="N8" s="142"/>
      <c r="O8" s="142"/>
      <c r="P8" s="142"/>
      <c r="Q8" s="142"/>
      <c r="R8" s="142"/>
      <c r="S8" s="142"/>
      <c r="T8" s="142"/>
      <c r="U8" s="142"/>
      <c r="V8" s="142"/>
      <c r="W8" s="142"/>
      <c r="X8" s="142"/>
      <c r="Y8" s="142"/>
      <c r="Z8" s="142"/>
      <c r="AA8" s="142"/>
      <c r="AB8" s="142"/>
      <c r="AC8" s="142"/>
      <c r="AD8" s="142"/>
      <c r="AE8" s="142"/>
      <c r="AF8" s="142"/>
      <c r="AG8" s="142"/>
      <c r="AH8" s="142"/>
      <c r="AI8" s="142"/>
      <c r="AJ8" s="142"/>
      <c r="AK8" s="142"/>
      <c r="AL8" s="142"/>
      <c r="AM8" s="142"/>
      <c r="AN8" s="142"/>
      <c r="AO8" s="142"/>
      <c r="AP8" s="142"/>
      <c r="AQ8" s="142"/>
      <c r="AR8" s="142"/>
      <c r="AS8" s="142"/>
      <c r="AT8" s="142"/>
      <c r="AU8" s="142"/>
      <c r="AV8" s="142"/>
      <c r="AW8" s="142"/>
      <c r="AX8" s="142"/>
      <c r="AY8" s="142"/>
      <c r="AZ8" s="142"/>
      <c r="BA8" s="142"/>
      <c r="BB8" s="142"/>
      <c r="BC8" s="142"/>
      <c r="BD8" s="142"/>
      <c r="BE8" s="142"/>
      <c r="BF8" s="142"/>
      <c r="BG8" s="142"/>
    </row>
    <row r="9" spans="1:59">
      <c r="A9" s="285" t="s">
        <v>212</v>
      </c>
      <c r="B9" s="283"/>
      <c r="C9" s="283"/>
      <c r="D9" s="223"/>
      <c r="E9" s="223"/>
      <c r="F9" s="223"/>
      <c r="G9" s="283"/>
      <c r="H9" s="286"/>
      <c r="I9" s="223"/>
      <c r="K9" s="141"/>
      <c r="L9" s="140"/>
      <c r="M9" s="142"/>
      <c r="N9" s="142"/>
      <c r="O9" s="142"/>
      <c r="P9" s="142"/>
      <c r="Q9" s="142"/>
      <c r="R9" s="142"/>
      <c r="S9" s="142"/>
      <c r="T9" s="142"/>
      <c r="U9" s="142"/>
      <c r="V9" s="142"/>
      <c r="W9" s="142"/>
      <c r="X9" s="142"/>
      <c r="Y9" s="142"/>
      <c r="Z9" s="142"/>
      <c r="AA9" s="142"/>
      <c r="AB9" s="142"/>
      <c r="AC9" s="142"/>
      <c r="AD9" s="142"/>
      <c r="AE9" s="142"/>
      <c r="AF9" s="142"/>
      <c r="AG9" s="142"/>
      <c r="AH9" s="142"/>
      <c r="AI9" s="142"/>
      <c r="AJ9" s="142"/>
      <c r="AK9" s="142"/>
      <c r="AL9" s="142"/>
      <c r="AM9" s="142"/>
      <c r="AN9" s="142"/>
      <c r="AO9" s="142"/>
      <c r="AP9" s="142"/>
      <c r="AQ9" s="142"/>
      <c r="AR9" s="142"/>
      <c r="AS9" s="142"/>
      <c r="AT9" s="142"/>
      <c r="AU9" s="142"/>
      <c r="AV9" s="142"/>
      <c r="AW9" s="142"/>
      <c r="AX9" s="142"/>
      <c r="AY9" s="142"/>
      <c r="AZ9" s="142"/>
      <c r="BA9" s="142"/>
      <c r="BB9" s="142"/>
      <c r="BC9" s="142"/>
      <c r="BD9" s="142"/>
      <c r="BE9" s="142"/>
      <c r="BF9" s="142"/>
      <c r="BG9" s="142"/>
    </row>
    <row r="10" spans="1:59">
      <c r="A10" s="285" t="s">
        <v>368</v>
      </c>
      <c r="B10" s="283"/>
      <c r="C10" s="283"/>
      <c r="D10" s="223"/>
      <c r="E10" s="223"/>
      <c r="F10" s="223"/>
      <c r="G10" s="283"/>
      <c r="H10" s="286"/>
      <c r="I10" s="223"/>
      <c r="K10" s="141"/>
      <c r="L10" s="140"/>
      <c r="M10" s="142"/>
      <c r="N10" s="142"/>
      <c r="O10" s="142"/>
      <c r="P10" s="142"/>
      <c r="Q10" s="142"/>
      <c r="R10" s="142"/>
      <c r="S10" s="142"/>
      <c r="T10" s="142"/>
      <c r="U10" s="142"/>
      <c r="V10" s="142"/>
      <c r="W10" s="142"/>
      <c r="X10" s="142"/>
      <c r="Y10" s="142"/>
      <c r="Z10" s="142"/>
      <c r="AA10" s="142"/>
      <c r="AB10" s="142"/>
      <c r="AC10" s="142"/>
      <c r="AD10" s="142"/>
      <c r="AE10" s="142"/>
      <c r="AF10" s="142"/>
      <c r="AG10" s="142"/>
      <c r="AH10" s="142"/>
      <c r="AI10" s="142"/>
      <c r="AJ10" s="142"/>
      <c r="AK10" s="142"/>
      <c r="AL10" s="142"/>
      <c r="AM10" s="142"/>
      <c r="AN10" s="142"/>
      <c r="AO10" s="142"/>
      <c r="AP10" s="142"/>
      <c r="AQ10" s="142"/>
      <c r="AR10" s="142"/>
      <c r="AS10" s="142"/>
      <c r="AT10" s="142"/>
      <c r="AU10" s="142"/>
      <c r="AV10" s="142"/>
      <c r="AW10" s="142"/>
      <c r="AX10" s="142"/>
      <c r="AY10" s="142"/>
      <c r="AZ10" s="142"/>
      <c r="BA10" s="142"/>
      <c r="BB10" s="142"/>
      <c r="BC10" s="142"/>
      <c r="BD10" s="142"/>
      <c r="BE10" s="142"/>
      <c r="BF10" s="142"/>
      <c r="BG10" s="142"/>
    </row>
    <row r="11" spans="1:59">
      <c r="A11" s="423"/>
      <c r="B11" s="283"/>
      <c r="C11" s="223"/>
      <c r="D11" s="223"/>
      <c r="E11" s="223"/>
      <c r="F11" s="223"/>
      <c r="G11" s="286"/>
      <c r="H11" s="223"/>
      <c r="I11" s="223"/>
      <c r="K11" s="141"/>
      <c r="L11" s="140"/>
      <c r="M11" s="142"/>
      <c r="N11" s="142"/>
      <c r="O11" s="142"/>
      <c r="P11" s="142"/>
      <c r="Q11" s="142"/>
      <c r="R11" s="142"/>
      <c r="S11" s="142"/>
      <c r="T11" s="142"/>
      <c r="U11" s="142"/>
      <c r="V11" s="142"/>
      <c r="W11" s="142"/>
      <c r="X11" s="142"/>
      <c r="Y11" s="142"/>
      <c r="Z11" s="142"/>
      <c r="AA11" s="142"/>
      <c r="AB11" s="142"/>
      <c r="AC11" s="142"/>
      <c r="AD11" s="142"/>
      <c r="AE11" s="142"/>
      <c r="AF11" s="142"/>
      <c r="AG11" s="142"/>
      <c r="AH11" s="142"/>
      <c r="AI11" s="142"/>
      <c r="AJ11" s="142"/>
      <c r="AK11" s="142"/>
      <c r="AL11" s="142"/>
      <c r="AM11" s="142"/>
      <c r="AN11" s="142"/>
      <c r="AO11" s="142"/>
      <c r="AP11" s="142"/>
      <c r="AQ11" s="142"/>
      <c r="AR11" s="142"/>
      <c r="AS11" s="142"/>
      <c r="AT11" s="142"/>
      <c r="AU11" s="142"/>
      <c r="AV11" s="142"/>
      <c r="AW11" s="142"/>
      <c r="AX11" s="142"/>
      <c r="AY11" s="142"/>
      <c r="AZ11" s="142"/>
      <c r="BA11" s="142"/>
      <c r="BB11" s="142"/>
      <c r="BC11" s="142"/>
      <c r="BD11" s="142"/>
      <c r="BE11" s="142"/>
      <c r="BF11" s="142"/>
      <c r="BG11" s="142"/>
    </row>
    <row r="12" spans="1:59">
      <c r="A12" s="223" t="s">
        <v>709</v>
      </c>
      <c r="B12" s="283"/>
      <c r="C12" s="283"/>
      <c r="D12" s="223"/>
      <c r="E12" s="223"/>
      <c r="F12" s="223"/>
      <c r="G12" s="286"/>
      <c r="H12" s="223"/>
      <c r="I12" s="223"/>
      <c r="K12" s="141"/>
      <c r="L12" s="140"/>
      <c r="M12" s="142"/>
      <c r="N12" s="142"/>
      <c r="O12" s="142"/>
      <c r="P12" s="142"/>
      <c r="Q12" s="142"/>
      <c r="R12" s="142"/>
      <c r="S12" s="142"/>
      <c r="T12" s="142"/>
      <c r="U12" s="142"/>
      <c r="V12" s="142"/>
      <c r="W12" s="142"/>
      <c r="X12" s="142"/>
      <c r="Y12" s="142"/>
      <c r="Z12" s="142"/>
      <c r="AA12" s="142"/>
      <c r="AB12" s="142"/>
      <c r="AC12" s="142"/>
      <c r="AD12" s="142"/>
      <c r="AE12" s="142"/>
      <c r="AF12" s="142"/>
      <c r="AG12" s="142"/>
      <c r="AH12" s="142"/>
      <c r="AI12" s="142"/>
      <c r="AJ12" s="142"/>
      <c r="AK12" s="142"/>
      <c r="AL12" s="142"/>
      <c r="AM12" s="142"/>
      <c r="AN12" s="142"/>
      <c r="AO12" s="142"/>
      <c r="AP12" s="142"/>
      <c r="AQ12" s="142"/>
      <c r="AR12" s="142"/>
      <c r="AS12" s="142"/>
      <c r="AT12" s="142"/>
      <c r="AU12" s="142"/>
      <c r="AV12" s="142"/>
      <c r="AW12" s="142"/>
      <c r="AX12" s="142"/>
      <c r="AY12" s="142"/>
      <c r="AZ12" s="142"/>
      <c r="BA12" s="142"/>
      <c r="BB12" s="142"/>
      <c r="BC12" s="142"/>
      <c r="BD12" s="142"/>
      <c r="BE12" s="142"/>
      <c r="BF12" s="142"/>
      <c r="BG12" s="142"/>
    </row>
    <row r="13" spans="1:59">
      <c r="A13" s="143"/>
      <c r="C13" s="111"/>
      <c r="D13" s="111"/>
      <c r="E13" s="111"/>
      <c r="F13" s="111"/>
      <c r="G13" s="144"/>
      <c r="K13" s="140"/>
      <c r="L13" s="140"/>
      <c r="M13" s="142"/>
      <c r="N13" s="142"/>
      <c r="O13" s="142"/>
      <c r="P13" s="142"/>
      <c r="Q13" s="142"/>
      <c r="R13" s="142"/>
      <c r="S13" s="142"/>
      <c r="T13" s="142"/>
      <c r="U13" s="142"/>
      <c r="V13" s="142"/>
      <c r="W13" s="142"/>
      <c r="X13" s="142"/>
      <c r="Y13" s="142"/>
      <c r="Z13" s="142"/>
      <c r="AA13" s="142"/>
      <c r="AB13" s="142"/>
      <c r="AC13" s="142"/>
      <c r="AD13" s="142"/>
      <c r="AE13" s="142"/>
      <c r="AF13" s="142"/>
      <c r="AG13" s="142"/>
      <c r="AH13" s="142"/>
      <c r="AI13" s="142"/>
      <c r="AJ13" s="142"/>
      <c r="AK13" s="142"/>
      <c r="AL13" s="142"/>
      <c r="AM13" s="142"/>
      <c r="AN13" s="142"/>
      <c r="AO13" s="142"/>
      <c r="AP13" s="142"/>
      <c r="AQ13" s="142"/>
      <c r="AR13" s="142"/>
      <c r="AS13" s="142"/>
      <c r="AT13" s="142"/>
      <c r="AU13" s="142"/>
      <c r="AV13" s="142"/>
      <c r="AW13" s="142"/>
      <c r="AX13" s="142"/>
      <c r="AY13" s="142"/>
      <c r="AZ13" s="142"/>
      <c r="BA13" s="142"/>
      <c r="BB13" s="142"/>
      <c r="BC13" s="142"/>
      <c r="BD13" s="142"/>
      <c r="BE13" s="142"/>
      <c r="BF13" s="142"/>
      <c r="BG13" s="142"/>
    </row>
    <row r="14" spans="1:59">
      <c r="A14" s="143"/>
      <c r="C14" s="111"/>
      <c r="D14" s="111"/>
      <c r="E14" s="111"/>
      <c r="F14" s="111"/>
      <c r="G14" s="111"/>
      <c r="K14" s="140"/>
      <c r="L14" s="140"/>
      <c r="M14" s="142"/>
      <c r="N14" s="142"/>
      <c r="O14" s="142"/>
      <c r="P14" s="142"/>
      <c r="Q14" s="142"/>
      <c r="R14" s="142"/>
      <c r="S14" s="142"/>
      <c r="T14" s="142"/>
      <c r="U14" s="142"/>
      <c r="V14" s="142"/>
      <c r="W14" s="142"/>
      <c r="X14" s="142"/>
      <c r="Y14" s="142"/>
      <c r="Z14" s="142"/>
      <c r="AA14" s="142"/>
      <c r="AB14" s="142"/>
      <c r="AC14" s="142"/>
      <c r="AD14" s="142"/>
      <c r="AE14" s="142"/>
      <c r="AF14" s="142"/>
      <c r="AG14" s="142"/>
      <c r="AH14" s="142"/>
      <c r="AI14" s="142"/>
      <c r="AJ14" s="142"/>
      <c r="AK14" s="142"/>
      <c r="AL14" s="142"/>
      <c r="AM14" s="142"/>
      <c r="AN14" s="142"/>
      <c r="AO14" s="142"/>
      <c r="AP14" s="142"/>
      <c r="AQ14" s="142"/>
      <c r="AR14" s="142"/>
      <c r="AS14" s="142"/>
      <c r="AT14" s="142"/>
      <c r="AU14" s="142"/>
      <c r="AV14" s="142"/>
      <c r="AW14" s="142"/>
      <c r="AX14" s="142"/>
      <c r="AY14" s="142"/>
      <c r="AZ14" s="142"/>
      <c r="BA14" s="142"/>
      <c r="BB14" s="142"/>
      <c r="BC14" s="142"/>
      <c r="BD14" s="142"/>
      <c r="BE14" s="142"/>
      <c r="BF14" s="142"/>
      <c r="BG14" s="142"/>
    </row>
    <row r="15" spans="1:59">
      <c r="C15" s="109" t="s">
        <v>24</v>
      </c>
      <c r="D15" s="109"/>
      <c r="E15" s="109" t="s">
        <v>25</v>
      </c>
      <c r="F15" s="109"/>
      <c r="G15" s="109" t="s">
        <v>26</v>
      </c>
      <c r="I15" s="145" t="s">
        <v>27</v>
      </c>
      <c r="K15" s="146"/>
      <c r="L15" s="147"/>
      <c r="M15" s="142"/>
      <c r="N15" s="142"/>
      <c r="O15" s="142"/>
      <c r="P15" s="142"/>
      <c r="Q15" s="142"/>
      <c r="R15" s="142"/>
      <c r="S15" s="142"/>
      <c r="T15" s="142"/>
      <c r="U15" s="142"/>
      <c r="V15" s="142"/>
      <c r="W15" s="142"/>
      <c r="X15" s="142"/>
      <c r="Y15" s="142"/>
      <c r="Z15" s="142"/>
      <c r="AA15" s="142"/>
      <c r="AB15" s="142"/>
      <c r="AC15" s="142"/>
      <c r="AD15" s="142"/>
      <c r="AE15" s="142"/>
      <c r="AF15" s="142"/>
      <c r="AG15" s="142"/>
      <c r="AH15" s="142"/>
      <c r="AI15" s="142"/>
      <c r="AJ15" s="142"/>
      <c r="AK15" s="142"/>
      <c r="AL15" s="142"/>
      <c r="AM15" s="142"/>
      <c r="AN15" s="142"/>
      <c r="AO15" s="142"/>
      <c r="AP15" s="142"/>
      <c r="AQ15" s="142"/>
      <c r="AR15" s="142"/>
      <c r="AS15" s="142"/>
      <c r="AT15" s="142"/>
      <c r="AU15" s="142"/>
      <c r="AV15" s="142"/>
      <c r="AW15" s="142"/>
      <c r="AX15" s="142"/>
      <c r="AY15" s="142"/>
      <c r="AZ15" s="142"/>
      <c r="BA15" s="142"/>
      <c r="BB15" s="142"/>
      <c r="BC15" s="142"/>
      <c r="BD15" s="142"/>
      <c r="BE15" s="142"/>
      <c r="BF15" s="142"/>
      <c r="BG15" s="142"/>
    </row>
    <row r="16" spans="1:59">
      <c r="C16" s="108"/>
      <c r="D16" s="108"/>
      <c r="K16" s="149"/>
      <c r="L16" s="147"/>
      <c r="M16" s="142"/>
      <c r="N16" s="142"/>
      <c r="O16" s="142"/>
      <c r="P16" s="142"/>
      <c r="Q16" s="142"/>
      <c r="R16" s="142"/>
      <c r="S16" s="142"/>
      <c r="T16" s="142"/>
      <c r="U16" s="142"/>
      <c r="V16" s="142"/>
      <c r="W16" s="142"/>
      <c r="X16" s="142"/>
      <c r="Y16" s="142"/>
      <c r="Z16" s="142"/>
      <c r="AA16" s="142"/>
      <c r="AB16" s="142"/>
      <c r="AC16" s="142"/>
      <c r="AD16" s="142"/>
      <c r="AE16" s="142"/>
      <c r="AF16" s="142"/>
      <c r="AG16" s="142"/>
      <c r="AH16" s="142"/>
      <c r="AI16" s="142"/>
      <c r="AJ16" s="142"/>
      <c r="AK16" s="142"/>
      <c r="AL16" s="142"/>
      <c r="AM16" s="142"/>
      <c r="AN16" s="142"/>
      <c r="AO16" s="142"/>
      <c r="AP16" s="142"/>
      <c r="AQ16" s="142"/>
      <c r="AR16" s="142"/>
      <c r="AS16" s="142"/>
      <c r="AT16" s="142"/>
      <c r="AU16" s="142"/>
      <c r="AV16" s="142"/>
      <c r="AW16" s="142"/>
      <c r="AX16" s="142"/>
      <c r="AY16" s="142"/>
      <c r="AZ16" s="142"/>
      <c r="BA16" s="142"/>
      <c r="BB16" s="142"/>
      <c r="BC16" s="142"/>
      <c r="BD16" s="142"/>
      <c r="BE16" s="142"/>
      <c r="BF16" s="142"/>
      <c r="BG16" s="142"/>
    </row>
    <row r="17" spans="1:59">
      <c r="A17" s="375" t="s">
        <v>13</v>
      </c>
      <c r="B17" s="142"/>
      <c r="C17" s="108"/>
      <c r="D17" s="108"/>
      <c r="E17" s="154" t="s">
        <v>369</v>
      </c>
      <c r="F17" s="154"/>
      <c r="G17" s="112"/>
      <c r="H17" s="142"/>
      <c r="I17" s="142"/>
      <c r="K17" s="149"/>
      <c r="L17" s="147"/>
      <c r="M17" s="142"/>
      <c r="N17" s="142"/>
      <c r="O17" s="142"/>
      <c r="P17" s="142"/>
      <c r="Q17" s="142"/>
      <c r="R17" s="142"/>
      <c r="S17" s="142"/>
      <c r="T17" s="142"/>
      <c r="U17" s="142"/>
      <c r="V17" s="142"/>
      <c r="W17" s="142"/>
      <c r="X17" s="142"/>
      <c r="Y17" s="142"/>
      <c r="Z17" s="142"/>
      <c r="AA17" s="142"/>
      <c r="AB17" s="142"/>
      <c r="AC17" s="142"/>
      <c r="AD17" s="142"/>
      <c r="AE17" s="142"/>
      <c r="AF17" s="142"/>
      <c r="AG17" s="142"/>
      <c r="AH17" s="142"/>
      <c r="AI17" s="142"/>
      <c r="AJ17" s="142"/>
      <c r="AK17" s="142"/>
      <c r="AL17" s="142"/>
      <c r="AM17" s="142"/>
      <c r="AN17" s="142"/>
      <c r="AO17" s="142"/>
      <c r="AP17" s="142"/>
      <c r="AQ17" s="142"/>
      <c r="AR17" s="142"/>
      <c r="AS17" s="142"/>
      <c r="AT17" s="142"/>
      <c r="AU17" s="142"/>
      <c r="AV17" s="142"/>
      <c r="AW17" s="142"/>
      <c r="AX17" s="142"/>
      <c r="AY17" s="142"/>
      <c r="AZ17" s="142"/>
      <c r="BA17" s="142"/>
      <c r="BB17" s="142"/>
      <c r="BC17" s="142"/>
      <c r="BD17" s="142"/>
      <c r="BE17" s="142"/>
      <c r="BF17" s="142"/>
      <c r="BG17" s="142"/>
    </row>
    <row r="18" spans="1:59">
      <c r="A18" s="419" t="s">
        <v>15</v>
      </c>
      <c r="B18" s="420"/>
      <c r="C18" s="421"/>
      <c r="D18" s="421"/>
      <c r="E18" s="422" t="s">
        <v>31</v>
      </c>
      <c r="F18" s="422"/>
      <c r="G18" s="419" t="s">
        <v>30</v>
      </c>
      <c r="H18" s="420"/>
      <c r="I18" s="419" t="s">
        <v>18</v>
      </c>
      <c r="K18" s="146"/>
      <c r="L18" s="147"/>
      <c r="M18" s="142"/>
      <c r="N18" s="142"/>
      <c r="O18" s="142"/>
      <c r="P18" s="142"/>
      <c r="Q18" s="142"/>
      <c r="R18" s="142"/>
      <c r="S18" s="142"/>
      <c r="T18" s="142"/>
      <c r="U18" s="142"/>
      <c r="V18" s="142"/>
      <c r="W18" s="142"/>
      <c r="X18" s="142"/>
      <c r="Y18" s="142"/>
      <c r="Z18" s="142"/>
      <c r="AA18" s="142"/>
      <c r="AB18" s="142"/>
      <c r="AC18" s="142"/>
      <c r="AD18" s="142"/>
      <c r="AE18" s="142"/>
      <c r="AF18" s="142"/>
      <c r="AG18" s="142"/>
      <c r="AH18" s="142"/>
      <c r="AI18" s="142"/>
      <c r="AJ18" s="142"/>
      <c r="AK18" s="142"/>
      <c r="AL18" s="142"/>
      <c r="AM18" s="142"/>
      <c r="AN18" s="142"/>
      <c r="AO18" s="142"/>
      <c r="AP18" s="142"/>
      <c r="AQ18" s="142"/>
      <c r="AR18" s="142"/>
      <c r="AS18" s="142"/>
      <c r="AT18" s="142"/>
      <c r="AU18" s="142"/>
      <c r="AV18" s="142"/>
      <c r="AW18" s="142"/>
      <c r="AX18" s="142"/>
      <c r="AY18" s="142"/>
      <c r="AZ18" s="142"/>
      <c r="BA18" s="142"/>
      <c r="BB18" s="142"/>
      <c r="BC18" s="142"/>
      <c r="BD18" s="142"/>
      <c r="BE18" s="142"/>
      <c r="BF18" s="142"/>
      <c r="BG18" s="142"/>
    </row>
    <row r="19" spans="1:59" ht="15.75">
      <c r="A19" s="152"/>
      <c r="C19" s="108" t="s">
        <v>417</v>
      </c>
      <c r="D19" s="108"/>
      <c r="E19" s="112"/>
      <c r="F19" s="112"/>
      <c r="G19" s="112"/>
      <c r="I19" s="112"/>
      <c r="K19" s="146"/>
      <c r="L19" s="147"/>
      <c r="M19" s="142"/>
      <c r="N19" s="142"/>
      <c r="O19" s="142"/>
      <c r="P19" s="142"/>
      <c r="Q19" s="142"/>
      <c r="R19" s="142"/>
      <c r="S19" s="142"/>
      <c r="T19" s="142"/>
      <c r="U19" s="142"/>
      <c r="V19" s="142"/>
      <c r="W19" s="142"/>
      <c r="X19" s="142"/>
      <c r="Y19" s="142"/>
      <c r="Z19" s="142"/>
      <c r="AA19" s="142"/>
      <c r="AB19" s="142"/>
      <c r="AC19" s="142"/>
      <c r="AD19" s="142"/>
      <c r="AE19" s="142"/>
      <c r="AF19" s="142"/>
      <c r="AG19" s="142"/>
      <c r="AH19" s="142"/>
      <c r="AI19" s="142"/>
      <c r="AJ19" s="142"/>
      <c r="AK19" s="142"/>
      <c r="AL19" s="142"/>
      <c r="AM19" s="142"/>
      <c r="AN19" s="142"/>
      <c r="AO19" s="142"/>
      <c r="AP19" s="142"/>
      <c r="AQ19" s="142"/>
      <c r="AR19" s="142"/>
      <c r="AS19" s="142"/>
      <c r="AT19" s="142"/>
      <c r="AU19" s="142"/>
      <c r="AV19" s="142"/>
      <c r="AW19" s="142"/>
      <c r="AX19" s="142"/>
      <c r="AY19" s="142"/>
      <c r="AZ19" s="142"/>
      <c r="BA19" s="142"/>
      <c r="BB19" s="142"/>
      <c r="BC19" s="142"/>
      <c r="BD19" s="142"/>
      <c r="BE19" s="142"/>
      <c r="BF19" s="142"/>
      <c r="BG19" s="142"/>
    </row>
    <row r="20" spans="1:59">
      <c r="A20" s="153">
        <v>1</v>
      </c>
      <c r="C20" s="108" t="s">
        <v>266</v>
      </c>
      <c r="D20" s="108"/>
      <c r="E20" s="868" t="s">
        <v>803</v>
      </c>
      <c r="F20" s="154"/>
      <c r="G20" s="155">
        <f>DEK!J76</f>
        <v>39298203</v>
      </c>
      <c r="K20" s="146"/>
      <c r="L20" s="147"/>
      <c r="M20" s="142"/>
      <c r="N20" s="142"/>
      <c r="O20" s="142"/>
      <c r="P20" s="142"/>
      <c r="Q20" s="142"/>
      <c r="R20" s="142"/>
      <c r="S20" s="142"/>
      <c r="T20" s="142"/>
      <c r="U20" s="142"/>
      <c r="V20" s="142"/>
      <c r="W20" s="142"/>
      <c r="X20" s="142"/>
      <c r="Y20" s="142"/>
      <c r="Z20" s="142"/>
      <c r="AA20" s="142"/>
      <c r="AB20" s="142"/>
      <c r="AC20" s="142"/>
      <c r="AD20" s="142"/>
      <c r="AE20" s="142"/>
      <c r="AF20" s="142"/>
      <c r="AG20" s="142"/>
      <c r="AH20" s="142"/>
      <c r="AI20" s="142"/>
      <c r="AJ20" s="142"/>
      <c r="AK20" s="142"/>
      <c r="AL20" s="142"/>
      <c r="AM20" s="142"/>
      <c r="AN20" s="142"/>
      <c r="AO20" s="142"/>
      <c r="AP20" s="142"/>
      <c r="AQ20" s="142"/>
      <c r="AR20" s="142"/>
      <c r="AS20" s="142"/>
      <c r="AT20" s="142"/>
      <c r="AU20" s="142"/>
      <c r="AV20" s="142"/>
      <c r="AW20" s="142"/>
      <c r="AX20" s="142"/>
      <c r="AY20" s="142"/>
      <c r="AZ20" s="142"/>
      <c r="BA20" s="142"/>
      <c r="BB20" s="142"/>
      <c r="BC20" s="142"/>
      <c r="BD20" s="142"/>
      <c r="BE20" s="142"/>
      <c r="BF20" s="142"/>
      <c r="BG20" s="142"/>
    </row>
    <row r="21" spans="1:59">
      <c r="A21" s="153">
        <v>2</v>
      </c>
      <c r="C21" s="108" t="s">
        <v>267</v>
      </c>
      <c r="D21" s="108"/>
      <c r="E21" s="868" t="s">
        <v>804</v>
      </c>
      <c r="F21" s="154"/>
      <c r="G21" s="155">
        <f>DEK!J92</f>
        <v>26211437</v>
      </c>
      <c r="K21" s="146"/>
      <c r="L21" s="147"/>
      <c r="M21" s="142"/>
      <c r="N21" s="142"/>
      <c r="O21" s="142"/>
      <c r="P21" s="142"/>
      <c r="Q21" s="142"/>
      <c r="R21" s="142"/>
      <c r="S21" s="142"/>
      <c r="T21" s="142"/>
      <c r="U21" s="142"/>
      <c r="V21" s="142"/>
      <c r="W21" s="142"/>
      <c r="X21" s="142"/>
      <c r="Y21" s="142"/>
      <c r="Z21" s="142"/>
      <c r="AA21" s="142"/>
      <c r="AB21" s="142"/>
      <c r="AC21" s="142"/>
      <c r="AD21" s="142"/>
      <c r="AE21" s="142"/>
      <c r="AF21" s="142"/>
      <c r="AG21" s="142"/>
      <c r="AH21" s="142"/>
      <c r="AI21" s="142"/>
      <c r="AJ21" s="142"/>
      <c r="AK21" s="142"/>
      <c r="AL21" s="142"/>
      <c r="AM21" s="142"/>
      <c r="AN21" s="142"/>
      <c r="AO21" s="142"/>
      <c r="AP21" s="142"/>
      <c r="AQ21" s="142"/>
      <c r="AR21" s="142"/>
      <c r="AS21" s="142"/>
      <c r="AT21" s="142"/>
      <c r="AU21" s="142"/>
      <c r="AV21" s="142"/>
      <c r="AW21" s="142"/>
      <c r="AX21" s="142"/>
      <c r="AY21" s="142"/>
      <c r="AZ21" s="142"/>
      <c r="BA21" s="142"/>
      <c r="BB21" s="142"/>
      <c r="BC21" s="142"/>
      <c r="BD21" s="142"/>
      <c r="BE21" s="142"/>
      <c r="BF21" s="142"/>
      <c r="BG21" s="142"/>
    </row>
    <row r="22" spans="1:59">
      <c r="A22" s="153"/>
      <c r="E22" s="868"/>
      <c r="F22" s="154"/>
      <c r="K22" s="146"/>
      <c r="L22" s="147"/>
      <c r="M22" s="142"/>
      <c r="N22" s="142"/>
      <c r="O22" s="142"/>
      <c r="P22" s="142"/>
      <c r="Q22" s="142"/>
      <c r="R22" s="142"/>
      <c r="S22" s="142"/>
      <c r="T22" s="142"/>
      <c r="U22" s="142"/>
      <c r="V22" s="142"/>
      <c r="W22" s="142"/>
      <c r="X22" s="142"/>
      <c r="Y22" s="142"/>
      <c r="Z22" s="142"/>
      <c r="AA22" s="142"/>
      <c r="AB22" s="142"/>
      <c r="AC22" s="142"/>
      <c r="AD22" s="142"/>
      <c r="AE22" s="142"/>
      <c r="AF22" s="142"/>
      <c r="AG22" s="142"/>
      <c r="AH22" s="142"/>
      <c r="AI22" s="142"/>
      <c r="AJ22" s="142"/>
      <c r="AK22" s="142"/>
      <c r="AL22" s="142"/>
      <c r="AM22" s="142"/>
      <c r="AN22" s="142"/>
      <c r="AO22" s="142"/>
      <c r="AP22" s="142"/>
      <c r="AQ22" s="142"/>
      <c r="AR22" s="142"/>
      <c r="AS22" s="142"/>
      <c r="AT22" s="142"/>
      <c r="AU22" s="142"/>
      <c r="AV22" s="142"/>
      <c r="AW22" s="142"/>
      <c r="AX22" s="142"/>
      <c r="AY22" s="142"/>
      <c r="AZ22" s="142"/>
      <c r="BA22" s="142"/>
      <c r="BB22" s="142"/>
      <c r="BC22" s="142"/>
      <c r="BD22" s="142"/>
      <c r="BE22" s="142"/>
      <c r="BF22" s="142"/>
      <c r="BG22" s="142"/>
    </row>
    <row r="23" spans="1:59">
      <c r="A23" s="153"/>
      <c r="C23" s="108" t="s">
        <v>232</v>
      </c>
      <c r="D23" s="108"/>
      <c r="E23" s="868"/>
      <c r="F23" s="154"/>
      <c r="G23" s="112"/>
      <c r="I23" s="112"/>
      <c r="K23" s="146"/>
      <c r="L23" s="147"/>
      <c r="M23" s="142"/>
      <c r="N23" s="142"/>
      <c r="O23" s="142"/>
      <c r="P23" s="142"/>
      <c r="Q23" s="142"/>
      <c r="R23" s="142"/>
      <c r="S23" s="142"/>
      <c r="T23" s="142"/>
      <c r="U23" s="142"/>
      <c r="V23" s="142"/>
      <c r="W23" s="142"/>
      <c r="X23" s="142"/>
      <c r="Y23" s="142"/>
      <c r="Z23" s="142"/>
      <c r="AA23" s="142"/>
      <c r="AB23" s="142"/>
      <c r="AC23" s="142"/>
      <c r="AD23" s="142"/>
      <c r="AE23" s="142"/>
      <c r="AF23" s="142"/>
      <c r="AG23" s="142"/>
      <c r="AH23" s="142"/>
      <c r="AI23" s="142"/>
      <c r="AJ23" s="142"/>
      <c r="AK23" s="142"/>
      <c r="AL23" s="142"/>
      <c r="AM23" s="142"/>
      <c r="AN23" s="142"/>
      <c r="AO23" s="142"/>
      <c r="AP23" s="142"/>
      <c r="AQ23" s="142"/>
      <c r="AR23" s="142"/>
      <c r="AS23" s="142"/>
      <c r="AT23" s="142"/>
      <c r="AU23" s="142"/>
      <c r="AV23" s="142"/>
      <c r="AW23" s="142"/>
      <c r="AX23" s="142"/>
      <c r="AY23" s="142"/>
      <c r="AZ23" s="142"/>
      <c r="BA23" s="142"/>
      <c r="BB23" s="142"/>
      <c r="BC23" s="142"/>
      <c r="BD23" s="142"/>
      <c r="BE23" s="142"/>
      <c r="BF23" s="142"/>
      <c r="BG23" s="142"/>
    </row>
    <row r="24" spans="1:59">
      <c r="A24" s="153">
        <v>3</v>
      </c>
      <c r="C24" s="108" t="s">
        <v>268</v>
      </c>
      <c r="D24" s="108"/>
      <c r="E24" s="868" t="s">
        <v>805</v>
      </c>
      <c r="F24" s="154"/>
      <c r="G24" s="155">
        <f>DEK!J148</f>
        <v>2037137</v>
      </c>
      <c r="K24" s="146"/>
      <c r="L24" s="147"/>
      <c r="M24" s="142"/>
      <c r="N24" s="142"/>
      <c r="O24" s="142"/>
      <c r="P24" s="142"/>
      <c r="Q24" s="142"/>
      <c r="R24" s="142"/>
      <c r="S24" s="142"/>
      <c r="T24" s="142"/>
      <c r="U24" s="142"/>
      <c r="V24" s="142"/>
      <c r="W24" s="142"/>
      <c r="X24" s="142"/>
      <c r="Y24" s="142"/>
      <c r="Z24" s="142"/>
      <c r="AA24" s="142"/>
      <c r="AB24" s="142"/>
      <c r="AC24" s="142"/>
      <c r="AD24" s="142"/>
      <c r="AE24" s="142"/>
      <c r="AF24" s="142"/>
      <c r="AG24" s="142"/>
      <c r="AH24" s="142"/>
      <c r="AI24" s="142"/>
      <c r="AJ24" s="142"/>
      <c r="AK24" s="142"/>
      <c r="AL24" s="142"/>
      <c r="AM24" s="142"/>
      <c r="AN24" s="142"/>
      <c r="AO24" s="142"/>
      <c r="AP24" s="142"/>
      <c r="AQ24" s="142"/>
      <c r="AR24" s="142"/>
      <c r="AS24" s="142"/>
      <c r="AT24" s="142"/>
      <c r="AU24" s="142"/>
      <c r="AV24" s="142"/>
      <c r="AW24" s="142"/>
      <c r="AX24" s="142"/>
      <c r="AY24" s="142"/>
      <c r="AZ24" s="142"/>
      <c r="BA24" s="142"/>
      <c r="BB24" s="142"/>
      <c r="BC24" s="142"/>
      <c r="BD24" s="142"/>
      <c r="BE24" s="142"/>
      <c r="BF24" s="142"/>
      <c r="BG24" s="142"/>
    </row>
    <row r="25" spans="1:59">
      <c r="A25" s="153">
        <v>4</v>
      </c>
      <c r="C25" s="108" t="s">
        <v>269</v>
      </c>
      <c r="D25" s="108"/>
      <c r="E25" s="868" t="s">
        <v>700</v>
      </c>
      <c r="F25" s="154"/>
      <c r="G25" s="156">
        <f>IF(G24=0,0,G24/G20)</f>
        <v>5.1837917372455938E-2</v>
      </c>
      <c r="I25" s="157">
        <f>G25</f>
        <v>5.1837917372455938E-2</v>
      </c>
      <c r="K25" s="146"/>
      <c r="L25" s="147"/>
      <c r="M25" s="142"/>
      <c r="N25" s="142"/>
      <c r="O25" s="142"/>
      <c r="P25" s="142"/>
      <c r="Q25" s="142"/>
      <c r="R25" s="142"/>
      <c r="S25" s="142"/>
      <c r="T25" s="142"/>
      <c r="U25" s="142"/>
      <c r="V25" s="142"/>
      <c r="W25" s="142"/>
      <c r="X25" s="142"/>
      <c r="Y25" s="142"/>
      <c r="Z25" s="142"/>
      <c r="AA25" s="142"/>
      <c r="AB25" s="142"/>
      <c r="AC25" s="142"/>
      <c r="AD25" s="142"/>
      <c r="AE25" s="142"/>
      <c r="AF25" s="142"/>
      <c r="AG25" s="142"/>
      <c r="AH25" s="142"/>
      <c r="AI25" s="142"/>
      <c r="AJ25" s="142"/>
      <c r="AK25" s="142"/>
      <c r="AL25" s="142"/>
      <c r="AM25" s="142"/>
      <c r="AN25" s="142"/>
      <c r="AO25" s="142"/>
      <c r="AP25" s="142"/>
      <c r="AQ25" s="142"/>
      <c r="AR25" s="142"/>
      <c r="AS25" s="142"/>
      <c r="AT25" s="142"/>
      <c r="AU25" s="142"/>
      <c r="AV25" s="142"/>
      <c r="AW25" s="142"/>
      <c r="AX25" s="142"/>
      <c r="AY25" s="142"/>
      <c r="AZ25" s="142"/>
      <c r="BA25" s="142"/>
      <c r="BB25" s="142"/>
      <c r="BC25" s="142"/>
      <c r="BD25" s="142"/>
      <c r="BE25" s="142"/>
      <c r="BF25" s="142"/>
      <c r="BG25" s="142"/>
    </row>
    <row r="26" spans="1:59">
      <c r="A26" s="153"/>
      <c r="E26" s="868"/>
      <c r="F26" s="154"/>
      <c r="K26" s="146"/>
      <c r="L26" s="147"/>
      <c r="M26" s="142"/>
      <c r="N26" s="142"/>
      <c r="O26" s="142"/>
      <c r="P26" s="142"/>
      <c r="Q26" s="142"/>
      <c r="R26" s="142"/>
      <c r="S26" s="142"/>
      <c r="T26" s="142"/>
      <c r="U26" s="142"/>
      <c r="V26" s="142"/>
      <c r="W26" s="142"/>
      <c r="X26" s="142"/>
      <c r="Y26" s="142"/>
      <c r="Z26" s="142"/>
      <c r="AA26" s="142"/>
      <c r="AB26" s="142"/>
      <c r="AC26" s="142"/>
      <c r="AD26" s="142"/>
      <c r="AE26" s="142"/>
      <c r="AF26" s="142"/>
      <c r="AG26" s="142"/>
      <c r="AH26" s="142"/>
      <c r="AI26" s="142"/>
      <c r="AJ26" s="142"/>
      <c r="AK26" s="142"/>
      <c r="AL26" s="142"/>
      <c r="AM26" s="142"/>
      <c r="AN26" s="142"/>
      <c r="AO26" s="142"/>
      <c r="AP26" s="142"/>
      <c r="AQ26" s="142"/>
      <c r="AR26" s="142"/>
      <c r="AS26" s="142"/>
      <c r="AT26" s="142"/>
      <c r="AU26" s="142"/>
      <c r="AV26" s="142"/>
      <c r="AW26" s="142"/>
      <c r="AX26" s="142"/>
      <c r="AY26" s="142"/>
      <c r="AZ26" s="142"/>
      <c r="BA26" s="142"/>
      <c r="BB26" s="142"/>
      <c r="BC26" s="142"/>
      <c r="BD26" s="142"/>
      <c r="BE26" s="142"/>
      <c r="BF26" s="142"/>
      <c r="BG26" s="142"/>
    </row>
    <row r="27" spans="1:59">
      <c r="A27" s="153"/>
      <c r="C27" s="108" t="s">
        <v>320</v>
      </c>
      <c r="D27" s="108"/>
      <c r="E27" s="866"/>
      <c r="F27" s="154"/>
      <c r="K27" s="146"/>
      <c r="L27" s="147"/>
      <c r="M27" s="142"/>
      <c r="N27" s="142"/>
      <c r="O27" s="142"/>
      <c r="P27" s="142"/>
      <c r="Q27" s="142"/>
      <c r="R27" s="142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  <c r="AF27" s="142"/>
      <c r="AG27" s="142"/>
      <c r="AH27" s="142"/>
      <c r="AI27" s="142"/>
      <c r="AJ27" s="142"/>
      <c r="AK27" s="142"/>
      <c r="AL27" s="142"/>
      <c r="AM27" s="142"/>
      <c r="AN27" s="142"/>
      <c r="AO27" s="142"/>
      <c r="AP27" s="142"/>
      <c r="AQ27" s="142"/>
      <c r="AR27" s="142"/>
      <c r="AS27" s="142"/>
      <c r="AT27" s="142"/>
      <c r="AU27" s="142"/>
      <c r="AV27" s="142"/>
      <c r="AW27" s="142"/>
      <c r="AX27" s="142"/>
      <c r="AY27" s="142"/>
      <c r="AZ27" s="142"/>
      <c r="BA27" s="142"/>
      <c r="BB27" s="142"/>
      <c r="BC27" s="142"/>
      <c r="BD27" s="142"/>
      <c r="BE27" s="142"/>
      <c r="BF27" s="142"/>
      <c r="BG27" s="142"/>
    </row>
    <row r="28" spans="1:59">
      <c r="A28" s="166" t="s">
        <v>270</v>
      </c>
      <c r="C28" s="108" t="s">
        <v>321</v>
      </c>
      <c r="D28" s="108"/>
      <c r="E28" s="868" t="s">
        <v>806</v>
      </c>
      <c r="F28" s="154"/>
      <c r="G28" s="155">
        <f>DEK!J152+DEK!J153</f>
        <v>88657</v>
      </c>
      <c r="K28" s="146"/>
      <c r="L28" s="147"/>
      <c r="M28" s="142"/>
      <c r="N28" s="142"/>
      <c r="O28" s="142"/>
      <c r="P28" s="142"/>
      <c r="Q28" s="142"/>
      <c r="R28" s="142"/>
      <c r="S28" s="142"/>
      <c r="T28" s="142"/>
      <c r="U28" s="142"/>
      <c r="V28" s="142"/>
      <c r="W28" s="142"/>
      <c r="X28" s="142"/>
      <c r="Y28" s="142"/>
      <c r="Z28" s="142"/>
      <c r="AA28" s="142"/>
      <c r="AB28" s="142"/>
      <c r="AC28" s="142"/>
      <c r="AD28" s="142"/>
      <c r="AE28" s="142"/>
      <c r="AF28" s="142"/>
      <c r="AG28" s="142"/>
      <c r="AH28" s="142"/>
      <c r="AI28" s="142"/>
      <c r="AJ28" s="142"/>
      <c r="AK28" s="142"/>
      <c r="AL28" s="142"/>
      <c r="AM28" s="142"/>
      <c r="AN28" s="142"/>
      <c r="AO28" s="142"/>
      <c r="AP28" s="142"/>
      <c r="AQ28" s="142"/>
      <c r="AR28" s="142"/>
      <c r="AS28" s="142"/>
      <c r="AT28" s="142"/>
      <c r="AU28" s="142"/>
      <c r="AV28" s="142"/>
      <c r="AW28" s="142"/>
      <c r="AX28" s="142"/>
      <c r="AY28" s="142"/>
      <c r="AZ28" s="142"/>
      <c r="BA28" s="142"/>
      <c r="BB28" s="142"/>
      <c r="BC28" s="142"/>
      <c r="BD28" s="142"/>
      <c r="BE28" s="142"/>
      <c r="BF28" s="142"/>
      <c r="BG28" s="142"/>
    </row>
    <row r="29" spans="1:59">
      <c r="A29" s="166" t="s">
        <v>271</v>
      </c>
      <c r="C29" s="108" t="s">
        <v>322</v>
      </c>
      <c r="D29" s="108"/>
      <c r="E29" s="868" t="s">
        <v>701</v>
      </c>
      <c r="F29" s="154"/>
      <c r="G29" s="156">
        <f>IF(G28=0,0,G28/G20)</f>
        <v>2.2560064642141524E-3</v>
      </c>
      <c r="I29" s="157">
        <f>G29</f>
        <v>2.2560064642141524E-3</v>
      </c>
      <c r="K29" s="146"/>
      <c r="L29" s="147"/>
      <c r="M29" s="142"/>
      <c r="N29" s="142"/>
      <c r="O29" s="142"/>
      <c r="P29" s="142"/>
      <c r="Q29" s="142"/>
      <c r="R29" s="142"/>
      <c r="S29" s="142"/>
      <c r="T29" s="142"/>
      <c r="U29" s="142"/>
      <c r="V29" s="142"/>
      <c r="W29" s="142"/>
      <c r="X29" s="142"/>
      <c r="Y29" s="142"/>
      <c r="Z29" s="142"/>
      <c r="AA29" s="142"/>
      <c r="AB29" s="142"/>
      <c r="AC29" s="142"/>
      <c r="AD29" s="142"/>
      <c r="AE29" s="142"/>
      <c r="AF29" s="142"/>
      <c r="AG29" s="142"/>
      <c r="AH29" s="142"/>
      <c r="AI29" s="142"/>
      <c r="AJ29" s="142"/>
      <c r="AK29" s="142"/>
      <c r="AL29" s="142"/>
      <c r="AM29" s="142"/>
      <c r="AN29" s="142"/>
      <c r="AO29" s="142"/>
      <c r="AP29" s="142"/>
      <c r="AQ29" s="142"/>
      <c r="AR29" s="142"/>
      <c r="AS29" s="142"/>
      <c r="AT29" s="142"/>
      <c r="AU29" s="142"/>
      <c r="AV29" s="142"/>
      <c r="AW29" s="142"/>
      <c r="AX29" s="142"/>
      <c r="AY29" s="142"/>
      <c r="AZ29" s="142"/>
      <c r="BA29" s="142"/>
      <c r="BB29" s="142"/>
      <c r="BC29" s="142"/>
      <c r="BD29" s="142"/>
      <c r="BE29" s="142"/>
      <c r="BF29" s="142"/>
      <c r="BG29" s="142"/>
    </row>
    <row r="30" spans="1:59">
      <c r="A30" s="153"/>
      <c r="E30" s="868"/>
      <c r="F30" s="154"/>
      <c r="K30" s="146"/>
      <c r="L30" s="147"/>
      <c r="M30" s="142"/>
      <c r="N30" s="142"/>
      <c r="O30" s="142"/>
      <c r="P30" s="142"/>
      <c r="Q30" s="142"/>
      <c r="R30" s="142"/>
      <c r="S30" s="142"/>
      <c r="T30" s="142"/>
      <c r="U30" s="142"/>
      <c r="V30" s="142"/>
      <c r="W30" s="142"/>
      <c r="X30" s="142"/>
      <c r="Y30" s="142"/>
      <c r="Z30" s="142"/>
      <c r="AA30" s="142"/>
      <c r="AB30" s="142"/>
      <c r="AC30" s="142"/>
      <c r="AD30" s="142"/>
      <c r="AE30" s="142"/>
      <c r="AF30" s="142"/>
      <c r="AG30" s="142"/>
      <c r="AH30" s="142"/>
      <c r="AI30" s="142"/>
      <c r="AJ30" s="142"/>
      <c r="AK30" s="142"/>
      <c r="AL30" s="142"/>
      <c r="AM30" s="142"/>
      <c r="AN30" s="142"/>
      <c r="AO30" s="142"/>
      <c r="AP30" s="142"/>
      <c r="AQ30" s="142"/>
      <c r="AR30" s="142"/>
      <c r="AS30" s="142"/>
      <c r="AT30" s="142"/>
      <c r="AU30" s="142"/>
      <c r="AV30" s="142"/>
      <c r="AW30" s="142"/>
      <c r="AX30" s="142"/>
      <c r="AY30" s="142"/>
      <c r="AZ30" s="142"/>
      <c r="BA30" s="142"/>
      <c r="BB30" s="142"/>
      <c r="BC30" s="142"/>
      <c r="BD30" s="142"/>
      <c r="BE30" s="142"/>
      <c r="BF30" s="142"/>
      <c r="BG30" s="142"/>
    </row>
    <row r="31" spans="1:59">
      <c r="A31" s="160"/>
      <c r="C31" s="108" t="s">
        <v>235</v>
      </c>
      <c r="D31" s="108"/>
      <c r="E31" s="866"/>
      <c r="F31" s="114"/>
      <c r="G31" s="112"/>
      <c r="I31" s="112"/>
      <c r="K31" s="146"/>
      <c r="L31" s="147"/>
      <c r="M31" s="142"/>
      <c r="N31" s="142"/>
      <c r="O31" s="142"/>
      <c r="P31" s="142"/>
      <c r="Q31" s="142"/>
      <c r="R31" s="142"/>
      <c r="S31" s="142"/>
      <c r="T31" s="142"/>
      <c r="U31" s="142"/>
      <c r="V31" s="142"/>
      <c r="W31" s="142"/>
      <c r="X31" s="142"/>
      <c r="Y31" s="142"/>
      <c r="Z31" s="142"/>
      <c r="AA31" s="142"/>
      <c r="AB31" s="142"/>
      <c r="AC31" s="142"/>
      <c r="AD31" s="142"/>
      <c r="AE31" s="142"/>
      <c r="AF31" s="142"/>
      <c r="AG31" s="142"/>
      <c r="AH31" s="142"/>
      <c r="AI31" s="142"/>
      <c r="AJ31" s="142"/>
      <c r="AK31" s="142"/>
      <c r="AL31" s="142"/>
      <c r="AM31" s="142"/>
      <c r="AN31" s="142"/>
      <c r="AO31" s="142"/>
      <c r="AP31" s="142"/>
      <c r="AQ31" s="142"/>
      <c r="AR31" s="142"/>
      <c r="AS31" s="142"/>
      <c r="AT31" s="142"/>
      <c r="AU31" s="142"/>
      <c r="AV31" s="142"/>
      <c r="AW31" s="142"/>
      <c r="AX31" s="142"/>
      <c r="AY31" s="142"/>
      <c r="AZ31" s="142"/>
      <c r="BA31" s="142"/>
      <c r="BB31" s="142"/>
      <c r="BC31" s="142"/>
      <c r="BD31" s="142"/>
      <c r="BE31" s="142"/>
      <c r="BF31" s="142"/>
      <c r="BG31" s="142"/>
    </row>
    <row r="32" spans="1:59">
      <c r="A32" s="160" t="s">
        <v>273</v>
      </c>
      <c r="C32" s="108" t="s">
        <v>237</v>
      </c>
      <c r="D32" s="108"/>
      <c r="E32" s="868" t="s">
        <v>807</v>
      </c>
      <c r="F32" s="154"/>
      <c r="G32" s="155">
        <f>DEK!J165</f>
        <v>247306</v>
      </c>
      <c r="K32" s="149"/>
      <c r="L32" s="147"/>
      <c r="M32" s="142"/>
      <c r="N32" s="142"/>
      <c r="O32" s="142"/>
      <c r="P32" s="142"/>
      <c r="Q32" s="142"/>
      <c r="R32" s="142"/>
      <c r="S32" s="142"/>
      <c r="T32" s="142"/>
      <c r="U32" s="142"/>
      <c r="V32" s="142"/>
      <c r="W32" s="142"/>
      <c r="X32" s="142"/>
      <c r="Y32" s="142"/>
      <c r="Z32" s="142"/>
      <c r="AA32" s="142"/>
      <c r="AB32" s="142"/>
      <c r="AC32" s="142"/>
      <c r="AD32" s="142"/>
      <c r="AE32" s="142"/>
      <c r="AF32" s="142"/>
      <c r="AG32" s="142"/>
      <c r="AH32" s="142"/>
      <c r="AI32" s="142"/>
      <c r="AJ32" s="142"/>
      <c r="AK32" s="142"/>
      <c r="AL32" s="142"/>
      <c r="AM32" s="142"/>
      <c r="AN32" s="142"/>
      <c r="AO32" s="142"/>
      <c r="AP32" s="142"/>
      <c r="AQ32" s="142"/>
      <c r="AR32" s="142"/>
      <c r="AS32" s="142"/>
      <c r="AT32" s="142"/>
      <c r="AU32" s="142"/>
      <c r="AV32" s="142"/>
      <c r="AW32" s="142"/>
      <c r="AX32" s="142"/>
      <c r="AY32" s="142"/>
      <c r="AZ32" s="142"/>
      <c r="BA32" s="142"/>
      <c r="BB32" s="142"/>
      <c r="BC32" s="142"/>
      <c r="BD32" s="142"/>
      <c r="BE32" s="142"/>
      <c r="BF32" s="142"/>
      <c r="BG32" s="142"/>
    </row>
    <row r="33" spans="1:59">
      <c r="A33" s="160" t="s">
        <v>275</v>
      </c>
      <c r="C33" s="108" t="s">
        <v>272</v>
      </c>
      <c r="D33" s="108"/>
      <c r="E33" s="868" t="s">
        <v>798</v>
      </c>
      <c r="F33" s="154"/>
      <c r="G33" s="156">
        <f>IF(G32=0,0,G32/G20)</f>
        <v>6.2930612883240486E-3</v>
      </c>
      <c r="I33" s="157">
        <f>G33</f>
        <v>6.2930612883240486E-3</v>
      </c>
      <c r="K33" s="149"/>
      <c r="L33" s="147"/>
      <c r="M33" s="142"/>
      <c r="N33" s="142"/>
      <c r="O33" s="142"/>
      <c r="P33" s="142"/>
      <c r="Q33" s="142"/>
      <c r="R33" s="142"/>
      <c r="S33" s="142"/>
      <c r="T33" s="142"/>
      <c r="U33" s="142"/>
      <c r="V33" s="142"/>
      <c r="W33" s="142"/>
      <c r="X33" s="142"/>
      <c r="Y33" s="142"/>
      <c r="Z33" s="142"/>
      <c r="AA33" s="142"/>
      <c r="AB33" s="142"/>
      <c r="AC33" s="142"/>
      <c r="AD33" s="142"/>
      <c r="AE33" s="142"/>
      <c r="AF33" s="142"/>
      <c r="AG33" s="142"/>
      <c r="AH33" s="142"/>
      <c r="AI33" s="142"/>
      <c r="AJ33" s="142"/>
      <c r="AK33" s="142"/>
      <c r="AL33" s="142"/>
      <c r="AM33" s="142"/>
      <c r="AN33" s="142"/>
      <c r="AO33" s="142"/>
      <c r="AP33" s="142"/>
      <c r="AQ33" s="142"/>
      <c r="AR33" s="142"/>
      <c r="AS33" s="142"/>
      <c r="AT33" s="142"/>
      <c r="AU33" s="142"/>
      <c r="AV33" s="142"/>
      <c r="AW33" s="142"/>
      <c r="AX33" s="142"/>
      <c r="AY33" s="142"/>
      <c r="AZ33" s="142"/>
      <c r="BA33" s="142"/>
      <c r="BB33" s="142"/>
      <c r="BC33" s="142"/>
      <c r="BD33" s="142"/>
      <c r="BE33" s="142"/>
      <c r="BF33" s="142"/>
      <c r="BG33" s="142"/>
    </row>
    <row r="34" spans="1:59">
      <c r="A34" s="160"/>
      <c r="C34" s="108"/>
      <c r="D34" s="108"/>
      <c r="E34" s="868"/>
      <c r="F34" s="154"/>
      <c r="G34" s="112"/>
      <c r="I34" s="112"/>
      <c r="K34" s="146"/>
      <c r="L34" s="147"/>
      <c r="M34" s="142"/>
      <c r="N34" s="142"/>
      <c r="O34" s="142"/>
      <c r="P34" s="142"/>
      <c r="Q34" s="142"/>
      <c r="R34" s="142"/>
      <c r="S34" s="142"/>
      <c r="T34" s="142"/>
      <c r="U34" s="142"/>
      <c r="V34" s="142"/>
      <c r="W34" s="142"/>
      <c r="X34" s="142"/>
      <c r="Y34" s="142"/>
      <c r="Z34" s="142"/>
      <c r="AA34" s="142"/>
      <c r="AB34" s="142"/>
      <c r="AC34" s="142"/>
      <c r="AD34" s="142"/>
      <c r="AE34" s="142"/>
      <c r="AF34" s="142"/>
      <c r="AG34" s="142"/>
      <c r="AH34" s="142"/>
      <c r="AI34" s="142"/>
      <c r="AJ34" s="142"/>
      <c r="AK34" s="142"/>
      <c r="AL34" s="142"/>
      <c r="AM34" s="142"/>
      <c r="AN34" s="142"/>
      <c r="AO34" s="142"/>
      <c r="AP34" s="142"/>
      <c r="AQ34" s="142"/>
      <c r="AR34" s="142"/>
      <c r="AS34" s="142"/>
      <c r="AT34" s="142"/>
      <c r="AU34" s="142"/>
      <c r="AV34" s="142"/>
      <c r="AW34" s="142"/>
      <c r="AX34" s="142"/>
      <c r="AY34" s="142"/>
      <c r="AZ34" s="142"/>
      <c r="BA34" s="142"/>
      <c r="BB34" s="142"/>
      <c r="BC34" s="142"/>
      <c r="BD34" s="142"/>
      <c r="BE34" s="142"/>
      <c r="BF34" s="142"/>
      <c r="BG34" s="142"/>
    </row>
    <row r="35" spans="1:59" ht="15.75">
      <c r="A35" s="162" t="s">
        <v>233</v>
      </c>
      <c r="B35" s="163"/>
      <c r="C35" s="151" t="s">
        <v>274</v>
      </c>
      <c r="D35" s="151"/>
      <c r="E35" s="867" t="s">
        <v>568</v>
      </c>
      <c r="F35" s="148"/>
      <c r="G35" s="164"/>
      <c r="I35" s="165">
        <f>I25+I29+I33</f>
        <v>6.0386985124994137E-2</v>
      </c>
      <c r="K35" s="146"/>
      <c r="L35" s="147"/>
      <c r="M35" s="142"/>
      <c r="N35" s="142"/>
      <c r="O35" s="142"/>
      <c r="P35" s="142"/>
      <c r="Q35" s="142"/>
      <c r="R35" s="142"/>
      <c r="S35" s="142"/>
      <c r="T35" s="142"/>
      <c r="U35" s="142"/>
      <c r="V35" s="142"/>
      <c r="W35" s="142"/>
      <c r="X35" s="142"/>
      <c r="Y35" s="142"/>
      <c r="Z35" s="142"/>
      <c r="AA35" s="142"/>
      <c r="AB35" s="142"/>
      <c r="AC35" s="142"/>
      <c r="AD35" s="142"/>
      <c r="AE35" s="142"/>
      <c r="AF35" s="142"/>
      <c r="AG35" s="142"/>
      <c r="AH35" s="142"/>
      <c r="AI35" s="142"/>
      <c r="AJ35" s="142"/>
      <c r="AK35" s="142"/>
      <c r="AL35" s="142"/>
      <c r="AM35" s="142"/>
      <c r="AN35" s="142"/>
      <c r="AO35" s="142"/>
      <c r="AP35" s="142"/>
      <c r="AQ35" s="142"/>
      <c r="AR35" s="142"/>
      <c r="AS35" s="142"/>
      <c r="AT35" s="142"/>
      <c r="AU35" s="142"/>
      <c r="AV35" s="142"/>
      <c r="AW35" s="142"/>
      <c r="AX35" s="142"/>
      <c r="AY35" s="142"/>
      <c r="AZ35" s="142"/>
      <c r="BA35" s="142"/>
      <c r="BB35" s="142"/>
      <c r="BC35" s="142"/>
      <c r="BD35" s="142"/>
      <c r="BE35" s="142"/>
      <c r="BF35" s="142"/>
      <c r="BG35" s="142"/>
    </row>
    <row r="36" spans="1:59">
      <c r="A36" s="371"/>
      <c r="C36" s="108"/>
      <c r="D36" s="108"/>
      <c r="E36" s="868"/>
      <c r="F36" s="154"/>
      <c r="G36" s="112"/>
      <c r="I36" s="112"/>
      <c r="K36" s="146"/>
      <c r="L36" s="147"/>
      <c r="M36" s="142"/>
      <c r="N36" s="142"/>
      <c r="O36" s="142"/>
      <c r="P36" s="142"/>
      <c r="Q36" s="142"/>
      <c r="R36" s="142"/>
      <c r="S36" s="142"/>
      <c r="T36" s="142"/>
      <c r="U36" s="142"/>
      <c r="V36" s="142"/>
      <c r="W36" s="142"/>
      <c r="X36" s="142"/>
      <c r="Y36" s="142"/>
      <c r="Z36" s="142"/>
      <c r="AA36" s="142"/>
      <c r="AB36" s="142"/>
      <c r="AC36" s="142"/>
      <c r="AD36" s="142"/>
      <c r="AE36" s="142"/>
      <c r="AF36" s="142"/>
      <c r="AG36" s="142"/>
      <c r="AH36" s="142"/>
      <c r="AI36" s="142"/>
      <c r="AJ36" s="142"/>
      <c r="AK36" s="142"/>
      <c r="AL36" s="142"/>
      <c r="AM36" s="142"/>
      <c r="AN36" s="142"/>
      <c r="AO36" s="142"/>
      <c r="AP36" s="142"/>
      <c r="AQ36" s="142"/>
      <c r="AR36" s="142"/>
      <c r="AS36" s="142"/>
      <c r="AT36" s="142"/>
      <c r="AU36" s="142"/>
      <c r="AV36" s="142"/>
      <c r="AW36" s="142"/>
      <c r="AX36" s="142"/>
      <c r="AY36" s="142"/>
      <c r="AZ36" s="142"/>
      <c r="BA36" s="142"/>
      <c r="BB36" s="142"/>
      <c r="BC36" s="142"/>
      <c r="BD36" s="142"/>
      <c r="BE36" s="142"/>
      <c r="BF36" s="142"/>
      <c r="BG36" s="142"/>
    </row>
    <row r="37" spans="1:59">
      <c r="A37" s="166"/>
      <c r="B37" s="167"/>
      <c r="C37" s="112" t="s">
        <v>239</v>
      </c>
      <c r="D37" s="112"/>
      <c r="E37" s="868"/>
      <c r="F37" s="154"/>
      <c r="G37" s="112"/>
      <c r="I37" s="112"/>
      <c r="K37" s="149"/>
      <c r="L37" s="146" t="s">
        <v>12</v>
      </c>
      <c r="M37" s="142"/>
      <c r="N37" s="142"/>
      <c r="O37" s="142"/>
      <c r="P37" s="142"/>
      <c r="Q37" s="142"/>
      <c r="R37" s="142"/>
      <c r="S37" s="142"/>
      <c r="T37" s="142"/>
      <c r="U37" s="142"/>
      <c r="V37" s="142"/>
      <c r="W37" s="142"/>
      <c r="X37" s="142"/>
      <c r="Y37" s="142"/>
      <c r="Z37" s="142"/>
      <c r="AA37" s="142"/>
      <c r="AB37" s="142"/>
      <c r="AC37" s="142"/>
      <c r="AD37" s="142"/>
      <c r="AE37" s="142"/>
      <c r="AF37" s="142"/>
      <c r="AG37" s="142"/>
      <c r="AH37" s="142"/>
      <c r="AI37" s="142"/>
      <c r="AJ37" s="142"/>
      <c r="AK37" s="142"/>
      <c r="AL37" s="142"/>
      <c r="AM37" s="142"/>
      <c r="AN37" s="142"/>
      <c r="AO37" s="142"/>
      <c r="AP37" s="142"/>
      <c r="AQ37" s="142"/>
      <c r="AR37" s="142"/>
      <c r="AS37" s="142"/>
      <c r="AT37" s="142"/>
      <c r="AU37" s="142"/>
      <c r="AV37" s="142"/>
      <c r="AW37" s="142"/>
      <c r="AX37" s="142"/>
      <c r="AY37" s="142"/>
      <c r="AZ37" s="142"/>
      <c r="BA37" s="142"/>
      <c r="BB37" s="142"/>
      <c r="BC37" s="142"/>
      <c r="BD37" s="142"/>
      <c r="BE37" s="142"/>
      <c r="BF37" s="142"/>
      <c r="BG37" s="142"/>
    </row>
    <row r="38" spans="1:59">
      <c r="A38" s="160" t="s">
        <v>234</v>
      </c>
      <c r="B38" s="167"/>
      <c r="C38" s="112" t="s">
        <v>150</v>
      </c>
      <c r="D38" s="112"/>
      <c r="E38" s="868" t="s">
        <v>808</v>
      </c>
      <c r="F38" s="154"/>
      <c r="G38" s="155">
        <f>DEK!J178</f>
        <v>792354.33581165737</v>
      </c>
      <c r="I38" s="112"/>
      <c r="K38" s="149"/>
      <c r="L38" s="146"/>
      <c r="M38" s="142"/>
      <c r="N38" s="142"/>
      <c r="O38" s="142"/>
      <c r="P38" s="142"/>
      <c r="Q38" s="142"/>
      <c r="R38" s="142"/>
      <c r="S38" s="142"/>
      <c r="T38" s="142"/>
      <c r="U38" s="142"/>
      <c r="V38" s="142"/>
      <c r="W38" s="142"/>
      <c r="X38" s="142"/>
      <c r="Y38" s="142"/>
      <c r="Z38" s="142"/>
      <c r="AA38" s="142"/>
      <c r="AB38" s="142"/>
      <c r="AC38" s="142"/>
      <c r="AD38" s="142"/>
      <c r="AE38" s="142"/>
      <c r="AF38" s="142"/>
      <c r="AG38" s="142"/>
      <c r="AH38" s="142"/>
      <c r="AI38" s="142"/>
      <c r="AJ38" s="142"/>
      <c r="AK38" s="142"/>
      <c r="AL38" s="142"/>
      <c r="AM38" s="142"/>
      <c r="AN38" s="142"/>
      <c r="AO38" s="142"/>
      <c r="AP38" s="142"/>
      <c r="AQ38" s="142"/>
      <c r="AR38" s="142"/>
      <c r="AS38" s="142"/>
      <c r="AT38" s="142"/>
      <c r="AU38" s="142"/>
      <c r="AV38" s="142"/>
      <c r="AW38" s="142"/>
      <c r="AX38" s="142"/>
      <c r="AY38" s="142"/>
      <c r="AZ38" s="142"/>
      <c r="BA38" s="142"/>
      <c r="BB38" s="142"/>
      <c r="BC38" s="142"/>
      <c r="BD38" s="142"/>
      <c r="BE38" s="142"/>
      <c r="BF38" s="142"/>
      <c r="BG38" s="142"/>
    </row>
    <row r="39" spans="1:59">
      <c r="A39" s="160" t="s">
        <v>236</v>
      </c>
      <c r="B39" s="167"/>
      <c r="C39" s="112" t="s">
        <v>276</v>
      </c>
      <c r="D39" s="112"/>
      <c r="E39" s="868" t="s">
        <v>702</v>
      </c>
      <c r="F39" s="154"/>
      <c r="G39" s="156">
        <f>IF(G38=0,0,G38/G21)</f>
        <v>3.0229335988395348E-2</v>
      </c>
      <c r="I39" s="157">
        <f>G39</f>
        <v>3.0229335988395348E-2</v>
      </c>
      <c r="K39" s="149"/>
      <c r="L39" s="146"/>
      <c r="M39" s="142"/>
      <c r="N39" s="142"/>
      <c r="O39" s="142"/>
      <c r="P39" s="142"/>
      <c r="Q39" s="142"/>
      <c r="R39" s="142"/>
      <c r="S39" s="142"/>
      <c r="T39" s="142"/>
      <c r="U39" s="142"/>
      <c r="V39" s="142"/>
      <c r="W39" s="142"/>
      <c r="X39" s="142"/>
      <c r="Y39" s="142"/>
      <c r="Z39" s="142"/>
      <c r="AA39" s="142"/>
      <c r="AB39" s="142"/>
      <c r="AC39" s="142"/>
      <c r="AD39" s="142"/>
      <c r="AE39" s="142"/>
      <c r="AF39" s="142"/>
      <c r="AG39" s="142"/>
      <c r="AH39" s="142"/>
      <c r="AI39" s="142"/>
      <c r="AJ39" s="142"/>
      <c r="AK39" s="142"/>
      <c r="AL39" s="142"/>
      <c r="AM39" s="142"/>
      <c r="AN39" s="142"/>
      <c r="AO39" s="142"/>
      <c r="AP39" s="142"/>
      <c r="AQ39" s="142"/>
      <c r="AR39" s="142"/>
      <c r="AS39" s="142"/>
      <c r="AT39" s="142"/>
      <c r="AU39" s="142"/>
      <c r="AV39" s="142"/>
      <c r="AW39" s="142"/>
      <c r="AX39" s="142"/>
      <c r="AY39" s="142"/>
      <c r="AZ39" s="142"/>
      <c r="BA39" s="142"/>
      <c r="BB39" s="142"/>
      <c r="BC39" s="142"/>
      <c r="BD39" s="142"/>
      <c r="BE39" s="142"/>
      <c r="BF39" s="142"/>
      <c r="BG39" s="142"/>
    </row>
    <row r="40" spans="1:59">
      <c r="A40" s="160"/>
      <c r="C40" s="112"/>
      <c r="D40" s="112"/>
      <c r="E40" s="868"/>
      <c r="F40" s="154"/>
      <c r="G40" s="112"/>
      <c r="I40" s="112"/>
      <c r="K40" s="140"/>
      <c r="L40" s="147"/>
      <c r="M40" s="142"/>
      <c r="N40" s="142"/>
      <c r="O40" s="142"/>
      <c r="P40" s="142"/>
      <c r="Q40" s="142"/>
      <c r="R40" s="142"/>
      <c r="S40" s="142"/>
      <c r="T40" s="142"/>
      <c r="U40" s="142"/>
      <c r="V40" s="142"/>
      <c r="W40" s="142"/>
      <c r="X40" s="142"/>
      <c r="Y40" s="142"/>
      <c r="Z40" s="142"/>
      <c r="AA40" s="142"/>
      <c r="AB40" s="142"/>
      <c r="AC40" s="142"/>
      <c r="AD40" s="142"/>
      <c r="AE40" s="142"/>
      <c r="AF40" s="142"/>
      <c r="AG40" s="142"/>
      <c r="AH40" s="142"/>
      <c r="AI40" s="142"/>
      <c r="AJ40" s="142"/>
      <c r="AK40" s="142"/>
      <c r="AL40" s="142"/>
      <c r="AM40" s="142"/>
      <c r="AN40" s="142"/>
      <c r="AO40" s="142"/>
      <c r="AP40" s="142"/>
      <c r="AQ40" s="142"/>
      <c r="AR40" s="142"/>
      <c r="AS40" s="142"/>
      <c r="AT40" s="142"/>
      <c r="AU40" s="142"/>
      <c r="AV40" s="142"/>
      <c r="AW40" s="142"/>
      <c r="AX40" s="142"/>
      <c r="AY40" s="142"/>
      <c r="AZ40" s="142"/>
      <c r="BA40" s="142"/>
      <c r="BB40" s="142"/>
      <c r="BC40" s="142"/>
      <c r="BD40" s="142"/>
      <c r="BE40" s="142"/>
      <c r="BF40" s="142"/>
      <c r="BG40" s="142"/>
    </row>
    <row r="41" spans="1:59">
      <c r="A41" s="160"/>
      <c r="C41" s="108" t="s">
        <v>73</v>
      </c>
      <c r="D41" s="108"/>
      <c r="E41" s="869"/>
      <c r="F41" s="168"/>
      <c r="K41" s="146"/>
      <c r="L41" s="147"/>
      <c r="M41" s="142"/>
      <c r="N41" s="142"/>
      <c r="O41" s="142"/>
      <c r="P41" s="142"/>
      <c r="Q41" s="142"/>
      <c r="R41" s="142"/>
      <c r="S41" s="142"/>
      <c r="T41" s="142"/>
      <c r="U41" s="142"/>
      <c r="V41" s="142"/>
      <c r="W41" s="142"/>
      <c r="X41" s="142"/>
      <c r="Y41" s="142"/>
      <c r="Z41" s="142"/>
      <c r="AA41" s="142"/>
      <c r="AB41" s="142"/>
      <c r="AC41" s="142"/>
      <c r="AD41" s="142"/>
      <c r="AE41" s="142"/>
      <c r="AF41" s="142"/>
      <c r="AG41" s="142"/>
      <c r="AH41" s="142"/>
      <c r="AI41" s="142"/>
      <c r="AJ41" s="142"/>
      <c r="AK41" s="142"/>
      <c r="AL41" s="142"/>
      <c r="AM41" s="142"/>
      <c r="AN41" s="142"/>
      <c r="AO41" s="142"/>
      <c r="AP41" s="142"/>
      <c r="AQ41" s="142"/>
      <c r="AR41" s="142"/>
      <c r="AS41" s="142"/>
      <c r="AT41" s="142"/>
      <c r="AU41" s="142"/>
      <c r="AV41" s="142"/>
      <c r="AW41" s="142"/>
      <c r="AX41" s="142"/>
      <c r="AY41" s="142"/>
      <c r="AZ41" s="142"/>
      <c r="BA41" s="142"/>
      <c r="BB41" s="142"/>
      <c r="BC41" s="142"/>
      <c r="BD41" s="142"/>
      <c r="BE41" s="142"/>
      <c r="BF41" s="142"/>
      <c r="BG41" s="142"/>
    </row>
    <row r="42" spans="1:59">
      <c r="A42" s="160" t="s">
        <v>238</v>
      </c>
      <c r="C42" s="108" t="s">
        <v>240</v>
      </c>
      <c r="D42" s="108"/>
      <c r="E42" s="868" t="s">
        <v>809</v>
      </c>
      <c r="F42" s="154"/>
      <c r="G42" s="155">
        <f>DEK!J180</f>
        <v>1600848</v>
      </c>
      <c r="I42" s="112"/>
      <c r="K42" s="146"/>
      <c r="L42" s="147"/>
      <c r="M42" s="142"/>
      <c r="N42" s="142"/>
      <c r="O42" s="142"/>
      <c r="P42" s="142"/>
      <c r="Q42" s="142"/>
      <c r="R42" s="142"/>
      <c r="S42" s="142"/>
      <c r="T42" s="142"/>
      <c r="U42" s="142"/>
      <c r="V42" s="142"/>
      <c r="W42" s="142"/>
      <c r="X42" s="142"/>
      <c r="Y42" s="142"/>
      <c r="Z42" s="142"/>
      <c r="AA42" s="142"/>
      <c r="AB42" s="142"/>
      <c r="AC42" s="142"/>
      <c r="AD42" s="142"/>
      <c r="AE42" s="142"/>
      <c r="AF42" s="142"/>
      <c r="AG42" s="142"/>
      <c r="AH42" s="142"/>
      <c r="AI42" s="142"/>
      <c r="AJ42" s="142"/>
      <c r="AK42" s="142"/>
      <c r="AL42" s="142"/>
      <c r="AM42" s="142"/>
      <c r="AN42" s="142"/>
      <c r="AO42" s="142"/>
      <c r="AP42" s="142"/>
      <c r="AQ42" s="142"/>
      <c r="AR42" s="142"/>
      <c r="AS42" s="142"/>
      <c r="AT42" s="142"/>
      <c r="AU42" s="142"/>
      <c r="AV42" s="142"/>
      <c r="AW42" s="142"/>
      <c r="AX42" s="142"/>
      <c r="AY42" s="142"/>
      <c r="AZ42" s="142"/>
      <c r="BA42" s="142"/>
      <c r="BB42" s="142"/>
      <c r="BC42" s="142"/>
      <c r="BD42" s="142"/>
      <c r="BE42" s="142"/>
      <c r="BF42" s="142"/>
      <c r="BG42" s="142"/>
    </row>
    <row r="43" spans="1:59">
      <c r="A43" s="160" t="s">
        <v>323</v>
      </c>
      <c r="B43" s="167"/>
      <c r="C43" s="112" t="s">
        <v>277</v>
      </c>
      <c r="D43" s="112"/>
      <c r="E43" s="868" t="s">
        <v>799</v>
      </c>
      <c r="F43" s="154"/>
      <c r="G43" s="169">
        <f>IF(G42=0,0,G42/G21)</f>
        <v>6.1074408091399184E-2</v>
      </c>
      <c r="I43" s="157">
        <f>G43</f>
        <v>6.1074408091399184E-2</v>
      </c>
      <c r="K43" s="149"/>
      <c r="L43" s="146"/>
      <c r="M43" s="142"/>
      <c r="N43" s="142"/>
      <c r="O43" s="142"/>
      <c r="P43" s="142"/>
      <c r="Q43" s="142"/>
      <c r="R43" s="142"/>
      <c r="S43" s="142"/>
      <c r="T43" s="142"/>
      <c r="U43" s="142"/>
      <c r="V43" s="142"/>
      <c r="W43" s="142"/>
      <c r="X43" s="142"/>
      <c r="Y43" s="142"/>
      <c r="Z43" s="142"/>
      <c r="AA43" s="142"/>
      <c r="AB43" s="142"/>
      <c r="AC43" s="142"/>
      <c r="AD43" s="142"/>
      <c r="AE43" s="142"/>
      <c r="AF43" s="142"/>
      <c r="AG43" s="142"/>
      <c r="AH43" s="142"/>
      <c r="AI43" s="142"/>
      <c r="AJ43" s="142"/>
      <c r="AK43" s="142"/>
      <c r="AL43" s="142"/>
      <c r="AM43" s="142"/>
      <c r="AN43" s="142"/>
      <c r="AO43" s="142"/>
      <c r="AP43" s="142"/>
      <c r="AQ43" s="142"/>
      <c r="AR43" s="142"/>
      <c r="AS43" s="142"/>
      <c r="AT43" s="142"/>
      <c r="AU43" s="142"/>
      <c r="AV43" s="142"/>
      <c r="AW43" s="142"/>
      <c r="AX43" s="142"/>
      <c r="AY43" s="142"/>
      <c r="AZ43" s="142"/>
      <c r="BA43" s="142"/>
      <c r="BB43" s="142"/>
      <c r="BC43" s="142"/>
      <c r="BD43" s="142"/>
      <c r="BE43" s="142"/>
      <c r="BF43" s="142"/>
      <c r="BG43" s="142"/>
    </row>
    <row r="44" spans="1:59">
      <c r="A44" s="160"/>
      <c r="C44" s="108"/>
      <c r="D44" s="108"/>
      <c r="E44" s="868"/>
      <c r="F44" s="154"/>
      <c r="G44" s="112"/>
      <c r="I44" s="112"/>
      <c r="K44" s="146"/>
      <c r="L44" s="147"/>
      <c r="M44" s="142"/>
      <c r="N44" s="142"/>
      <c r="O44" s="142"/>
      <c r="P44" s="142"/>
      <c r="Q44" s="142"/>
      <c r="R44" s="142"/>
      <c r="S44" s="142"/>
      <c r="T44" s="142"/>
      <c r="U44" s="142"/>
      <c r="V44" s="142"/>
      <c r="W44" s="142"/>
      <c r="X44" s="142"/>
      <c r="Y44" s="142"/>
      <c r="Z44" s="142"/>
      <c r="AA44" s="142"/>
      <c r="AB44" s="142"/>
      <c r="AC44" s="142"/>
      <c r="AD44" s="142"/>
      <c r="AE44" s="142"/>
      <c r="AF44" s="142"/>
      <c r="AG44" s="142"/>
      <c r="AH44" s="142"/>
      <c r="AI44" s="142"/>
      <c r="AJ44" s="142"/>
      <c r="AK44" s="142"/>
      <c r="AL44" s="142"/>
      <c r="AM44" s="142"/>
      <c r="AN44" s="142"/>
      <c r="AO44" s="142"/>
      <c r="AP44" s="142"/>
      <c r="AQ44" s="142"/>
      <c r="AR44" s="142"/>
      <c r="AS44" s="142"/>
      <c r="AT44" s="142"/>
      <c r="AU44" s="142"/>
      <c r="AV44" s="142"/>
      <c r="AW44" s="142"/>
      <c r="AX44" s="142"/>
      <c r="AY44" s="142"/>
      <c r="AZ44" s="142"/>
      <c r="BA44" s="142"/>
      <c r="BB44" s="142"/>
      <c r="BC44" s="142"/>
      <c r="BD44" s="142"/>
      <c r="BE44" s="142"/>
      <c r="BF44" s="142"/>
      <c r="BG44" s="142"/>
    </row>
    <row r="45" spans="1:59" ht="15.75">
      <c r="A45" s="162" t="s">
        <v>324</v>
      </c>
      <c r="B45" s="163"/>
      <c r="C45" s="151" t="s">
        <v>278</v>
      </c>
      <c r="D45" s="151"/>
      <c r="E45" s="867" t="s">
        <v>419</v>
      </c>
      <c r="F45" s="148"/>
      <c r="G45" s="164"/>
      <c r="I45" s="165">
        <f>I39+I43</f>
        <v>9.1303744079794524E-2</v>
      </c>
      <c r="K45" s="146"/>
      <c r="L45" s="147"/>
      <c r="M45" s="142"/>
      <c r="N45" s="142"/>
      <c r="O45" s="142"/>
      <c r="P45" s="142"/>
      <c r="Q45" s="142"/>
      <c r="R45" s="142"/>
      <c r="S45" s="142"/>
      <c r="T45" s="142"/>
      <c r="U45" s="142"/>
      <c r="V45" s="142"/>
      <c r="W45" s="142"/>
      <c r="X45" s="142"/>
      <c r="Y45" s="142"/>
      <c r="Z45" s="142"/>
      <c r="AA45" s="142"/>
      <c r="AB45" s="142"/>
      <c r="AC45" s="142"/>
      <c r="AD45" s="142"/>
      <c r="AE45" s="142"/>
      <c r="AF45" s="142"/>
      <c r="AG45" s="142"/>
      <c r="AH45" s="142"/>
      <c r="AI45" s="142"/>
      <c r="AJ45" s="142"/>
      <c r="AK45" s="142"/>
      <c r="AL45" s="142"/>
      <c r="AM45" s="142"/>
      <c r="AN45" s="142"/>
      <c r="AO45" s="142"/>
      <c r="AP45" s="142"/>
      <c r="AQ45" s="142"/>
      <c r="AR45" s="142"/>
      <c r="AS45" s="142"/>
      <c r="AT45" s="142"/>
      <c r="AU45" s="142"/>
      <c r="AV45" s="142"/>
      <c r="AW45" s="142"/>
      <c r="AX45" s="142"/>
      <c r="AY45" s="142"/>
      <c r="AZ45" s="142"/>
      <c r="BA45" s="142"/>
      <c r="BB45" s="142"/>
      <c r="BC45" s="142"/>
      <c r="BD45" s="142"/>
      <c r="BE45" s="142"/>
      <c r="BF45" s="142"/>
      <c r="BG45" s="142"/>
    </row>
    <row r="46" spans="1:59">
      <c r="K46" s="146"/>
      <c r="L46" s="147"/>
      <c r="M46" s="142"/>
      <c r="N46" s="142"/>
      <c r="O46" s="142"/>
      <c r="P46" s="142"/>
      <c r="Q46" s="142"/>
      <c r="R46" s="142"/>
      <c r="S46" s="142"/>
      <c r="T46" s="142"/>
      <c r="U46" s="142"/>
      <c r="V46" s="142"/>
      <c r="W46" s="142"/>
      <c r="X46" s="142"/>
      <c r="Y46" s="142"/>
      <c r="Z46" s="142"/>
      <c r="AA46" s="142"/>
      <c r="AB46" s="142"/>
      <c r="AC46" s="142"/>
      <c r="AD46" s="142"/>
      <c r="AE46" s="142"/>
      <c r="AF46" s="142"/>
      <c r="AG46" s="142"/>
      <c r="AH46" s="142"/>
      <c r="AI46" s="142"/>
      <c r="AJ46" s="142"/>
      <c r="AK46" s="142"/>
      <c r="AL46" s="142"/>
      <c r="AM46" s="142"/>
      <c r="AN46" s="142"/>
      <c r="AO46" s="142"/>
      <c r="AP46" s="142"/>
      <c r="AQ46" s="142"/>
      <c r="AR46" s="142"/>
      <c r="AS46" s="142"/>
      <c r="AT46" s="142"/>
      <c r="AU46" s="142"/>
      <c r="AV46" s="142"/>
      <c r="AW46" s="142"/>
      <c r="AX46" s="142"/>
      <c r="AY46" s="142"/>
      <c r="AZ46" s="142"/>
      <c r="BA46" s="142"/>
      <c r="BB46" s="142"/>
      <c r="BC46" s="142"/>
      <c r="BD46" s="142"/>
      <c r="BE46" s="142"/>
      <c r="BF46" s="142"/>
      <c r="BG46" s="142"/>
    </row>
    <row r="47" spans="1:59">
      <c r="A47" s="172"/>
      <c r="B47" s="142"/>
      <c r="C47" s="166"/>
      <c r="D47" s="166"/>
      <c r="E47" s="114"/>
      <c r="F47" s="114"/>
      <c r="G47" s="112"/>
      <c r="H47" s="107"/>
      <c r="I47" s="107"/>
      <c r="J47" s="156"/>
      <c r="K47" s="161"/>
      <c r="L47" s="146"/>
      <c r="M47" s="142"/>
      <c r="N47" s="142"/>
      <c r="O47" s="142"/>
      <c r="P47" s="142"/>
      <c r="Q47" s="142"/>
      <c r="R47" s="142"/>
      <c r="S47" s="142"/>
      <c r="T47" s="142"/>
      <c r="U47" s="142"/>
      <c r="V47" s="142"/>
      <c r="W47" s="142"/>
      <c r="X47" s="142"/>
      <c r="Y47" s="142"/>
      <c r="Z47" s="142"/>
      <c r="AA47" s="142"/>
      <c r="AB47" s="142"/>
      <c r="AC47" s="142"/>
      <c r="AD47" s="142"/>
      <c r="AE47" s="142"/>
      <c r="AF47" s="142"/>
      <c r="AG47" s="142"/>
      <c r="AH47" s="142"/>
      <c r="AI47" s="142"/>
      <c r="AJ47" s="142"/>
      <c r="AK47" s="142"/>
      <c r="AL47" s="142"/>
      <c r="AM47" s="142"/>
      <c r="AN47" s="142"/>
      <c r="AO47" s="142"/>
      <c r="AP47" s="142"/>
      <c r="AQ47" s="142"/>
      <c r="AR47" s="142"/>
      <c r="AS47" s="142"/>
      <c r="AT47" s="142"/>
      <c r="AU47" s="142"/>
      <c r="AV47" s="142"/>
      <c r="AW47" s="142"/>
      <c r="AX47" s="142"/>
      <c r="AY47" s="142"/>
      <c r="AZ47" s="142"/>
      <c r="BA47" s="142"/>
      <c r="BB47" s="142"/>
      <c r="BC47" s="142"/>
      <c r="BD47" s="142"/>
      <c r="BE47" s="142"/>
      <c r="BF47" s="142"/>
      <c r="BG47" s="142"/>
    </row>
    <row r="48" spans="1:59">
      <c r="A48" s="143"/>
      <c r="C48" s="107"/>
      <c r="D48" s="107"/>
      <c r="E48" s="107"/>
      <c r="F48" s="107"/>
      <c r="G48" s="112"/>
      <c r="H48" s="107"/>
      <c r="I48" s="107"/>
      <c r="J48" s="107"/>
      <c r="K48" s="149"/>
      <c r="L48" s="146" t="s">
        <v>12</v>
      </c>
      <c r="M48" s="142"/>
      <c r="N48" s="142"/>
      <c r="O48" s="142"/>
      <c r="P48" s="142"/>
      <c r="Q48" s="142"/>
      <c r="R48" s="142"/>
      <c r="S48" s="142"/>
      <c r="T48" s="142"/>
      <c r="U48" s="142"/>
      <c r="V48" s="142"/>
      <c r="W48" s="142"/>
      <c r="X48" s="142"/>
      <c r="Y48" s="142"/>
      <c r="Z48" s="142"/>
      <c r="AA48" s="142"/>
      <c r="AB48" s="142"/>
      <c r="AC48" s="142"/>
      <c r="AD48" s="142"/>
      <c r="AE48" s="142"/>
      <c r="AF48" s="142"/>
      <c r="AG48" s="142"/>
      <c r="AH48" s="142"/>
      <c r="AI48" s="142"/>
      <c r="AJ48" s="142"/>
      <c r="AK48" s="142"/>
      <c r="AL48" s="142"/>
      <c r="AM48" s="142"/>
      <c r="AN48" s="142"/>
      <c r="AO48" s="142"/>
      <c r="AP48" s="142"/>
      <c r="AQ48" s="142"/>
      <c r="AR48" s="142"/>
      <c r="AS48" s="142"/>
      <c r="AT48" s="142"/>
      <c r="AU48" s="142"/>
      <c r="AV48" s="142"/>
      <c r="AW48" s="142"/>
      <c r="AX48" s="142"/>
      <c r="AY48" s="142"/>
      <c r="AZ48" s="142"/>
      <c r="BA48" s="142"/>
      <c r="BB48" s="142"/>
      <c r="BC48" s="142"/>
      <c r="BD48" s="142"/>
      <c r="BE48" s="142"/>
      <c r="BF48" s="142"/>
      <c r="BG48" s="142"/>
    </row>
    <row r="49" spans="11:59">
      <c r="X49" s="77" t="s">
        <v>369</v>
      </c>
    </row>
    <row r="50" spans="11:59">
      <c r="X50" s="77" t="s">
        <v>366</v>
      </c>
    </row>
    <row r="51" spans="11:59">
      <c r="X51" s="173" t="s">
        <v>241</v>
      </c>
    </row>
    <row r="52" spans="11:59">
      <c r="K52" s="143"/>
      <c r="M52" s="107"/>
      <c r="N52" s="107"/>
      <c r="O52" s="107"/>
      <c r="P52" s="107"/>
      <c r="Q52" s="112"/>
      <c r="R52" s="107"/>
      <c r="S52" s="107"/>
      <c r="T52" s="107"/>
      <c r="U52" s="107"/>
      <c r="W52" s="112"/>
      <c r="X52" s="173" t="str">
        <f>I4</f>
        <v>For the 12 months ended: 12/31/2015</v>
      </c>
      <c r="Y52" s="142"/>
      <c r="Z52" s="142"/>
      <c r="AA52" s="142"/>
      <c r="AB52" s="142"/>
      <c r="AC52" s="142"/>
      <c r="AD52" s="142"/>
      <c r="AE52" s="142"/>
      <c r="AF52" s="142"/>
      <c r="AG52" s="142"/>
      <c r="AH52" s="142"/>
      <c r="AI52" s="142"/>
      <c r="AJ52" s="142"/>
      <c r="AK52" s="142"/>
      <c r="AL52" s="142"/>
      <c r="AM52" s="142"/>
      <c r="AN52" s="142"/>
      <c r="AO52" s="142"/>
      <c r="AP52" s="142"/>
      <c r="AQ52" s="142"/>
      <c r="AR52" s="142"/>
      <c r="AS52" s="142"/>
      <c r="AT52" s="142"/>
      <c r="AU52" s="142"/>
      <c r="AV52" s="142"/>
      <c r="AW52" s="142"/>
      <c r="AX52" s="142"/>
      <c r="AY52" s="142"/>
      <c r="AZ52" s="142"/>
      <c r="BA52" s="142"/>
      <c r="BB52" s="142"/>
      <c r="BC52" s="142"/>
      <c r="BD52" s="142"/>
      <c r="BE52" s="142"/>
      <c r="BF52" s="142"/>
      <c r="BG52" s="142"/>
    </row>
    <row r="53" spans="11:59">
      <c r="K53" s="143"/>
      <c r="M53" s="108"/>
      <c r="N53" s="107"/>
      <c r="O53" s="107"/>
      <c r="P53" s="107"/>
      <c r="Q53" s="112"/>
      <c r="R53" s="107"/>
      <c r="S53" s="107"/>
      <c r="T53" s="107"/>
      <c r="U53" s="107"/>
      <c r="W53" s="112"/>
      <c r="Y53" s="142"/>
      <c r="Z53" s="142"/>
      <c r="AA53" s="142"/>
      <c r="AB53" s="142"/>
      <c r="AC53" s="142"/>
      <c r="AD53" s="142"/>
      <c r="AE53" s="142"/>
      <c r="AF53" s="142"/>
      <c r="AG53" s="142"/>
      <c r="AH53" s="142"/>
      <c r="AI53" s="142"/>
      <c r="AJ53" s="142"/>
      <c r="AK53" s="142"/>
      <c r="AL53" s="142"/>
      <c r="AM53" s="142"/>
      <c r="AN53" s="142"/>
      <c r="AO53" s="142"/>
      <c r="AP53" s="142"/>
      <c r="AQ53" s="142"/>
      <c r="AR53" s="142"/>
      <c r="AS53" s="142"/>
      <c r="AT53" s="142"/>
      <c r="AU53" s="142"/>
      <c r="AV53" s="142"/>
      <c r="AW53" s="142"/>
      <c r="AX53" s="142"/>
      <c r="AY53" s="142"/>
      <c r="AZ53" s="142"/>
      <c r="BA53" s="142"/>
      <c r="BB53" s="142"/>
      <c r="BC53" s="142"/>
      <c r="BD53" s="142"/>
      <c r="BE53" s="142"/>
      <c r="BF53" s="142"/>
      <c r="BG53" s="142"/>
    </row>
    <row r="54" spans="11:59">
      <c r="K54" s="224" t="str">
        <f>A6</f>
        <v>Rate Formula Template</v>
      </c>
      <c r="L54" s="283"/>
      <c r="M54" s="283"/>
      <c r="N54" s="223"/>
      <c r="O54" s="224"/>
      <c r="P54" s="224"/>
      <c r="Q54" s="283"/>
      <c r="R54" s="224"/>
      <c r="S54" s="224"/>
      <c r="T54" s="224"/>
      <c r="U54" s="224"/>
      <c r="V54" s="283"/>
      <c r="W54" s="222"/>
      <c r="X54" s="283"/>
      <c r="Y54" s="142"/>
      <c r="Z54" s="142"/>
      <c r="AA54" s="142"/>
      <c r="AB54" s="142"/>
      <c r="AC54" s="142"/>
      <c r="AD54" s="142"/>
      <c r="AE54" s="142"/>
      <c r="AF54" s="142"/>
      <c r="AG54" s="142"/>
      <c r="AH54" s="142"/>
      <c r="AI54" s="142"/>
      <c r="AJ54" s="142"/>
      <c r="AK54" s="142"/>
      <c r="AL54" s="142"/>
      <c r="AM54" s="142"/>
      <c r="AN54" s="142"/>
      <c r="AO54" s="142"/>
      <c r="AP54" s="142"/>
      <c r="AQ54" s="142"/>
      <c r="AR54" s="142"/>
      <c r="AS54" s="142"/>
      <c r="AT54" s="142"/>
      <c r="AU54" s="142"/>
      <c r="AV54" s="142"/>
      <c r="AW54" s="142"/>
      <c r="AX54" s="142"/>
      <c r="AY54" s="142"/>
      <c r="AZ54" s="142"/>
      <c r="BA54" s="142"/>
      <c r="BB54" s="142"/>
      <c r="BC54" s="142"/>
      <c r="BD54" s="142"/>
      <c r="BE54" s="142"/>
      <c r="BF54" s="142"/>
      <c r="BG54" s="142"/>
    </row>
    <row r="55" spans="11:59">
      <c r="K55" s="224" t="str">
        <f>A7</f>
        <v>Utilizing Attachment H-22A Data</v>
      </c>
      <c r="L55" s="283"/>
      <c r="M55" s="223"/>
      <c r="N55" s="223"/>
      <c r="O55" s="224"/>
      <c r="P55" s="224"/>
      <c r="Q55" s="283"/>
      <c r="R55" s="224"/>
      <c r="S55" s="224"/>
      <c r="T55" s="224"/>
      <c r="U55" s="224"/>
      <c r="V55" s="222"/>
      <c r="W55" s="222"/>
      <c r="X55" s="283"/>
      <c r="Y55" s="142"/>
      <c r="Z55" s="142"/>
      <c r="AA55" s="142"/>
      <c r="AB55" s="142"/>
      <c r="AC55" s="142"/>
      <c r="AD55" s="142"/>
      <c r="AE55" s="142"/>
      <c r="AF55" s="142"/>
      <c r="AG55" s="142"/>
      <c r="AH55" s="142"/>
      <c r="AI55" s="142"/>
      <c r="AJ55" s="142"/>
      <c r="AK55" s="142"/>
      <c r="AL55" s="142"/>
      <c r="AM55" s="142"/>
      <c r="AN55" s="142"/>
      <c r="AO55" s="142"/>
      <c r="AP55" s="142"/>
      <c r="AQ55" s="142"/>
      <c r="AR55" s="142"/>
      <c r="AS55" s="142"/>
      <c r="AT55" s="142"/>
      <c r="AU55" s="142"/>
      <c r="AV55" s="142"/>
      <c r="AW55" s="142"/>
      <c r="AX55" s="142"/>
      <c r="AY55" s="142"/>
      <c r="AZ55" s="142"/>
      <c r="BA55" s="142"/>
      <c r="BB55" s="142"/>
      <c r="BC55" s="142"/>
      <c r="BD55" s="142"/>
      <c r="BE55" s="142"/>
      <c r="BF55" s="142"/>
      <c r="BG55" s="142"/>
    </row>
    <row r="56" spans="11:59" ht="14.25" customHeight="1">
      <c r="K56" s="282"/>
      <c r="M56" s="107"/>
      <c r="N56" s="107"/>
      <c r="O56" s="107"/>
      <c r="P56" s="107"/>
      <c r="R56" s="224"/>
      <c r="S56" s="107"/>
      <c r="T56" s="107"/>
      <c r="U56" s="107"/>
      <c r="W56" s="112"/>
      <c r="X56" s="107"/>
      <c r="Y56" s="142"/>
      <c r="Z56" s="142"/>
      <c r="AA56" s="142"/>
      <c r="AB56" s="142"/>
      <c r="AC56" s="142"/>
      <c r="AD56" s="142"/>
      <c r="AE56" s="142"/>
      <c r="AF56" s="142"/>
      <c r="AG56" s="142"/>
      <c r="AH56" s="142"/>
      <c r="AI56" s="142"/>
      <c r="AJ56" s="142"/>
      <c r="AK56" s="142"/>
      <c r="AL56" s="142"/>
      <c r="AM56" s="142"/>
      <c r="AN56" s="142"/>
      <c r="AO56" s="142"/>
      <c r="AP56" s="142"/>
      <c r="AQ56" s="142"/>
      <c r="AR56" s="142"/>
      <c r="AS56" s="142"/>
      <c r="AT56" s="142"/>
      <c r="AU56" s="142"/>
      <c r="AV56" s="142"/>
      <c r="AW56" s="142"/>
      <c r="AX56" s="142"/>
      <c r="AY56" s="142"/>
      <c r="AZ56" s="142"/>
      <c r="BA56" s="142"/>
      <c r="BB56" s="142"/>
      <c r="BC56" s="142"/>
      <c r="BD56" s="142"/>
      <c r="BE56" s="142"/>
      <c r="BF56" s="142"/>
      <c r="BG56" s="142"/>
    </row>
    <row r="57" spans="11:59">
      <c r="K57" s="224" t="str">
        <f>A9</f>
        <v>Duke Energy Kentucky</v>
      </c>
      <c r="L57" s="283"/>
      <c r="M57" s="283"/>
      <c r="N57" s="283"/>
      <c r="O57" s="224"/>
      <c r="P57" s="224"/>
      <c r="Q57" s="283"/>
      <c r="R57" s="224"/>
      <c r="S57" s="224"/>
      <c r="T57" s="224"/>
      <c r="U57" s="224"/>
      <c r="V57" s="224"/>
      <c r="W57" s="222"/>
      <c r="X57" s="222"/>
      <c r="Y57" s="142"/>
      <c r="Z57" s="142"/>
      <c r="AA57" s="142"/>
      <c r="AB57" s="142"/>
      <c r="AC57" s="142"/>
      <c r="AD57" s="142"/>
      <c r="AE57" s="142"/>
      <c r="AF57" s="142"/>
      <c r="AG57" s="142"/>
      <c r="AH57" s="142"/>
      <c r="AI57" s="142"/>
      <c r="AJ57" s="142"/>
      <c r="AK57" s="142"/>
      <c r="AL57" s="142"/>
      <c r="AM57" s="142"/>
      <c r="AN57" s="142"/>
      <c r="AO57" s="142"/>
      <c r="AP57" s="142"/>
      <c r="AQ57" s="142"/>
      <c r="AR57" s="142"/>
      <c r="AS57" s="142"/>
      <c r="AT57" s="142"/>
      <c r="AU57" s="142"/>
      <c r="AV57" s="142"/>
      <c r="AW57" s="142"/>
      <c r="AX57" s="142"/>
      <c r="AY57" s="142"/>
      <c r="AZ57" s="142"/>
      <c r="BA57" s="142"/>
      <c r="BB57" s="142"/>
      <c r="BC57" s="142"/>
      <c r="BD57" s="142"/>
      <c r="BE57" s="142"/>
      <c r="BF57" s="142"/>
      <c r="BG57" s="142"/>
    </row>
    <row r="58" spans="11:59">
      <c r="K58" s="224" t="str">
        <f>A10</f>
        <v>Legacy MTEP Credit</v>
      </c>
      <c r="L58" s="283"/>
      <c r="M58" s="283"/>
      <c r="N58" s="283"/>
      <c r="O58" s="223"/>
      <c r="P58" s="223"/>
      <c r="Q58" s="223"/>
      <c r="R58" s="223"/>
      <c r="S58" s="223"/>
      <c r="T58" s="223"/>
      <c r="U58" s="223"/>
      <c r="V58" s="223"/>
      <c r="W58" s="223"/>
      <c r="X58" s="223"/>
      <c r="Y58" s="142"/>
      <c r="Z58" s="142"/>
      <c r="AA58" s="142"/>
      <c r="AB58" s="142"/>
      <c r="AC58" s="142"/>
      <c r="AD58" s="142"/>
      <c r="AE58" s="142"/>
      <c r="AF58" s="142"/>
      <c r="AG58" s="142"/>
      <c r="AH58" s="142"/>
      <c r="AI58" s="142"/>
      <c r="AJ58" s="142"/>
      <c r="AK58" s="142"/>
      <c r="AL58" s="142"/>
      <c r="AM58" s="142"/>
      <c r="AN58" s="142"/>
      <c r="AO58" s="142"/>
      <c r="AP58" s="142"/>
      <c r="AQ58" s="142"/>
      <c r="AR58" s="142"/>
      <c r="AS58" s="142"/>
      <c r="AT58" s="142"/>
      <c r="AU58" s="142"/>
      <c r="AV58" s="142"/>
      <c r="AW58" s="142"/>
      <c r="AX58" s="142"/>
      <c r="AY58" s="142"/>
      <c r="AZ58" s="142"/>
      <c r="BA58" s="142"/>
      <c r="BB58" s="142"/>
      <c r="BC58" s="142"/>
      <c r="BD58" s="142"/>
      <c r="BE58" s="142"/>
      <c r="BF58" s="142"/>
      <c r="BG58" s="142"/>
    </row>
    <row r="59" spans="11:59">
      <c r="K59" s="143"/>
      <c r="O59" s="108"/>
      <c r="P59" s="108"/>
      <c r="Q59" s="108"/>
      <c r="R59" s="108"/>
      <c r="S59" s="108"/>
      <c r="T59" s="108"/>
      <c r="U59" s="108"/>
      <c r="V59" s="108"/>
      <c r="W59" s="108"/>
      <c r="X59" s="108"/>
      <c r="Y59" s="142"/>
      <c r="Z59" s="142"/>
      <c r="AA59" s="142"/>
      <c r="AB59" s="142"/>
      <c r="AC59" s="142"/>
      <c r="AD59" s="142"/>
      <c r="AE59" s="142"/>
      <c r="AF59" s="142"/>
      <c r="AG59" s="142"/>
      <c r="AH59" s="142"/>
      <c r="AI59" s="142"/>
      <c r="AJ59" s="142"/>
      <c r="AK59" s="142"/>
      <c r="AL59" s="142"/>
      <c r="AM59" s="142"/>
      <c r="AN59" s="142"/>
      <c r="AO59" s="142"/>
      <c r="AP59" s="142"/>
      <c r="AQ59" s="142"/>
      <c r="AR59" s="142"/>
      <c r="AS59" s="142"/>
      <c r="AT59" s="142"/>
      <c r="AU59" s="142"/>
      <c r="AV59" s="142"/>
      <c r="AW59" s="142"/>
      <c r="AX59" s="142"/>
      <c r="AY59" s="142"/>
      <c r="AZ59" s="142"/>
      <c r="BA59" s="142"/>
      <c r="BB59" s="142"/>
      <c r="BC59" s="142"/>
      <c r="BD59" s="142"/>
      <c r="BE59" s="142"/>
      <c r="BF59" s="142"/>
      <c r="BG59" s="142"/>
    </row>
    <row r="60" spans="11:59" ht="15.75">
      <c r="K60" s="284" t="s">
        <v>333</v>
      </c>
      <c r="L60" s="283"/>
      <c r="M60" s="224"/>
      <c r="N60" s="224"/>
      <c r="O60" s="283"/>
      <c r="P60" s="284"/>
      <c r="Q60" s="283"/>
      <c r="R60" s="223"/>
      <c r="S60" s="223"/>
      <c r="T60" s="223"/>
      <c r="U60" s="223"/>
      <c r="V60" s="223"/>
      <c r="W60" s="222"/>
      <c r="X60" s="222"/>
      <c r="Y60" s="142"/>
      <c r="Z60" s="142"/>
      <c r="AA60" s="142"/>
      <c r="AB60" s="142"/>
      <c r="AC60" s="142"/>
      <c r="AD60" s="142"/>
      <c r="AE60" s="142"/>
      <c r="AF60" s="142"/>
      <c r="AG60" s="142"/>
      <c r="AH60" s="142"/>
      <c r="AI60" s="142"/>
      <c r="AJ60" s="142"/>
      <c r="AK60" s="142"/>
      <c r="AL60" s="142"/>
      <c r="AM60" s="142"/>
      <c r="AN60" s="142"/>
      <c r="AO60" s="142"/>
      <c r="AP60" s="142"/>
      <c r="AQ60" s="142"/>
      <c r="AR60" s="142"/>
      <c r="AS60" s="142"/>
      <c r="AT60" s="142"/>
      <c r="AU60" s="142"/>
      <c r="AV60" s="142"/>
      <c r="AW60" s="142"/>
      <c r="AX60" s="142"/>
      <c r="AY60" s="142"/>
      <c r="AZ60" s="142"/>
      <c r="BA60" s="142"/>
      <c r="BB60" s="142"/>
      <c r="BC60" s="142"/>
      <c r="BD60" s="142"/>
      <c r="BE60" s="142"/>
      <c r="BF60" s="142"/>
      <c r="BG60" s="142"/>
    </row>
    <row r="61" spans="11:59" ht="15.75">
      <c r="K61" s="143"/>
      <c r="M61" s="107"/>
      <c r="N61" s="107"/>
      <c r="O61" s="151"/>
      <c r="P61" s="151"/>
      <c r="R61" s="111"/>
      <c r="S61" s="111"/>
      <c r="T61" s="111"/>
      <c r="U61" s="111"/>
      <c r="V61" s="111"/>
      <c r="W61" s="112"/>
      <c r="X61" s="112"/>
      <c r="Y61" s="142"/>
      <c r="Z61" s="142"/>
      <c r="AA61" s="142"/>
      <c r="AB61" s="142"/>
      <c r="AC61" s="142"/>
      <c r="AD61" s="142"/>
      <c r="AE61" s="142"/>
      <c r="AF61" s="142"/>
      <c r="AG61" s="142"/>
      <c r="AH61" s="142"/>
      <c r="AI61" s="142"/>
      <c r="AJ61" s="142"/>
      <c r="AK61" s="142"/>
      <c r="AL61" s="142"/>
      <c r="AM61" s="142"/>
      <c r="AN61" s="142"/>
      <c r="AO61" s="142"/>
      <c r="AP61" s="142"/>
      <c r="AQ61" s="142"/>
      <c r="AR61" s="142"/>
      <c r="AS61" s="142"/>
      <c r="AT61" s="142"/>
      <c r="AU61" s="142"/>
      <c r="AV61" s="142"/>
      <c r="AW61" s="142"/>
      <c r="AX61" s="142"/>
      <c r="AY61" s="142"/>
      <c r="AZ61" s="142"/>
      <c r="BA61" s="142"/>
      <c r="BB61" s="142"/>
      <c r="BC61" s="142"/>
      <c r="BD61" s="142"/>
      <c r="BE61" s="142"/>
      <c r="BF61" s="142"/>
      <c r="BG61" s="142"/>
    </row>
    <row r="62" spans="11:59" ht="15.75">
      <c r="K62" s="143"/>
      <c r="M62" s="174">
        <v>-1</v>
      </c>
      <c r="N62" s="174">
        <v>-2</v>
      </c>
      <c r="O62" s="174">
        <v>-3</v>
      </c>
      <c r="P62" s="174">
        <v>-4</v>
      </c>
      <c r="Q62" s="174">
        <v>-5</v>
      </c>
      <c r="R62" s="174">
        <v>-6</v>
      </c>
      <c r="S62" s="174">
        <v>-7</v>
      </c>
      <c r="T62" s="174">
        <v>-8</v>
      </c>
      <c r="U62" s="174">
        <v>-9</v>
      </c>
      <c r="V62" s="174">
        <v>-10</v>
      </c>
      <c r="W62" s="174">
        <v>-11</v>
      </c>
      <c r="X62" s="174">
        <v>-12</v>
      </c>
      <c r="Y62" s="142"/>
      <c r="Z62" s="142"/>
      <c r="AA62" s="142"/>
      <c r="AB62" s="142"/>
      <c r="AC62" s="142"/>
      <c r="AD62" s="142"/>
      <c r="AE62" s="142"/>
      <c r="AF62" s="142"/>
      <c r="AG62" s="142"/>
      <c r="AH62" s="142"/>
      <c r="AI62" s="142"/>
      <c r="AJ62" s="142"/>
      <c r="AK62" s="142"/>
      <c r="AL62" s="142"/>
      <c r="AM62" s="142"/>
      <c r="AN62" s="142"/>
      <c r="AO62" s="142"/>
      <c r="AP62" s="142"/>
      <c r="AQ62" s="142"/>
      <c r="AR62" s="142"/>
      <c r="AS62" s="142"/>
      <c r="AT62" s="142"/>
      <c r="AU62" s="142"/>
      <c r="AV62" s="142"/>
      <c r="AW62" s="142"/>
      <c r="AX62" s="142"/>
      <c r="AY62" s="142"/>
      <c r="AZ62" s="142"/>
      <c r="BA62" s="142"/>
      <c r="BB62" s="142"/>
      <c r="BC62" s="142"/>
      <c r="BD62" s="142"/>
      <c r="BE62" s="142"/>
      <c r="BF62" s="142"/>
      <c r="BG62" s="142"/>
    </row>
    <row r="63" spans="11:59" ht="63">
      <c r="K63" s="175" t="s">
        <v>279</v>
      </c>
      <c r="L63" s="176"/>
      <c r="M63" s="176" t="s">
        <v>249</v>
      </c>
      <c r="N63" s="177" t="s">
        <v>280</v>
      </c>
      <c r="O63" s="178" t="s">
        <v>281</v>
      </c>
      <c r="P63" s="178" t="s">
        <v>274</v>
      </c>
      <c r="Q63" s="179" t="s">
        <v>282</v>
      </c>
      <c r="R63" s="178" t="s">
        <v>283</v>
      </c>
      <c r="S63" s="178" t="s">
        <v>278</v>
      </c>
      <c r="T63" s="179" t="s">
        <v>284</v>
      </c>
      <c r="U63" s="178" t="s">
        <v>285</v>
      </c>
      <c r="V63" s="180" t="s">
        <v>286</v>
      </c>
      <c r="W63" s="181" t="s">
        <v>287</v>
      </c>
      <c r="X63" s="180" t="s">
        <v>288</v>
      </c>
      <c r="Y63" s="142"/>
      <c r="Z63" s="142"/>
      <c r="AA63" s="142"/>
      <c r="AB63" s="142"/>
      <c r="AC63" s="142"/>
      <c r="AD63" s="142"/>
      <c r="AE63" s="142"/>
      <c r="AF63" s="142"/>
      <c r="AG63" s="142"/>
      <c r="AH63" s="142"/>
      <c r="AI63" s="142"/>
      <c r="AJ63" s="142"/>
      <c r="AK63" s="142"/>
      <c r="AL63" s="142"/>
      <c r="AM63" s="142"/>
      <c r="AN63" s="142"/>
      <c r="AO63" s="142"/>
      <c r="AP63" s="142"/>
      <c r="AQ63" s="142"/>
      <c r="AR63" s="142"/>
      <c r="AS63" s="142"/>
      <c r="AT63" s="142"/>
      <c r="AU63" s="142"/>
      <c r="AV63" s="142"/>
      <c r="AW63" s="142"/>
      <c r="AX63" s="142"/>
      <c r="AY63" s="142"/>
      <c r="AZ63" s="142"/>
      <c r="BA63" s="142"/>
      <c r="BB63" s="142"/>
      <c r="BC63" s="142"/>
      <c r="BD63" s="142"/>
      <c r="BE63" s="142"/>
      <c r="BF63" s="142"/>
      <c r="BG63" s="142"/>
    </row>
    <row r="64" spans="11:59" ht="46.5" customHeight="1">
      <c r="K64" s="182"/>
      <c r="L64" s="183"/>
      <c r="M64" s="183"/>
      <c r="N64" s="183"/>
      <c r="O64" s="184" t="s">
        <v>22</v>
      </c>
      <c r="P64" s="870" t="s">
        <v>794</v>
      </c>
      <c r="Q64" s="185" t="s">
        <v>289</v>
      </c>
      <c r="R64" s="870" t="s">
        <v>23</v>
      </c>
      <c r="S64" s="870" t="s">
        <v>795</v>
      </c>
      <c r="T64" s="185" t="s">
        <v>290</v>
      </c>
      <c r="U64" s="870" t="s">
        <v>291</v>
      </c>
      <c r="V64" s="185" t="s">
        <v>292</v>
      </c>
      <c r="W64" s="186" t="s">
        <v>242</v>
      </c>
      <c r="X64" s="187" t="s">
        <v>293</v>
      </c>
      <c r="Y64" s="142"/>
      <c r="Z64" s="142"/>
      <c r="AA64" s="142"/>
      <c r="AB64" s="142"/>
      <c r="AC64" s="142"/>
      <c r="AD64" s="142"/>
      <c r="AE64" s="142"/>
      <c r="AF64" s="142"/>
      <c r="AG64" s="142"/>
      <c r="AH64" s="142"/>
      <c r="AI64" s="142"/>
      <c r="AJ64" s="142"/>
      <c r="AK64" s="142"/>
      <c r="AL64" s="142"/>
      <c r="AM64" s="142"/>
      <c r="AN64" s="142"/>
      <c r="AO64" s="142"/>
      <c r="AP64" s="142"/>
      <c r="AQ64" s="142"/>
      <c r="AR64" s="142"/>
      <c r="AS64" s="142"/>
      <c r="AT64" s="142"/>
      <c r="AU64" s="142"/>
      <c r="AV64" s="142"/>
      <c r="AW64" s="142"/>
      <c r="AX64" s="142"/>
      <c r="AY64" s="142"/>
      <c r="AZ64" s="142"/>
      <c r="BA64" s="142"/>
      <c r="BB64" s="142"/>
      <c r="BC64" s="142"/>
      <c r="BD64" s="142"/>
      <c r="BE64" s="142"/>
      <c r="BF64" s="142"/>
      <c r="BG64" s="142"/>
    </row>
    <row r="65" spans="11:59">
      <c r="K65" s="188"/>
      <c r="L65" s="111"/>
      <c r="M65" s="111"/>
      <c r="N65" s="111"/>
      <c r="O65" s="111"/>
      <c r="P65" s="111"/>
      <c r="Q65" s="189"/>
      <c r="R65" s="111"/>
      <c r="S65" s="111"/>
      <c r="T65" s="189"/>
      <c r="U65" s="111"/>
      <c r="V65" s="189"/>
      <c r="W65" s="112"/>
      <c r="X65" s="190"/>
      <c r="Y65" s="142"/>
      <c r="Z65" s="142"/>
      <c r="AA65" s="142"/>
      <c r="AB65" s="142"/>
      <c r="AC65" s="142"/>
      <c r="AD65" s="142"/>
      <c r="AE65" s="142"/>
      <c r="AF65" s="142"/>
      <c r="AG65" s="142"/>
      <c r="AH65" s="142"/>
      <c r="AI65" s="142"/>
      <c r="AJ65" s="142"/>
      <c r="AK65" s="142"/>
      <c r="AL65" s="142"/>
      <c r="AM65" s="142"/>
      <c r="AN65" s="142"/>
      <c r="AO65" s="142"/>
      <c r="AP65" s="142"/>
      <c r="AQ65" s="142"/>
      <c r="AR65" s="142"/>
      <c r="AS65" s="142"/>
      <c r="AT65" s="142"/>
      <c r="AU65" s="142"/>
      <c r="AV65" s="142"/>
      <c r="AW65" s="142"/>
      <c r="AX65" s="142"/>
      <c r="AY65" s="142"/>
      <c r="AZ65" s="142"/>
      <c r="BA65" s="142"/>
      <c r="BB65" s="142"/>
      <c r="BC65" s="142"/>
      <c r="BD65" s="142"/>
      <c r="BE65" s="142"/>
      <c r="BF65" s="142"/>
      <c r="BG65" s="142"/>
    </row>
    <row r="66" spans="11:59">
      <c r="K66" s="191" t="s">
        <v>3</v>
      </c>
      <c r="M66" s="435" t="s">
        <v>294</v>
      </c>
      <c r="N66" s="435" t="s">
        <v>295</v>
      </c>
      <c r="O66" s="249">
        <v>0</v>
      </c>
      <c r="P66" s="157">
        <f>$I$35</f>
        <v>6.0386985124994137E-2</v>
      </c>
      <c r="Q66" s="193">
        <f>O66*P66</f>
        <v>0</v>
      </c>
      <c r="R66" s="192">
        <v>0</v>
      </c>
      <c r="S66" s="157">
        <f>$I$45</f>
        <v>9.1303744079794524E-2</v>
      </c>
      <c r="T66" s="193">
        <f>R66*S66</f>
        <v>0</v>
      </c>
      <c r="U66" s="194">
        <v>0</v>
      </c>
      <c r="V66" s="193">
        <f>Q66+T66+U66</f>
        <v>0</v>
      </c>
      <c r="W66" s="195">
        <v>0</v>
      </c>
      <c r="X66" s="193">
        <f>V66+W66</f>
        <v>0</v>
      </c>
    </row>
    <row r="67" spans="11:59">
      <c r="K67" s="191" t="s">
        <v>296</v>
      </c>
      <c r="M67" s="435" t="s">
        <v>297</v>
      </c>
      <c r="N67" s="435" t="s">
        <v>298</v>
      </c>
      <c r="O67" s="249">
        <v>0</v>
      </c>
      <c r="P67" s="157">
        <f>$I$35</f>
        <v>6.0386985124994137E-2</v>
      </c>
      <c r="Q67" s="193">
        <f>O67*P67</f>
        <v>0</v>
      </c>
      <c r="R67" s="192">
        <v>0</v>
      </c>
      <c r="S67" s="157">
        <f>$I$45</f>
        <v>9.1303744079794524E-2</v>
      </c>
      <c r="T67" s="193">
        <f>R67*S67</f>
        <v>0</v>
      </c>
      <c r="U67" s="194">
        <v>0</v>
      </c>
      <c r="V67" s="193">
        <f>Q67+T67+U67</f>
        <v>0</v>
      </c>
      <c r="W67" s="195">
        <v>0</v>
      </c>
      <c r="X67" s="193">
        <f>V67+W67</f>
        <v>0</v>
      </c>
    </row>
    <row r="68" spans="11:59">
      <c r="K68" s="191" t="s">
        <v>299</v>
      </c>
      <c r="M68" s="435" t="s">
        <v>300</v>
      </c>
      <c r="N68" s="435" t="s">
        <v>301</v>
      </c>
      <c r="O68" s="249">
        <v>0</v>
      </c>
      <c r="P68" s="157">
        <f>$I$35</f>
        <v>6.0386985124994137E-2</v>
      </c>
      <c r="Q68" s="193">
        <f>O68*P68</f>
        <v>0</v>
      </c>
      <c r="R68" s="192">
        <v>0</v>
      </c>
      <c r="S68" s="157">
        <f>$I$45</f>
        <v>9.1303744079794524E-2</v>
      </c>
      <c r="T68" s="193">
        <f>R68*S68</f>
        <v>0</v>
      </c>
      <c r="U68" s="194">
        <v>0</v>
      </c>
      <c r="V68" s="193">
        <f>Q68+T68+U68</f>
        <v>0</v>
      </c>
      <c r="W68" s="192">
        <v>0</v>
      </c>
      <c r="X68" s="193">
        <f>V68+W68</f>
        <v>0</v>
      </c>
    </row>
    <row r="69" spans="11:59">
      <c r="K69" s="191"/>
      <c r="Q69" s="193"/>
      <c r="T69" s="193"/>
      <c r="V69" s="193"/>
      <c r="X69" s="193"/>
    </row>
    <row r="70" spans="11:59">
      <c r="K70" s="191"/>
      <c r="Q70" s="193"/>
      <c r="T70" s="193"/>
      <c r="V70" s="193"/>
      <c r="X70" s="193"/>
    </row>
    <row r="71" spans="11:59">
      <c r="K71" s="191"/>
      <c r="Q71" s="193"/>
      <c r="T71" s="193"/>
      <c r="V71" s="193"/>
      <c r="X71" s="193"/>
    </row>
    <row r="72" spans="11:59">
      <c r="K72" s="191"/>
      <c r="Q72" s="193"/>
      <c r="T72" s="193"/>
      <c r="V72" s="193"/>
      <c r="X72" s="193"/>
    </row>
    <row r="73" spans="11:59">
      <c r="K73" s="191"/>
      <c r="Q73" s="193"/>
      <c r="T73" s="193"/>
      <c r="V73" s="193"/>
      <c r="X73" s="193"/>
    </row>
    <row r="74" spans="11:59">
      <c r="K74" s="191"/>
      <c r="M74" s="196"/>
      <c r="N74" s="196"/>
      <c r="O74" s="196"/>
      <c r="P74" s="196"/>
      <c r="Q74" s="197"/>
      <c r="R74" s="196"/>
      <c r="S74" s="196"/>
      <c r="T74" s="197"/>
      <c r="U74" s="196"/>
      <c r="V74" s="197"/>
      <c r="W74" s="196"/>
      <c r="X74" s="197"/>
    </row>
    <row r="75" spans="11:59">
      <c r="K75" s="191"/>
      <c r="M75" s="196"/>
      <c r="N75" s="196"/>
      <c r="O75" s="196"/>
      <c r="P75" s="196"/>
      <c r="Q75" s="197"/>
      <c r="R75" s="196"/>
      <c r="S75" s="196"/>
      <c r="T75" s="197"/>
      <c r="U75" s="196"/>
      <c r="V75" s="197"/>
      <c r="W75" s="196"/>
      <c r="X75" s="197"/>
    </row>
    <row r="76" spans="11:59">
      <c r="K76" s="191"/>
      <c r="M76" s="196"/>
      <c r="N76" s="196"/>
      <c r="O76" s="196"/>
      <c r="P76" s="196"/>
      <c r="Q76" s="197"/>
      <c r="R76" s="196"/>
      <c r="S76" s="196"/>
      <c r="T76" s="197"/>
      <c r="U76" s="196"/>
      <c r="V76" s="197"/>
      <c r="W76" s="196"/>
      <c r="X76" s="197"/>
    </row>
    <row r="77" spans="11:59">
      <c r="K77" s="191"/>
      <c r="M77" s="196"/>
      <c r="N77" s="196"/>
      <c r="O77" s="196"/>
      <c r="P77" s="196"/>
      <c r="Q77" s="197"/>
      <c r="R77" s="196"/>
      <c r="S77" s="196"/>
      <c r="T77" s="197"/>
      <c r="U77" s="196"/>
      <c r="V77" s="197"/>
      <c r="W77" s="196"/>
      <c r="X77" s="197"/>
    </row>
    <row r="78" spans="11:59">
      <c r="K78" s="191"/>
      <c r="M78" s="196"/>
      <c r="N78" s="196"/>
      <c r="O78" s="196"/>
      <c r="P78" s="196"/>
      <c r="Q78" s="197"/>
      <c r="R78" s="196"/>
      <c r="S78" s="196"/>
      <c r="T78" s="197"/>
      <c r="U78" s="196"/>
      <c r="V78" s="197"/>
      <c r="W78" s="196"/>
      <c r="X78" s="197"/>
    </row>
    <row r="79" spans="11:59">
      <c r="K79" s="191"/>
      <c r="M79" s="196"/>
      <c r="N79" s="196"/>
      <c r="O79" s="196"/>
      <c r="P79" s="196"/>
      <c r="Q79" s="197"/>
      <c r="R79" s="196"/>
      <c r="S79" s="196"/>
      <c r="T79" s="197"/>
      <c r="U79" s="196"/>
      <c r="V79" s="197"/>
      <c r="W79" s="196"/>
      <c r="X79" s="197"/>
    </row>
    <row r="80" spans="11:59">
      <c r="K80" s="191"/>
      <c r="M80" s="196"/>
      <c r="N80" s="196"/>
      <c r="O80" s="196"/>
      <c r="P80" s="196"/>
      <c r="Q80" s="197"/>
      <c r="R80" s="196"/>
      <c r="S80" s="196"/>
      <c r="T80" s="197"/>
      <c r="U80" s="196"/>
      <c r="V80" s="197"/>
      <c r="W80" s="196"/>
      <c r="X80" s="197"/>
    </row>
    <row r="81" spans="11:24">
      <c r="K81" s="191"/>
      <c r="M81" s="196"/>
      <c r="N81" s="196"/>
      <c r="O81" s="196"/>
      <c r="P81" s="196"/>
      <c r="Q81" s="197"/>
      <c r="R81" s="196"/>
      <c r="S81" s="196"/>
      <c r="T81" s="197"/>
      <c r="U81" s="196"/>
      <c r="V81" s="197"/>
      <c r="W81" s="196"/>
      <c r="X81" s="197"/>
    </row>
    <row r="82" spans="11:24">
      <c r="K82" s="191"/>
      <c r="M82" s="196"/>
      <c r="N82" s="196"/>
      <c r="O82" s="196"/>
      <c r="P82" s="196"/>
      <c r="Q82" s="197"/>
      <c r="R82" s="196"/>
      <c r="S82" s="196"/>
      <c r="T82" s="197"/>
      <c r="U82" s="196"/>
      <c r="V82" s="197"/>
      <c r="W82" s="196"/>
      <c r="X82" s="197"/>
    </row>
    <row r="83" spans="11:24">
      <c r="K83" s="191"/>
      <c r="M83" s="196"/>
      <c r="N83" s="196"/>
      <c r="O83" s="196"/>
      <c r="P83" s="196"/>
      <c r="Q83" s="197"/>
      <c r="R83" s="196"/>
      <c r="S83" s="196"/>
      <c r="T83" s="197"/>
      <c r="U83" s="196"/>
      <c r="V83" s="197"/>
      <c r="W83" s="196"/>
      <c r="X83" s="197"/>
    </row>
    <row r="84" spans="11:24">
      <c r="K84" s="191"/>
      <c r="M84" s="196"/>
      <c r="N84" s="196"/>
      <c r="O84" s="196"/>
      <c r="P84" s="196"/>
      <c r="Q84" s="197"/>
      <c r="R84" s="196"/>
      <c r="S84" s="196"/>
      <c r="T84" s="197"/>
      <c r="U84" s="196"/>
      <c r="V84" s="197"/>
      <c r="W84" s="196"/>
      <c r="X84" s="197"/>
    </row>
    <row r="85" spans="11:24">
      <c r="K85" s="198"/>
      <c r="L85" s="199"/>
      <c r="M85" s="200"/>
      <c r="N85" s="200"/>
      <c r="O85" s="200"/>
      <c r="P85" s="200"/>
      <c r="Q85" s="201"/>
      <c r="R85" s="200"/>
      <c r="S85" s="200"/>
      <c r="T85" s="201"/>
      <c r="U85" s="200"/>
      <c r="V85" s="201"/>
      <c r="W85" s="200"/>
      <c r="X85" s="201"/>
    </row>
    <row r="86" spans="11:24">
      <c r="K86" s="145" t="s">
        <v>302</v>
      </c>
      <c r="L86" s="167"/>
      <c r="M86" s="108" t="s">
        <v>303</v>
      </c>
      <c r="N86" s="108"/>
      <c r="O86" s="114"/>
      <c r="P86" s="114"/>
      <c r="Q86" s="112"/>
      <c r="R86" s="112"/>
      <c r="S86" s="112"/>
      <c r="T86" s="112"/>
      <c r="U86" s="112"/>
      <c r="V86" s="203">
        <f>SUM(V66:V85)</f>
        <v>0</v>
      </c>
      <c r="W86" s="203">
        <f>SUM(W66:W85)</f>
        <v>0</v>
      </c>
      <c r="X86" s="203">
        <f>SUM(X66:X85)</f>
        <v>0</v>
      </c>
    </row>
    <row r="87" spans="11:24">
      <c r="K87" s="99"/>
      <c r="L87" s="196"/>
      <c r="M87" s="196"/>
      <c r="N87" s="196"/>
      <c r="O87" s="196"/>
      <c r="P87" s="196"/>
      <c r="Q87" s="196"/>
      <c r="R87" s="196"/>
      <c r="S87" s="196"/>
      <c r="T87" s="196"/>
      <c r="U87" s="196"/>
      <c r="V87" s="196"/>
      <c r="W87" s="196"/>
      <c r="X87" s="196"/>
    </row>
    <row r="88" spans="11:24">
      <c r="K88" s="202">
        <v>3</v>
      </c>
      <c r="L88" s="196"/>
      <c r="M88" s="873" t="s">
        <v>715</v>
      </c>
      <c r="N88" s="196"/>
      <c r="O88" s="196"/>
      <c r="P88" s="196"/>
      <c r="Q88" s="196"/>
      <c r="R88" s="196"/>
      <c r="S88" s="196"/>
      <c r="T88" s="196"/>
      <c r="U88" s="196"/>
      <c r="V88" s="203"/>
      <c r="W88" s="196"/>
      <c r="X88" s="203">
        <f>X86</f>
        <v>0</v>
      </c>
    </row>
    <row r="89" spans="11:24">
      <c r="K89" s="196"/>
      <c r="L89" s="196"/>
      <c r="M89" s="196"/>
      <c r="N89" s="196"/>
      <c r="O89" s="196"/>
      <c r="P89" s="196"/>
      <c r="Q89" s="196"/>
      <c r="R89" s="196"/>
      <c r="S89" s="196"/>
      <c r="T89" s="196"/>
      <c r="U89" s="196"/>
      <c r="V89" s="196"/>
      <c r="W89" s="196"/>
      <c r="X89" s="196"/>
    </row>
    <row r="90" spans="11:24">
      <c r="K90" s="196"/>
      <c r="L90" s="196"/>
      <c r="M90" s="196"/>
      <c r="N90" s="196"/>
      <c r="O90" s="196"/>
      <c r="P90" s="196"/>
      <c r="Q90" s="196"/>
      <c r="R90" s="196"/>
      <c r="S90" s="196"/>
      <c r="T90" s="196"/>
      <c r="U90" s="196"/>
      <c r="V90" s="196"/>
      <c r="W90" s="196"/>
      <c r="X90" s="196"/>
    </row>
    <row r="91" spans="11:24">
      <c r="K91" s="107" t="s">
        <v>113</v>
      </c>
      <c r="L91" s="196"/>
      <c r="M91" s="196"/>
      <c r="N91" s="196"/>
      <c r="O91" s="196"/>
      <c r="P91" s="196"/>
      <c r="Q91" s="196"/>
      <c r="R91" s="196"/>
      <c r="S91" s="196"/>
      <c r="T91" s="196"/>
      <c r="U91" s="196"/>
      <c r="V91" s="196"/>
      <c r="W91" s="196"/>
      <c r="X91" s="196"/>
    </row>
    <row r="92" spans="11:24" ht="15.75" thickBot="1">
      <c r="K92" s="204" t="s">
        <v>114</v>
      </c>
      <c r="L92" s="196"/>
      <c r="M92" s="196"/>
      <c r="N92" s="196"/>
      <c r="O92" s="196"/>
      <c r="P92" s="196"/>
      <c r="Q92" s="196"/>
      <c r="R92" s="196"/>
      <c r="S92" s="196"/>
      <c r="T92" s="196"/>
      <c r="U92" s="196"/>
      <c r="V92" s="196"/>
      <c r="W92" s="196"/>
      <c r="X92" s="196"/>
    </row>
    <row r="93" spans="11:24">
      <c r="K93" s="205" t="s">
        <v>115</v>
      </c>
      <c r="L93" s="110"/>
      <c r="M93" s="1034" t="s">
        <v>387</v>
      </c>
      <c r="N93" s="1032"/>
      <c r="O93" s="1032"/>
      <c r="P93" s="1032"/>
      <c r="Q93" s="1032"/>
      <c r="R93" s="1032"/>
      <c r="S93" s="1032"/>
      <c r="T93" s="1032"/>
      <c r="U93" s="1032"/>
      <c r="V93" s="1032"/>
      <c r="W93" s="1032"/>
      <c r="X93" s="1032"/>
    </row>
    <row r="94" spans="11:24">
      <c r="K94" s="205" t="s">
        <v>116</v>
      </c>
      <c r="L94" s="110"/>
      <c r="M94" s="1032" t="s">
        <v>388</v>
      </c>
      <c r="N94" s="1032"/>
      <c r="O94" s="1032"/>
      <c r="P94" s="1032"/>
      <c r="Q94" s="1032"/>
      <c r="R94" s="1032"/>
      <c r="S94" s="1032"/>
      <c r="T94" s="1032"/>
      <c r="U94" s="1032"/>
      <c r="V94" s="1032"/>
      <c r="W94" s="1032"/>
      <c r="X94" s="1032"/>
    </row>
    <row r="95" spans="11:24" ht="27.75" customHeight="1">
      <c r="K95" s="206" t="s">
        <v>117</v>
      </c>
      <c r="L95" s="110"/>
      <c r="M95" s="1033" t="s">
        <v>304</v>
      </c>
      <c r="N95" s="1033"/>
      <c r="O95" s="1033"/>
      <c r="P95" s="1033"/>
      <c r="Q95" s="1033"/>
      <c r="R95" s="1033"/>
      <c r="S95" s="1033"/>
      <c r="T95" s="1033"/>
      <c r="U95" s="1033"/>
      <c r="V95" s="1033"/>
      <c r="W95" s="1033"/>
      <c r="X95" s="1033"/>
    </row>
    <row r="96" spans="11:24" ht="15" customHeight="1">
      <c r="K96" s="206" t="s">
        <v>118</v>
      </c>
      <c r="L96" s="110"/>
      <c r="M96" s="1033" t="s">
        <v>305</v>
      </c>
      <c r="N96" s="1033"/>
      <c r="O96" s="1033"/>
      <c r="P96" s="1033"/>
      <c r="Q96" s="1033"/>
      <c r="R96" s="1033"/>
      <c r="S96" s="1033"/>
      <c r="T96" s="1033"/>
      <c r="U96" s="1033"/>
      <c r="V96" s="1033"/>
      <c r="W96" s="1033"/>
      <c r="X96" s="1033"/>
    </row>
    <row r="97" spans="11:24">
      <c r="K97" s="205" t="s">
        <v>119</v>
      </c>
      <c r="L97" s="110"/>
      <c r="M97" s="1032" t="s">
        <v>389</v>
      </c>
      <c r="N97" s="1032"/>
      <c r="O97" s="1032"/>
      <c r="P97" s="1032"/>
      <c r="Q97" s="1032"/>
      <c r="R97" s="1032"/>
      <c r="S97" s="1032"/>
      <c r="T97" s="1032"/>
      <c r="U97" s="1032"/>
      <c r="V97" s="1032"/>
      <c r="W97" s="1032"/>
      <c r="X97" s="1032"/>
    </row>
    <row r="98" spans="11:24">
      <c r="K98" s="205" t="s">
        <v>120</v>
      </c>
      <c r="L98" s="110"/>
      <c r="M98" s="1032" t="s">
        <v>306</v>
      </c>
      <c r="N98" s="1032"/>
      <c r="O98" s="1032"/>
      <c r="P98" s="1032"/>
      <c r="Q98" s="1032"/>
      <c r="R98" s="1032"/>
      <c r="S98" s="1032"/>
      <c r="T98" s="1032"/>
      <c r="U98" s="1032"/>
      <c r="V98" s="1032"/>
      <c r="W98" s="1032"/>
      <c r="X98" s="1032"/>
    </row>
    <row r="99" spans="11:24">
      <c r="K99" s="205" t="s">
        <v>121</v>
      </c>
      <c r="L99" s="110"/>
      <c r="M99" s="1032" t="s">
        <v>307</v>
      </c>
      <c r="N99" s="1032"/>
      <c r="O99" s="1032"/>
      <c r="P99" s="1032"/>
      <c r="Q99" s="1032"/>
      <c r="R99" s="1032"/>
      <c r="S99" s="1032"/>
      <c r="T99" s="1032"/>
      <c r="U99" s="1032"/>
      <c r="V99" s="1032"/>
      <c r="W99" s="1032"/>
      <c r="X99" s="1032"/>
    </row>
    <row r="100" spans="11:24">
      <c r="K100" s="418" t="s">
        <v>123</v>
      </c>
      <c r="L100" s="142"/>
      <c r="M100" s="1031" t="s">
        <v>416</v>
      </c>
      <c r="N100" s="1031"/>
      <c r="O100" s="1031"/>
      <c r="P100" s="1031"/>
      <c r="Q100" s="1031"/>
      <c r="R100" s="1031"/>
      <c r="S100" s="1031"/>
      <c r="T100" s="1031"/>
      <c r="U100" s="1031"/>
      <c r="V100" s="1031"/>
      <c r="W100" s="1031"/>
      <c r="X100" s="1031"/>
    </row>
    <row r="101" spans="11:24" ht="15.75">
      <c r="K101" s="170"/>
      <c r="L101" s="207"/>
      <c r="M101" s="208"/>
      <c r="N101" s="166"/>
      <c r="O101" s="114"/>
      <c r="P101" s="114"/>
      <c r="Q101" s="112"/>
      <c r="R101" s="107"/>
      <c r="S101" s="107"/>
      <c r="T101" s="156"/>
      <c r="U101" s="107"/>
      <c r="W101" s="112"/>
      <c r="X101" s="171"/>
    </row>
    <row r="102" spans="11:24" ht="15.75">
      <c r="K102" s="170"/>
      <c r="L102" s="207"/>
      <c r="M102" s="208"/>
      <c r="N102" s="166"/>
      <c r="O102" s="114"/>
      <c r="P102" s="114"/>
      <c r="Q102" s="112"/>
      <c r="R102" s="107"/>
      <c r="S102" s="107"/>
      <c r="T102" s="156"/>
      <c r="U102" s="107"/>
      <c r="W102" s="112"/>
      <c r="X102" s="158"/>
    </row>
    <row r="103" spans="11:24">
      <c r="M103" s="196"/>
      <c r="N103" s="196"/>
      <c r="O103" s="196"/>
      <c r="P103" s="196"/>
      <c r="Q103" s="196"/>
      <c r="R103" s="196"/>
      <c r="S103" s="196"/>
      <c r="T103" s="196"/>
      <c r="U103" s="196"/>
      <c r="V103" s="196"/>
      <c r="W103" s="196"/>
      <c r="X103" s="196"/>
    </row>
    <row r="104" spans="11:24">
      <c r="M104" s="196"/>
      <c r="N104" s="196"/>
      <c r="O104" s="196"/>
      <c r="P104" s="196"/>
      <c r="Q104" s="196"/>
      <c r="R104" s="196"/>
      <c r="S104" s="196"/>
      <c r="T104" s="196"/>
      <c r="U104" s="196"/>
      <c r="V104" s="196"/>
      <c r="W104" s="196"/>
      <c r="X104" s="196"/>
    </row>
    <row r="105" spans="11:24">
      <c r="M105" s="196"/>
      <c r="N105" s="196"/>
      <c r="O105" s="196"/>
      <c r="P105" s="196"/>
      <c r="Q105" s="196"/>
      <c r="R105" s="196"/>
      <c r="S105" s="196"/>
      <c r="T105" s="196"/>
      <c r="U105" s="196"/>
      <c r="V105" s="196"/>
      <c r="W105" s="196"/>
      <c r="X105" s="196"/>
    </row>
    <row r="106" spans="11:24">
      <c r="M106" s="196"/>
      <c r="N106" s="196"/>
      <c r="O106" s="196"/>
      <c r="P106" s="196"/>
      <c r="Q106" s="196"/>
      <c r="R106" s="196"/>
      <c r="S106" s="196"/>
      <c r="T106" s="196"/>
      <c r="U106" s="196"/>
      <c r="V106" s="196"/>
      <c r="W106" s="196"/>
      <c r="X106" s="196"/>
    </row>
    <row r="107" spans="11:24">
      <c r="M107" s="196"/>
      <c r="N107" s="196"/>
      <c r="O107" s="196"/>
      <c r="P107" s="196"/>
      <c r="Q107" s="196"/>
      <c r="R107" s="196"/>
      <c r="S107" s="196"/>
      <c r="T107" s="196"/>
      <c r="U107" s="196"/>
      <c r="V107" s="196"/>
      <c r="W107" s="196"/>
      <c r="X107" s="196"/>
    </row>
    <row r="108" spans="11:24">
      <c r="M108" s="196"/>
      <c r="N108" s="196"/>
      <c r="O108" s="196"/>
      <c r="P108" s="196"/>
      <c r="Q108" s="196"/>
      <c r="R108" s="196"/>
      <c r="S108" s="196"/>
      <c r="T108" s="196"/>
      <c r="U108" s="196"/>
      <c r="V108" s="196"/>
      <c r="W108" s="196"/>
      <c r="X108" s="196"/>
    </row>
    <row r="109" spans="11:24">
      <c r="M109" s="196"/>
      <c r="N109" s="196"/>
      <c r="O109" s="196"/>
      <c r="P109" s="196"/>
      <c r="Q109" s="196"/>
      <c r="R109" s="196"/>
      <c r="S109" s="196"/>
      <c r="T109" s="196"/>
      <c r="U109" s="196"/>
      <c r="V109" s="196"/>
      <c r="W109" s="196"/>
      <c r="X109" s="196"/>
    </row>
    <row r="110" spans="11:24">
      <c r="M110" s="196"/>
      <c r="N110" s="196"/>
      <c r="O110" s="196"/>
      <c r="P110" s="196"/>
      <c r="Q110" s="196"/>
      <c r="R110" s="196"/>
      <c r="S110" s="196"/>
      <c r="T110" s="196"/>
      <c r="U110" s="196"/>
      <c r="V110" s="196"/>
      <c r="W110" s="196"/>
      <c r="X110" s="196"/>
    </row>
    <row r="111" spans="11:24">
      <c r="M111" s="196"/>
      <c r="N111" s="196"/>
      <c r="O111" s="196"/>
      <c r="P111" s="196"/>
      <c r="Q111" s="196"/>
      <c r="R111" s="196"/>
      <c r="S111" s="196"/>
      <c r="T111" s="196"/>
      <c r="U111" s="196"/>
      <c r="V111" s="196"/>
      <c r="W111" s="196"/>
      <c r="X111" s="196"/>
    </row>
    <row r="112" spans="11:24">
      <c r="M112" s="196"/>
      <c r="N112" s="196"/>
      <c r="O112" s="196"/>
      <c r="P112" s="196"/>
      <c r="Q112" s="196"/>
      <c r="R112" s="196"/>
      <c r="S112" s="196"/>
      <c r="T112" s="196"/>
      <c r="U112" s="196"/>
      <c r="V112" s="196"/>
      <c r="W112" s="196"/>
      <c r="X112" s="196"/>
    </row>
    <row r="113" spans="13:24">
      <c r="M113" s="196"/>
      <c r="N113" s="196"/>
      <c r="O113" s="196"/>
      <c r="P113" s="196"/>
      <c r="Q113" s="196"/>
      <c r="R113" s="196"/>
      <c r="S113" s="196"/>
      <c r="T113" s="196"/>
      <c r="U113" s="196"/>
      <c r="V113" s="196"/>
      <c r="W113" s="196"/>
      <c r="X113" s="196"/>
    </row>
    <row r="114" spans="13:24">
      <c r="M114" s="196"/>
      <c r="N114" s="196"/>
      <c r="O114" s="196"/>
      <c r="P114" s="196"/>
      <c r="Q114" s="196"/>
      <c r="R114" s="196"/>
      <c r="S114" s="196"/>
      <c r="T114" s="196"/>
      <c r="U114" s="196"/>
      <c r="V114" s="196"/>
      <c r="W114" s="196"/>
      <c r="X114" s="196"/>
    </row>
    <row r="115" spans="13:24">
      <c r="M115" s="196"/>
      <c r="N115" s="196"/>
      <c r="O115" s="196"/>
      <c r="P115" s="196"/>
      <c r="Q115" s="196"/>
      <c r="R115" s="196"/>
      <c r="S115" s="196"/>
      <c r="T115" s="196"/>
      <c r="U115" s="196"/>
      <c r="V115" s="196"/>
      <c r="W115" s="196"/>
      <c r="X115" s="196"/>
    </row>
    <row r="116" spans="13:24">
      <c r="M116" s="196"/>
      <c r="N116" s="196"/>
      <c r="O116" s="196"/>
      <c r="P116" s="196"/>
      <c r="Q116" s="196"/>
      <c r="R116" s="196"/>
      <c r="S116" s="196"/>
      <c r="T116" s="196"/>
      <c r="U116" s="196"/>
      <c r="V116" s="196"/>
      <c r="W116" s="196"/>
      <c r="X116" s="196"/>
    </row>
    <row r="117" spans="13:24">
      <c r="M117" s="196"/>
      <c r="N117" s="196"/>
      <c r="O117" s="196"/>
      <c r="P117" s="196"/>
      <c r="Q117" s="196"/>
      <c r="R117" s="196"/>
      <c r="S117" s="196"/>
      <c r="T117" s="196"/>
      <c r="U117" s="196"/>
      <c r="V117" s="196"/>
      <c r="W117" s="196"/>
      <c r="X117" s="196"/>
    </row>
    <row r="118" spans="13:24">
      <c r="M118" s="196"/>
      <c r="N118" s="196"/>
      <c r="O118" s="196"/>
      <c r="P118" s="196"/>
      <c r="Q118" s="196"/>
      <c r="R118" s="196"/>
      <c r="S118" s="196"/>
      <c r="T118" s="196"/>
      <c r="U118" s="196"/>
      <c r="V118" s="196"/>
      <c r="W118" s="196"/>
      <c r="X118" s="196"/>
    </row>
    <row r="119" spans="13:24">
      <c r="M119" s="196"/>
      <c r="N119" s="196"/>
      <c r="O119" s="196"/>
      <c r="P119" s="196"/>
      <c r="Q119" s="196"/>
      <c r="R119" s="196"/>
      <c r="S119" s="196"/>
      <c r="T119" s="196"/>
      <c r="U119" s="196"/>
      <c r="V119" s="196"/>
      <c r="W119" s="196"/>
      <c r="X119" s="196"/>
    </row>
    <row r="120" spans="13:24">
      <c r="M120" s="196"/>
      <c r="N120" s="196"/>
      <c r="O120" s="196"/>
      <c r="P120" s="196"/>
      <c r="Q120" s="196"/>
      <c r="R120" s="196"/>
      <c r="S120" s="196"/>
      <c r="T120" s="196"/>
      <c r="U120" s="196"/>
      <c r="V120" s="196"/>
      <c r="W120" s="196"/>
      <c r="X120" s="196"/>
    </row>
    <row r="121" spans="13:24">
      <c r="M121" s="196"/>
      <c r="N121" s="196"/>
      <c r="O121" s="196"/>
      <c r="P121" s="196"/>
      <c r="Q121" s="196"/>
      <c r="R121" s="196"/>
      <c r="S121" s="196"/>
      <c r="T121" s="196"/>
      <c r="U121" s="196"/>
      <c r="V121" s="196"/>
      <c r="W121" s="196"/>
      <c r="X121" s="196"/>
    </row>
    <row r="122" spans="13:24">
      <c r="M122" s="196"/>
      <c r="N122" s="196"/>
      <c r="O122" s="196"/>
      <c r="P122" s="196"/>
      <c r="Q122" s="196"/>
      <c r="R122" s="196"/>
      <c r="S122" s="196"/>
      <c r="T122" s="196"/>
      <c r="U122" s="196"/>
      <c r="V122" s="196"/>
      <c r="W122" s="196"/>
      <c r="X122" s="196"/>
    </row>
    <row r="123" spans="13:24">
      <c r="M123" s="196"/>
      <c r="N123" s="196"/>
      <c r="O123" s="196"/>
      <c r="P123" s="196"/>
      <c r="Q123" s="196"/>
      <c r="R123" s="196"/>
      <c r="S123" s="196"/>
      <c r="T123" s="196"/>
      <c r="U123" s="196"/>
      <c r="V123" s="196"/>
      <c r="W123" s="196"/>
      <c r="X123" s="196"/>
    </row>
    <row r="124" spans="13:24">
      <c r="M124" s="196"/>
      <c r="N124" s="196"/>
      <c r="O124" s="196"/>
      <c r="P124" s="196"/>
      <c r="Q124" s="196"/>
      <c r="R124" s="196"/>
      <c r="S124" s="196"/>
      <c r="T124" s="196"/>
      <c r="U124" s="196"/>
      <c r="V124" s="196"/>
      <c r="W124" s="196"/>
      <c r="X124" s="196"/>
    </row>
    <row r="125" spans="13:24">
      <c r="M125" s="196"/>
      <c r="N125" s="196"/>
      <c r="O125" s="196"/>
      <c r="P125" s="196"/>
      <c r="Q125" s="196"/>
      <c r="R125" s="196"/>
      <c r="S125" s="196"/>
      <c r="T125" s="196"/>
      <c r="U125" s="196"/>
      <c r="V125" s="196"/>
      <c r="W125" s="196"/>
      <c r="X125" s="196"/>
    </row>
    <row r="126" spans="13:24">
      <c r="M126" s="196"/>
      <c r="N126" s="196"/>
      <c r="O126" s="196"/>
      <c r="P126" s="196"/>
      <c r="Q126" s="196"/>
      <c r="R126" s="196"/>
      <c r="S126" s="196"/>
      <c r="T126" s="196"/>
      <c r="U126" s="196"/>
      <c r="V126" s="196"/>
      <c r="W126" s="196"/>
      <c r="X126" s="196"/>
    </row>
    <row r="127" spans="13:24">
      <c r="M127" s="196"/>
      <c r="N127" s="196"/>
      <c r="O127" s="196"/>
      <c r="P127" s="196"/>
      <c r="Q127" s="196"/>
      <c r="R127" s="196"/>
      <c r="S127" s="196"/>
      <c r="T127" s="196"/>
      <c r="U127" s="196"/>
      <c r="V127" s="196"/>
      <c r="W127" s="196"/>
      <c r="X127" s="196"/>
    </row>
    <row r="128" spans="13:24">
      <c r="M128" s="196"/>
      <c r="N128" s="196"/>
      <c r="O128" s="196"/>
      <c r="P128" s="196"/>
      <c r="Q128" s="196"/>
      <c r="R128" s="196"/>
      <c r="S128" s="196"/>
      <c r="T128" s="196"/>
      <c r="U128" s="196"/>
      <c r="V128" s="196"/>
      <c r="W128" s="196"/>
      <c r="X128" s="196"/>
    </row>
    <row r="129" spans="3:24">
      <c r="M129" s="196"/>
      <c r="N129" s="196"/>
      <c r="O129" s="196"/>
      <c r="P129" s="196"/>
      <c r="Q129" s="196"/>
      <c r="R129" s="196"/>
      <c r="S129" s="196"/>
      <c r="T129" s="196"/>
      <c r="U129" s="196"/>
      <c r="V129" s="196"/>
      <c r="W129" s="196"/>
      <c r="X129" s="196"/>
    </row>
    <row r="130" spans="3:24">
      <c r="C130" s="196"/>
      <c r="D130" s="196"/>
      <c r="E130" s="196"/>
      <c r="F130" s="196"/>
      <c r="G130" s="196"/>
      <c r="H130" s="196"/>
      <c r="I130" s="196"/>
      <c r="J130" s="196"/>
      <c r="K130" s="196"/>
      <c r="L130" s="196"/>
      <c r="M130" s="196"/>
      <c r="N130" s="196"/>
      <c r="O130" s="196"/>
    </row>
    <row r="131" spans="3:24">
      <c r="C131" s="196"/>
      <c r="D131" s="196"/>
      <c r="E131" s="196"/>
      <c r="F131" s="196"/>
      <c r="G131" s="196"/>
      <c r="H131" s="196"/>
      <c r="I131" s="196"/>
      <c r="J131" s="196"/>
      <c r="K131" s="196"/>
      <c r="L131" s="196"/>
      <c r="M131" s="196"/>
      <c r="N131" s="196"/>
      <c r="O131" s="196"/>
    </row>
    <row r="132" spans="3:24">
      <c r="C132" s="196"/>
      <c r="D132" s="196"/>
      <c r="E132" s="196"/>
      <c r="F132" s="196"/>
      <c r="G132" s="196"/>
      <c r="H132" s="196"/>
      <c r="I132" s="196"/>
      <c r="J132" s="196"/>
      <c r="K132" s="196"/>
      <c r="L132" s="196"/>
      <c r="M132" s="196"/>
      <c r="N132" s="196"/>
      <c r="O132" s="196"/>
    </row>
    <row r="133" spans="3:24">
      <c r="C133" s="196"/>
      <c r="D133" s="196"/>
      <c r="E133" s="196"/>
      <c r="F133" s="196"/>
      <c r="G133" s="196"/>
      <c r="H133" s="196"/>
      <c r="I133" s="196"/>
      <c r="J133" s="196"/>
      <c r="K133" s="196"/>
      <c r="L133" s="196"/>
      <c r="M133" s="196"/>
      <c r="N133" s="196"/>
      <c r="O133" s="196"/>
    </row>
    <row r="134" spans="3:24">
      <c r="C134" s="196"/>
      <c r="D134" s="196"/>
      <c r="E134" s="196"/>
      <c r="F134" s="196"/>
      <c r="G134" s="196"/>
      <c r="H134" s="196"/>
      <c r="I134" s="196"/>
      <c r="J134" s="196"/>
      <c r="K134" s="196"/>
      <c r="L134" s="196"/>
      <c r="M134" s="196"/>
      <c r="N134" s="196"/>
      <c r="O134" s="196"/>
    </row>
    <row r="135" spans="3:24">
      <c r="C135" s="196"/>
      <c r="D135" s="196"/>
      <c r="E135" s="196"/>
      <c r="F135" s="196"/>
      <c r="G135" s="196"/>
      <c r="H135" s="196"/>
      <c r="I135" s="196"/>
      <c r="J135" s="196"/>
      <c r="K135" s="196"/>
      <c r="L135" s="196"/>
      <c r="M135" s="196"/>
      <c r="N135" s="196"/>
      <c r="O135" s="196"/>
    </row>
    <row r="136" spans="3:24">
      <c r="C136" s="196"/>
      <c r="D136" s="196"/>
      <c r="E136" s="196"/>
      <c r="F136" s="196"/>
      <c r="G136" s="196"/>
      <c r="H136" s="196"/>
      <c r="I136" s="196"/>
      <c r="J136" s="196"/>
      <c r="K136" s="196"/>
      <c r="L136" s="196"/>
      <c r="M136" s="196"/>
      <c r="N136" s="196"/>
      <c r="O136" s="196"/>
    </row>
    <row r="137" spans="3:24">
      <c r="C137" s="196"/>
      <c r="D137" s="196"/>
      <c r="E137" s="196"/>
      <c r="F137" s="196"/>
      <c r="G137" s="196"/>
      <c r="H137" s="196"/>
      <c r="I137" s="196"/>
      <c r="J137" s="196"/>
      <c r="K137" s="196"/>
      <c r="L137" s="196"/>
      <c r="M137" s="196"/>
      <c r="N137" s="196"/>
      <c r="O137" s="196"/>
    </row>
    <row r="138" spans="3:24">
      <c r="C138" s="196"/>
      <c r="D138" s="196"/>
      <c r="E138" s="196"/>
      <c r="F138" s="196"/>
      <c r="G138" s="196"/>
      <c r="H138" s="196"/>
      <c r="I138" s="196"/>
      <c r="J138" s="196"/>
      <c r="K138" s="196"/>
      <c r="L138" s="196"/>
      <c r="M138" s="196"/>
      <c r="N138" s="196"/>
      <c r="O138" s="196"/>
    </row>
    <row r="139" spans="3:24">
      <c r="C139" s="196"/>
      <c r="D139" s="196"/>
      <c r="E139" s="196"/>
      <c r="F139" s="196"/>
      <c r="G139" s="196"/>
      <c r="H139" s="196"/>
      <c r="I139" s="196"/>
      <c r="J139" s="196"/>
      <c r="K139" s="196"/>
      <c r="L139" s="196"/>
      <c r="M139" s="196"/>
      <c r="N139" s="196"/>
      <c r="O139" s="196"/>
    </row>
    <row r="140" spans="3:24">
      <c r="C140" s="196"/>
      <c r="D140" s="196"/>
      <c r="E140" s="196"/>
      <c r="F140" s="196"/>
      <c r="G140" s="196"/>
      <c r="H140" s="196"/>
      <c r="I140" s="196"/>
      <c r="J140" s="196"/>
      <c r="K140" s="196"/>
      <c r="L140" s="196"/>
      <c r="M140" s="196"/>
      <c r="N140" s="196"/>
      <c r="O140" s="196"/>
    </row>
    <row r="141" spans="3:24">
      <c r="C141" s="196"/>
      <c r="D141" s="196"/>
      <c r="E141" s="196"/>
      <c r="F141" s="196"/>
      <c r="G141" s="196"/>
      <c r="H141" s="196"/>
      <c r="I141" s="196"/>
      <c r="J141" s="196"/>
      <c r="K141" s="196"/>
      <c r="L141" s="196"/>
      <c r="M141" s="196"/>
      <c r="N141" s="196"/>
      <c r="O141" s="196"/>
    </row>
    <row r="142" spans="3:24">
      <c r="C142" s="196"/>
      <c r="D142" s="196"/>
      <c r="E142" s="196"/>
      <c r="F142" s="196"/>
      <c r="G142" s="196"/>
      <c r="H142" s="196"/>
      <c r="I142" s="196"/>
      <c r="J142" s="196"/>
      <c r="K142" s="196"/>
      <c r="L142" s="196"/>
      <c r="M142" s="196"/>
      <c r="N142" s="196"/>
      <c r="O142" s="196"/>
    </row>
    <row r="143" spans="3:24">
      <c r="C143" s="196"/>
      <c r="D143" s="196"/>
      <c r="E143" s="196"/>
      <c r="F143" s="196"/>
      <c r="G143" s="196"/>
      <c r="H143" s="196"/>
      <c r="I143" s="196"/>
      <c r="J143" s="196"/>
      <c r="K143" s="196"/>
      <c r="L143" s="196"/>
      <c r="M143" s="196"/>
      <c r="N143" s="196"/>
      <c r="O143" s="196"/>
    </row>
    <row r="144" spans="3:24">
      <c r="C144" s="196"/>
      <c r="D144" s="196"/>
      <c r="E144" s="196"/>
      <c r="F144" s="196"/>
      <c r="G144" s="196"/>
      <c r="H144" s="196"/>
      <c r="I144" s="196"/>
      <c r="J144" s="196"/>
      <c r="K144" s="196"/>
      <c r="L144" s="196"/>
      <c r="M144" s="196"/>
      <c r="N144" s="196"/>
      <c r="O144" s="196"/>
    </row>
    <row r="145" spans="3:15">
      <c r="C145" s="196"/>
      <c r="D145" s="196"/>
      <c r="E145" s="196"/>
      <c r="F145" s="196"/>
      <c r="G145" s="196"/>
      <c r="H145" s="196"/>
      <c r="I145" s="196"/>
      <c r="J145" s="196"/>
      <c r="K145" s="196"/>
      <c r="L145" s="196"/>
      <c r="M145" s="196"/>
      <c r="N145" s="196"/>
      <c r="O145" s="196"/>
    </row>
    <row r="146" spans="3:15">
      <c r="C146" s="196"/>
      <c r="D146" s="196"/>
      <c r="E146" s="196"/>
      <c r="F146" s="196"/>
      <c r="G146" s="196"/>
      <c r="H146" s="196"/>
      <c r="I146" s="196"/>
      <c r="J146" s="196"/>
      <c r="K146" s="196"/>
      <c r="L146" s="196"/>
      <c r="M146" s="196"/>
      <c r="N146" s="196"/>
      <c r="O146" s="196"/>
    </row>
    <row r="147" spans="3:15">
      <c r="C147" s="196"/>
      <c r="D147" s="196"/>
      <c r="E147" s="196"/>
      <c r="F147" s="196"/>
      <c r="G147" s="196"/>
      <c r="H147" s="196"/>
      <c r="I147" s="196"/>
      <c r="J147" s="196"/>
      <c r="K147" s="196"/>
      <c r="L147" s="196"/>
      <c r="M147" s="196"/>
      <c r="N147" s="196"/>
      <c r="O147" s="196"/>
    </row>
    <row r="148" spans="3:15">
      <c r="C148" s="196"/>
      <c r="D148" s="196"/>
      <c r="E148" s="196"/>
      <c r="F148" s="196"/>
      <c r="G148" s="196"/>
      <c r="H148" s="196"/>
      <c r="I148" s="196"/>
      <c r="J148" s="196"/>
      <c r="K148" s="196"/>
      <c r="L148" s="196"/>
      <c r="M148" s="196"/>
      <c r="N148" s="196"/>
      <c r="O148" s="196"/>
    </row>
    <row r="149" spans="3:15">
      <c r="C149" s="196"/>
      <c r="D149" s="196"/>
      <c r="E149" s="196"/>
      <c r="F149" s="196"/>
      <c r="G149" s="196"/>
      <c r="H149" s="196"/>
      <c r="I149" s="196"/>
      <c r="J149" s="196"/>
      <c r="K149" s="196"/>
      <c r="L149" s="196"/>
      <c r="M149" s="196"/>
      <c r="N149" s="196"/>
      <c r="O149" s="196"/>
    </row>
    <row r="150" spans="3:15">
      <c r="C150" s="196"/>
      <c r="D150" s="196"/>
      <c r="E150" s="196"/>
      <c r="F150" s="196"/>
      <c r="G150" s="196"/>
      <c r="H150" s="196"/>
      <c r="I150" s="196"/>
      <c r="J150" s="196"/>
      <c r="K150" s="196"/>
      <c r="L150" s="196"/>
      <c r="M150" s="196"/>
      <c r="N150" s="196"/>
      <c r="O150" s="196"/>
    </row>
    <row r="151" spans="3:15">
      <c r="C151" s="196"/>
      <c r="D151" s="196"/>
      <c r="E151" s="196"/>
      <c r="F151" s="196"/>
      <c r="G151" s="196"/>
      <c r="H151" s="196"/>
      <c r="I151" s="196"/>
      <c r="J151" s="196"/>
      <c r="K151" s="196"/>
      <c r="L151" s="196"/>
      <c r="M151" s="196"/>
      <c r="N151" s="196"/>
      <c r="O151" s="196"/>
    </row>
    <row r="152" spans="3:15">
      <c r="C152" s="196"/>
      <c r="D152" s="196"/>
      <c r="E152" s="196"/>
      <c r="F152" s="196"/>
      <c r="G152" s="196"/>
      <c r="H152" s="196"/>
      <c r="I152" s="196"/>
      <c r="J152" s="196"/>
      <c r="K152" s="196"/>
      <c r="L152" s="196"/>
      <c r="M152" s="196"/>
      <c r="N152" s="196"/>
      <c r="O152" s="196"/>
    </row>
    <row r="153" spans="3:15">
      <c r="C153" s="196"/>
      <c r="D153" s="196"/>
      <c r="E153" s="196"/>
      <c r="F153" s="196"/>
      <c r="G153" s="196"/>
      <c r="H153" s="196"/>
      <c r="I153" s="196"/>
      <c r="J153" s="196"/>
      <c r="K153" s="196"/>
      <c r="L153" s="196"/>
      <c r="M153" s="196"/>
      <c r="N153" s="196"/>
      <c r="O153" s="196"/>
    </row>
    <row r="154" spans="3:15">
      <c r="C154" s="196"/>
      <c r="D154" s="196"/>
      <c r="E154" s="196"/>
      <c r="F154" s="196"/>
      <c r="G154" s="196"/>
      <c r="H154" s="196"/>
      <c r="I154" s="196"/>
      <c r="J154" s="196"/>
      <c r="K154" s="196"/>
      <c r="L154" s="196"/>
      <c r="M154" s="196"/>
      <c r="N154" s="196"/>
      <c r="O154" s="196"/>
    </row>
    <row r="155" spans="3:15">
      <c r="C155" s="196"/>
      <c r="D155" s="196"/>
      <c r="E155" s="196"/>
      <c r="F155" s="196"/>
      <c r="G155" s="196"/>
      <c r="H155" s="196"/>
      <c r="I155" s="196"/>
      <c r="J155" s="196"/>
      <c r="K155" s="196"/>
      <c r="L155" s="196"/>
      <c r="M155" s="196"/>
      <c r="N155" s="196"/>
      <c r="O155" s="196"/>
    </row>
    <row r="156" spans="3:15">
      <c r="C156" s="196"/>
      <c r="D156" s="196"/>
      <c r="E156" s="196"/>
      <c r="F156" s="196"/>
      <c r="G156" s="196"/>
      <c r="H156" s="196"/>
      <c r="I156" s="196"/>
      <c r="J156" s="196"/>
      <c r="K156" s="196"/>
      <c r="L156" s="196"/>
      <c r="M156" s="196"/>
      <c r="N156" s="196"/>
      <c r="O156" s="196"/>
    </row>
    <row r="157" spans="3:15">
      <c r="C157" s="196"/>
      <c r="D157" s="196"/>
      <c r="E157" s="196"/>
      <c r="F157" s="196"/>
      <c r="G157" s="196"/>
      <c r="H157" s="196"/>
      <c r="I157" s="196"/>
      <c r="J157" s="196"/>
      <c r="K157" s="196"/>
      <c r="L157" s="196"/>
      <c r="M157" s="196"/>
      <c r="N157" s="196"/>
      <c r="O157" s="196"/>
    </row>
    <row r="158" spans="3:15">
      <c r="C158" s="196"/>
      <c r="D158" s="196"/>
      <c r="E158" s="196"/>
      <c r="F158" s="196"/>
      <c r="G158" s="196"/>
      <c r="H158" s="196"/>
      <c r="I158" s="196"/>
      <c r="J158" s="196"/>
      <c r="K158" s="196"/>
      <c r="L158" s="196"/>
      <c r="M158" s="196"/>
      <c r="N158" s="196"/>
      <c r="O158" s="196"/>
    </row>
    <row r="159" spans="3:15">
      <c r="C159" s="196"/>
      <c r="D159" s="196"/>
      <c r="E159" s="196"/>
      <c r="F159" s="196"/>
      <c r="G159" s="196"/>
      <c r="H159" s="196"/>
      <c r="I159" s="196"/>
      <c r="J159" s="196"/>
      <c r="K159" s="196"/>
      <c r="L159" s="196"/>
      <c r="M159" s="196"/>
      <c r="N159" s="196"/>
      <c r="O159" s="196"/>
    </row>
    <row r="160" spans="3:15">
      <c r="C160" s="196"/>
      <c r="D160" s="196"/>
      <c r="E160" s="196"/>
      <c r="F160" s="196"/>
      <c r="G160" s="196"/>
      <c r="H160" s="196"/>
      <c r="I160" s="196"/>
      <c r="J160" s="196"/>
      <c r="K160" s="196"/>
      <c r="L160" s="196"/>
      <c r="M160" s="196"/>
      <c r="N160" s="196"/>
      <c r="O160" s="196"/>
    </row>
    <row r="161" spans="3:15">
      <c r="C161" s="196"/>
      <c r="D161" s="196"/>
      <c r="E161" s="196"/>
      <c r="F161" s="196"/>
      <c r="G161" s="196"/>
      <c r="H161" s="196"/>
      <c r="I161" s="196"/>
      <c r="J161" s="196"/>
      <c r="K161" s="196"/>
      <c r="L161" s="196"/>
      <c r="M161" s="196"/>
      <c r="N161" s="196"/>
      <c r="O161" s="196"/>
    </row>
    <row r="162" spans="3:15">
      <c r="C162" s="196"/>
      <c r="D162" s="196"/>
      <c r="E162" s="196"/>
      <c r="F162" s="196"/>
      <c r="G162" s="196"/>
      <c r="H162" s="196"/>
      <c r="I162" s="196"/>
      <c r="J162" s="196"/>
      <c r="K162" s="196"/>
      <c r="L162" s="196"/>
      <c r="M162" s="196"/>
      <c r="N162" s="196"/>
      <c r="O162" s="196"/>
    </row>
    <row r="163" spans="3:15">
      <c r="C163" s="196"/>
      <c r="D163" s="196"/>
      <c r="E163" s="196"/>
      <c r="F163" s="196"/>
      <c r="G163" s="196"/>
      <c r="H163" s="196"/>
      <c r="I163" s="196"/>
      <c r="J163" s="196"/>
      <c r="K163" s="196"/>
      <c r="L163" s="196"/>
      <c r="M163" s="196"/>
      <c r="N163" s="196"/>
      <c r="O163" s="196"/>
    </row>
    <row r="164" spans="3:15">
      <c r="C164" s="196"/>
      <c r="D164" s="196"/>
      <c r="E164" s="196"/>
      <c r="F164" s="196"/>
      <c r="G164" s="196"/>
      <c r="H164" s="196"/>
      <c r="I164" s="196"/>
      <c r="J164" s="196"/>
      <c r="K164" s="196"/>
      <c r="L164" s="196"/>
      <c r="M164" s="196"/>
      <c r="N164" s="196"/>
      <c r="O164" s="196"/>
    </row>
    <row r="165" spans="3:15">
      <c r="C165" s="196"/>
      <c r="D165" s="196"/>
      <c r="E165" s="196"/>
      <c r="F165" s="196"/>
      <c r="G165" s="196"/>
      <c r="H165" s="196"/>
      <c r="I165" s="196"/>
      <c r="J165" s="196"/>
      <c r="K165" s="196"/>
      <c r="L165" s="196"/>
      <c r="M165" s="196"/>
      <c r="N165" s="196"/>
      <c r="O165" s="196"/>
    </row>
    <row r="166" spans="3:15">
      <c r="C166" s="196"/>
      <c r="D166" s="196"/>
      <c r="E166" s="196"/>
      <c r="F166" s="196"/>
      <c r="G166" s="196"/>
      <c r="H166" s="196"/>
      <c r="I166" s="196"/>
      <c r="J166" s="196"/>
      <c r="K166" s="196"/>
      <c r="L166" s="196"/>
      <c r="M166" s="196"/>
      <c r="N166" s="196"/>
      <c r="O166" s="196"/>
    </row>
    <row r="167" spans="3:15">
      <c r="C167" s="196"/>
      <c r="D167" s="196"/>
      <c r="E167" s="196"/>
      <c r="F167" s="196"/>
      <c r="G167" s="196"/>
      <c r="H167" s="196"/>
      <c r="I167" s="196"/>
      <c r="J167" s="196"/>
      <c r="K167" s="196"/>
      <c r="L167" s="196"/>
      <c r="M167" s="196"/>
      <c r="N167" s="196"/>
      <c r="O167" s="196"/>
    </row>
    <row r="168" spans="3:15">
      <c r="C168" s="196"/>
      <c r="D168" s="196"/>
      <c r="E168" s="196"/>
      <c r="F168" s="196"/>
      <c r="G168" s="196"/>
      <c r="H168" s="196"/>
      <c r="I168" s="196"/>
      <c r="J168" s="196"/>
      <c r="K168" s="196"/>
      <c r="L168" s="196"/>
      <c r="M168" s="196"/>
      <c r="N168" s="196"/>
      <c r="O168" s="196"/>
    </row>
    <row r="169" spans="3:15">
      <c r="C169" s="196"/>
      <c r="D169" s="196"/>
      <c r="E169" s="196"/>
      <c r="F169" s="196"/>
      <c r="G169" s="196"/>
      <c r="H169" s="196"/>
      <c r="I169" s="196"/>
      <c r="J169" s="196"/>
      <c r="K169" s="196"/>
      <c r="L169" s="196"/>
      <c r="M169" s="196"/>
      <c r="N169" s="196"/>
      <c r="O169" s="196"/>
    </row>
    <row r="170" spans="3:15">
      <c r="C170" s="196"/>
      <c r="D170" s="196"/>
      <c r="E170" s="196"/>
      <c r="F170" s="196"/>
      <c r="G170" s="196"/>
      <c r="H170" s="196"/>
      <c r="I170" s="196"/>
      <c r="J170" s="196"/>
      <c r="K170" s="196"/>
      <c r="L170" s="196"/>
      <c r="M170" s="196"/>
      <c r="N170" s="196"/>
      <c r="O170" s="196"/>
    </row>
    <row r="171" spans="3:15">
      <c r="C171" s="196"/>
      <c r="D171" s="196"/>
      <c r="E171" s="196"/>
      <c r="F171" s="196"/>
      <c r="G171" s="196"/>
      <c r="H171" s="196"/>
      <c r="I171" s="196"/>
      <c r="J171" s="196"/>
      <c r="K171" s="196"/>
      <c r="L171" s="196"/>
      <c r="M171" s="196"/>
      <c r="N171" s="196"/>
      <c r="O171" s="196"/>
    </row>
    <row r="172" spans="3:15">
      <c r="C172" s="196"/>
      <c r="D172" s="196"/>
      <c r="E172" s="196"/>
      <c r="F172" s="196"/>
      <c r="G172" s="196"/>
      <c r="H172" s="196"/>
      <c r="I172" s="196"/>
      <c r="J172" s="196"/>
      <c r="K172" s="196"/>
      <c r="L172" s="196"/>
      <c r="M172" s="196"/>
      <c r="N172" s="196"/>
      <c r="O172" s="196"/>
    </row>
    <row r="173" spans="3:15">
      <c r="C173" s="196"/>
      <c r="D173" s="196"/>
      <c r="E173" s="196"/>
      <c r="F173" s="196"/>
      <c r="G173" s="196"/>
      <c r="H173" s="196"/>
      <c r="I173" s="196"/>
      <c r="J173" s="196"/>
      <c r="K173" s="196"/>
      <c r="L173" s="196"/>
      <c r="M173" s="196"/>
      <c r="N173" s="196"/>
      <c r="O173" s="196"/>
    </row>
    <row r="174" spans="3:15">
      <c r="C174" s="196"/>
      <c r="D174" s="196"/>
      <c r="E174" s="196"/>
      <c r="F174" s="196"/>
      <c r="G174" s="196"/>
      <c r="H174" s="196"/>
      <c r="I174" s="196"/>
      <c r="J174" s="196"/>
      <c r="K174" s="196"/>
      <c r="L174" s="196"/>
      <c r="M174" s="196"/>
      <c r="N174" s="196"/>
      <c r="O174" s="196"/>
    </row>
    <row r="175" spans="3:15">
      <c r="C175" s="196"/>
      <c r="D175" s="196"/>
      <c r="E175" s="196"/>
      <c r="F175" s="196"/>
      <c r="G175" s="196"/>
      <c r="H175" s="196"/>
      <c r="I175" s="196"/>
      <c r="J175" s="196"/>
      <c r="K175" s="196"/>
      <c r="L175" s="196"/>
      <c r="M175" s="196"/>
      <c r="N175" s="196"/>
      <c r="O175" s="196"/>
    </row>
    <row r="176" spans="3:15">
      <c r="C176" s="196"/>
      <c r="D176" s="196"/>
      <c r="E176" s="196"/>
      <c r="F176" s="196"/>
      <c r="G176" s="196"/>
      <c r="H176" s="196"/>
      <c r="I176" s="196"/>
      <c r="J176" s="196"/>
      <c r="K176" s="196"/>
      <c r="L176" s="196"/>
      <c r="M176" s="196"/>
      <c r="N176" s="196"/>
      <c r="O176" s="196"/>
    </row>
    <row r="177" spans="3:15">
      <c r="C177" s="196"/>
      <c r="D177" s="196"/>
      <c r="E177" s="196"/>
      <c r="F177" s="196"/>
      <c r="G177" s="196"/>
      <c r="H177" s="196"/>
      <c r="I177" s="196"/>
      <c r="J177" s="196"/>
      <c r="K177" s="196"/>
      <c r="L177" s="196"/>
      <c r="M177" s="196"/>
      <c r="N177" s="196"/>
      <c r="O177" s="196"/>
    </row>
    <row r="178" spans="3:15">
      <c r="C178" s="196"/>
      <c r="D178" s="196"/>
      <c r="E178" s="196"/>
      <c r="F178" s="196"/>
      <c r="G178" s="196"/>
      <c r="H178" s="196"/>
      <c r="I178" s="196"/>
      <c r="J178" s="196"/>
      <c r="K178" s="196"/>
      <c r="L178" s="196"/>
      <c r="M178" s="196"/>
      <c r="N178" s="196"/>
      <c r="O178" s="196"/>
    </row>
    <row r="179" spans="3:15">
      <c r="C179" s="196"/>
      <c r="D179" s="196"/>
      <c r="E179" s="196"/>
      <c r="F179" s="196"/>
      <c r="G179" s="196"/>
      <c r="H179" s="196"/>
      <c r="I179" s="196"/>
      <c r="J179" s="196"/>
      <c r="K179" s="196"/>
      <c r="L179" s="196"/>
      <c r="M179" s="196"/>
      <c r="N179" s="196"/>
      <c r="O179" s="196"/>
    </row>
    <row r="180" spans="3:15">
      <c r="C180" s="196"/>
      <c r="D180" s="196"/>
      <c r="E180" s="196"/>
      <c r="F180" s="196"/>
      <c r="G180" s="196"/>
      <c r="H180" s="196"/>
      <c r="I180" s="196"/>
      <c r="J180" s="196"/>
      <c r="K180" s="196"/>
      <c r="L180" s="196"/>
      <c r="M180" s="196"/>
      <c r="N180" s="196"/>
      <c r="O180" s="196"/>
    </row>
    <row r="181" spans="3:15">
      <c r="C181" s="196"/>
      <c r="D181" s="196"/>
      <c r="E181" s="196"/>
      <c r="F181" s="196"/>
      <c r="G181" s="196"/>
      <c r="H181" s="196"/>
      <c r="I181" s="196"/>
      <c r="J181" s="196"/>
      <c r="K181" s="196"/>
      <c r="L181" s="196"/>
      <c r="M181" s="196"/>
      <c r="N181" s="196"/>
      <c r="O181" s="196"/>
    </row>
    <row r="182" spans="3:15">
      <c r="C182" s="196"/>
      <c r="D182" s="196"/>
      <c r="E182" s="196"/>
      <c r="F182" s="196"/>
      <c r="G182" s="196"/>
      <c r="H182" s="196"/>
      <c r="I182" s="196"/>
      <c r="J182" s="196"/>
      <c r="K182" s="196"/>
      <c r="L182" s="196"/>
      <c r="M182" s="196"/>
      <c r="N182" s="196"/>
      <c r="O182" s="196"/>
    </row>
    <row r="183" spans="3:15">
      <c r="C183" s="196"/>
      <c r="D183" s="196"/>
      <c r="E183" s="196"/>
      <c r="F183" s="196"/>
      <c r="G183" s="196"/>
      <c r="H183" s="196"/>
      <c r="I183" s="196"/>
      <c r="J183" s="196"/>
      <c r="K183" s="196"/>
      <c r="L183" s="196"/>
      <c r="M183" s="196"/>
      <c r="N183" s="196"/>
      <c r="O183" s="196"/>
    </row>
    <row r="184" spans="3:15">
      <c r="C184" s="196"/>
      <c r="D184" s="196"/>
      <c r="E184" s="196"/>
      <c r="F184" s="196"/>
      <c r="G184" s="196"/>
      <c r="H184" s="196"/>
      <c r="I184" s="196"/>
      <c r="J184" s="196"/>
      <c r="K184" s="196"/>
      <c r="L184" s="196"/>
      <c r="M184" s="196"/>
      <c r="N184" s="196"/>
      <c r="O184" s="196"/>
    </row>
    <row r="185" spans="3:15">
      <c r="C185" s="196"/>
      <c r="D185" s="196"/>
      <c r="E185" s="196"/>
      <c r="F185" s="196"/>
      <c r="G185" s="196"/>
      <c r="H185" s="196"/>
      <c r="I185" s="196"/>
      <c r="J185" s="196"/>
      <c r="K185" s="196"/>
      <c r="L185" s="196"/>
      <c r="M185" s="196"/>
      <c r="N185" s="196"/>
      <c r="O185" s="196"/>
    </row>
    <row r="186" spans="3:15">
      <c r="C186" s="196"/>
      <c r="D186" s="196"/>
      <c r="E186" s="196"/>
      <c r="F186" s="196"/>
      <c r="G186" s="196"/>
      <c r="H186" s="196"/>
      <c r="I186" s="196"/>
      <c r="J186" s="196"/>
      <c r="K186" s="196"/>
      <c r="L186" s="196"/>
      <c r="M186" s="196"/>
      <c r="N186" s="196"/>
      <c r="O186" s="196"/>
    </row>
    <row r="187" spans="3:15">
      <c r="C187" s="196"/>
      <c r="D187" s="196"/>
      <c r="E187" s="196"/>
      <c r="F187" s="196"/>
      <c r="G187" s="196"/>
      <c r="H187" s="196"/>
      <c r="I187" s="196"/>
      <c r="J187" s="196"/>
      <c r="K187" s="196"/>
      <c r="L187" s="196"/>
      <c r="M187" s="196"/>
      <c r="N187" s="196"/>
      <c r="O187" s="196"/>
    </row>
    <row r="188" spans="3:15">
      <c r="C188" s="196"/>
      <c r="D188" s="196"/>
      <c r="E188" s="196"/>
      <c r="F188" s="196"/>
      <c r="G188" s="196"/>
      <c r="H188" s="196"/>
      <c r="I188" s="196"/>
      <c r="J188" s="196"/>
      <c r="K188" s="196"/>
      <c r="L188" s="196"/>
      <c r="M188" s="196"/>
      <c r="N188" s="196"/>
      <c r="O188" s="196"/>
    </row>
    <row r="189" spans="3:15">
      <c r="C189" s="196"/>
      <c r="D189" s="196"/>
      <c r="E189" s="196"/>
      <c r="F189" s="196"/>
      <c r="G189" s="196"/>
      <c r="H189" s="196"/>
      <c r="I189" s="196"/>
      <c r="J189" s="196"/>
      <c r="K189" s="196"/>
      <c r="L189" s="196"/>
      <c r="M189" s="196"/>
      <c r="N189" s="196"/>
      <c r="O189" s="196"/>
    </row>
    <row r="190" spans="3:15">
      <c r="C190" s="196"/>
      <c r="D190" s="196"/>
      <c r="E190" s="196"/>
      <c r="F190" s="196"/>
      <c r="G190" s="196"/>
      <c r="H190" s="196"/>
      <c r="I190" s="196"/>
      <c r="J190" s="196"/>
      <c r="K190" s="196"/>
      <c r="L190" s="196"/>
      <c r="M190" s="196"/>
      <c r="N190" s="196"/>
      <c r="O190" s="196"/>
    </row>
    <row r="191" spans="3:15">
      <c r="C191" s="196"/>
      <c r="D191" s="196"/>
      <c r="E191" s="196"/>
      <c r="F191" s="196"/>
      <c r="G191" s="196"/>
      <c r="H191" s="196"/>
      <c r="I191" s="196"/>
      <c r="J191" s="196"/>
      <c r="K191" s="196"/>
      <c r="L191" s="196"/>
      <c r="M191" s="196"/>
      <c r="N191" s="196"/>
      <c r="O191" s="196"/>
    </row>
    <row r="192" spans="3:15">
      <c r="C192" s="196"/>
      <c r="D192" s="196"/>
      <c r="E192" s="196"/>
      <c r="F192" s="196"/>
      <c r="G192" s="196"/>
      <c r="H192" s="196"/>
      <c r="I192" s="196"/>
      <c r="J192" s="196"/>
      <c r="K192" s="196"/>
      <c r="L192" s="196"/>
      <c r="M192" s="196"/>
      <c r="N192" s="196"/>
      <c r="O192" s="196"/>
    </row>
    <row r="193" spans="3:15">
      <c r="C193" s="196"/>
      <c r="D193" s="196"/>
      <c r="E193" s="196"/>
      <c r="F193" s="196"/>
      <c r="G193" s="196"/>
      <c r="H193" s="196"/>
      <c r="I193" s="196"/>
      <c r="J193" s="196"/>
      <c r="K193" s="196"/>
      <c r="L193" s="196"/>
      <c r="M193" s="196"/>
      <c r="N193" s="196"/>
      <c r="O193" s="196"/>
    </row>
    <row r="194" spans="3:15">
      <c r="C194" s="196"/>
      <c r="D194" s="196"/>
      <c r="E194" s="196"/>
      <c r="F194" s="196"/>
      <c r="G194" s="196"/>
      <c r="H194" s="196"/>
      <c r="I194" s="196"/>
      <c r="J194" s="196"/>
      <c r="K194" s="196"/>
      <c r="L194" s="196"/>
      <c r="M194" s="196"/>
      <c r="N194" s="196"/>
      <c r="O194" s="196"/>
    </row>
    <row r="195" spans="3:15">
      <c r="C195" s="196"/>
      <c r="D195" s="196"/>
      <c r="E195" s="196"/>
      <c r="F195" s="196"/>
      <c r="G195" s="196"/>
      <c r="H195" s="196"/>
      <c r="I195" s="196"/>
      <c r="J195" s="196"/>
      <c r="K195" s="196"/>
      <c r="L195" s="196"/>
      <c r="M195" s="196"/>
      <c r="N195" s="196"/>
      <c r="O195" s="196"/>
    </row>
    <row r="196" spans="3:15">
      <c r="C196" s="196"/>
      <c r="D196" s="196"/>
      <c r="E196" s="196"/>
      <c r="F196" s="196"/>
      <c r="G196" s="196"/>
      <c r="H196" s="196"/>
      <c r="I196" s="196"/>
      <c r="J196" s="196"/>
      <c r="K196" s="196"/>
      <c r="L196" s="196"/>
      <c r="M196" s="196"/>
      <c r="N196" s="196"/>
      <c r="O196" s="196"/>
    </row>
    <row r="197" spans="3:15">
      <c r="C197" s="196"/>
      <c r="D197" s="196"/>
      <c r="E197" s="196"/>
      <c r="F197" s="196"/>
      <c r="G197" s="196"/>
      <c r="H197" s="196"/>
      <c r="I197" s="196"/>
      <c r="J197" s="196"/>
      <c r="K197" s="196"/>
      <c r="L197" s="196"/>
      <c r="M197" s="196"/>
      <c r="N197" s="196"/>
      <c r="O197" s="196"/>
    </row>
    <row r="198" spans="3:15">
      <c r="C198" s="196"/>
      <c r="D198" s="196"/>
      <c r="E198" s="196"/>
      <c r="F198" s="196"/>
      <c r="G198" s="196"/>
      <c r="H198" s="196"/>
      <c r="I198" s="196"/>
      <c r="J198" s="196"/>
      <c r="K198" s="196"/>
      <c r="L198" s="196"/>
      <c r="M198" s="196"/>
      <c r="N198" s="196"/>
      <c r="O198" s="196"/>
    </row>
    <row r="199" spans="3:15">
      <c r="C199" s="196"/>
      <c r="D199" s="196"/>
      <c r="E199" s="196"/>
      <c r="F199" s="196"/>
      <c r="G199" s="196"/>
      <c r="H199" s="196"/>
      <c r="I199" s="196"/>
      <c r="J199" s="196"/>
      <c r="K199" s="196"/>
      <c r="L199" s="196"/>
      <c r="M199" s="196"/>
      <c r="N199" s="196"/>
      <c r="O199" s="196"/>
    </row>
    <row r="200" spans="3:15">
      <c r="C200" s="196"/>
      <c r="D200" s="196"/>
      <c r="E200" s="196"/>
      <c r="F200" s="196"/>
      <c r="G200" s="196"/>
      <c r="H200" s="196"/>
      <c r="I200" s="196"/>
      <c r="J200" s="196"/>
      <c r="K200" s="196"/>
      <c r="L200" s="196"/>
      <c r="M200" s="196"/>
      <c r="N200" s="196"/>
      <c r="O200" s="196"/>
    </row>
    <row r="201" spans="3:15">
      <c r="C201" s="196"/>
      <c r="D201" s="196"/>
      <c r="E201" s="196"/>
      <c r="F201" s="196"/>
      <c r="G201" s="196"/>
      <c r="H201" s="196"/>
      <c r="I201" s="196"/>
      <c r="J201" s="196"/>
      <c r="K201" s="196"/>
      <c r="L201" s="196"/>
      <c r="M201" s="196"/>
      <c r="N201" s="196"/>
      <c r="O201" s="196"/>
    </row>
    <row r="202" spans="3:15">
      <c r="C202" s="196"/>
      <c r="D202" s="196"/>
      <c r="E202" s="196"/>
      <c r="F202" s="196"/>
      <c r="G202" s="196"/>
      <c r="H202" s="196"/>
      <c r="I202" s="196"/>
      <c r="J202" s="196"/>
      <c r="K202" s="196"/>
      <c r="L202" s="196"/>
      <c r="M202" s="196"/>
      <c r="N202" s="196"/>
      <c r="O202" s="196"/>
    </row>
    <row r="203" spans="3:15">
      <c r="C203" s="196"/>
      <c r="D203" s="196"/>
      <c r="E203" s="196"/>
      <c r="F203" s="196"/>
      <c r="G203" s="196"/>
      <c r="H203" s="196"/>
      <c r="I203" s="196"/>
      <c r="J203" s="196"/>
      <c r="K203" s="196"/>
      <c r="L203" s="196"/>
      <c r="M203" s="196"/>
      <c r="N203" s="196"/>
      <c r="O203" s="196"/>
    </row>
    <row r="204" spans="3:15">
      <c r="C204" s="196"/>
      <c r="D204" s="196"/>
      <c r="E204" s="196"/>
      <c r="F204" s="196"/>
      <c r="G204" s="196"/>
      <c r="H204" s="196"/>
      <c r="I204" s="196"/>
      <c r="J204" s="196"/>
      <c r="K204" s="196"/>
      <c r="L204" s="196"/>
      <c r="M204" s="196"/>
      <c r="N204" s="196"/>
      <c r="O204" s="196"/>
    </row>
    <row r="205" spans="3:15">
      <c r="C205" s="196"/>
      <c r="D205" s="196"/>
      <c r="E205" s="196"/>
      <c r="F205" s="196"/>
      <c r="G205" s="196"/>
      <c r="H205" s="196"/>
      <c r="I205" s="196"/>
      <c r="J205" s="196"/>
      <c r="K205" s="196"/>
      <c r="L205" s="196"/>
      <c r="M205" s="196"/>
      <c r="N205" s="196"/>
      <c r="O205" s="196"/>
    </row>
    <row r="206" spans="3:15">
      <c r="C206" s="196"/>
      <c r="D206" s="196"/>
      <c r="E206" s="196"/>
      <c r="F206" s="196"/>
      <c r="G206" s="196"/>
      <c r="H206" s="196"/>
      <c r="I206" s="196"/>
      <c r="J206" s="196"/>
      <c r="K206" s="196"/>
      <c r="L206" s="196"/>
      <c r="M206" s="196"/>
      <c r="N206" s="196"/>
      <c r="O206" s="196"/>
    </row>
    <row r="207" spans="3:15">
      <c r="C207" s="196"/>
      <c r="D207" s="196"/>
      <c r="E207" s="196"/>
      <c r="F207" s="196"/>
      <c r="G207" s="196"/>
      <c r="H207" s="196"/>
      <c r="I207" s="196"/>
      <c r="J207" s="196"/>
      <c r="K207" s="196"/>
      <c r="L207" s="196"/>
      <c r="M207" s="196"/>
      <c r="N207" s="196"/>
      <c r="O207" s="196"/>
    </row>
    <row r="208" spans="3:15">
      <c r="C208" s="196"/>
      <c r="D208" s="196"/>
      <c r="E208" s="196"/>
      <c r="F208" s="196"/>
      <c r="G208" s="196"/>
      <c r="H208" s="196"/>
      <c r="I208" s="196"/>
      <c r="J208" s="196"/>
      <c r="K208" s="196"/>
      <c r="L208" s="196"/>
      <c r="M208" s="196"/>
      <c r="N208" s="196"/>
      <c r="O208" s="196"/>
    </row>
    <row r="209" spans="3:15">
      <c r="C209" s="196"/>
      <c r="D209" s="196"/>
      <c r="E209" s="196"/>
      <c r="F209" s="196"/>
      <c r="G209" s="196"/>
      <c r="H209" s="196"/>
      <c r="I209" s="196"/>
      <c r="J209" s="196"/>
      <c r="K209" s="196"/>
      <c r="L209" s="196"/>
      <c r="M209" s="196"/>
      <c r="N209" s="196"/>
      <c r="O209" s="196"/>
    </row>
    <row r="210" spans="3:15">
      <c r="C210" s="196"/>
      <c r="D210" s="196"/>
      <c r="E210" s="196"/>
      <c r="F210" s="196"/>
      <c r="G210" s="196"/>
      <c r="H210" s="196"/>
      <c r="I210" s="196"/>
      <c r="J210" s="196"/>
      <c r="K210" s="196"/>
      <c r="L210" s="196"/>
      <c r="M210" s="196"/>
      <c r="N210" s="196"/>
      <c r="O210" s="196"/>
    </row>
    <row r="211" spans="3:15">
      <c r="C211" s="196"/>
      <c r="D211" s="196"/>
      <c r="E211" s="196"/>
      <c r="F211" s="196"/>
      <c r="G211" s="196"/>
      <c r="H211" s="196"/>
      <c r="I211" s="196"/>
      <c r="J211" s="196"/>
      <c r="K211" s="196"/>
      <c r="L211" s="196"/>
      <c r="M211" s="196"/>
      <c r="N211" s="196"/>
      <c r="O211" s="196"/>
    </row>
    <row r="212" spans="3:15">
      <c r="C212" s="196"/>
      <c r="D212" s="196"/>
      <c r="E212" s="196"/>
      <c r="F212" s="196"/>
      <c r="G212" s="196"/>
      <c r="H212" s="196"/>
      <c r="I212" s="196"/>
      <c r="J212" s="196"/>
      <c r="K212" s="196"/>
      <c r="L212" s="196"/>
      <c r="M212" s="196"/>
      <c r="N212" s="196"/>
      <c r="O212" s="196"/>
    </row>
    <row r="213" spans="3:15">
      <c r="C213" s="196"/>
      <c r="D213" s="196"/>
      <c r="E213" s="196"/>
      <c r="F213" s="196"/>
      <c r="G213" s="196"/>
      <c r="H213" s="196"/>
      <c r="I213" s="196"/>
      <c r="J213" s="196"/>
      <c r="K213" s="196"/>
      <c r="L213" s="196"/>
      <c r="M213" s="196"/>
      <c r="N213" s="196"/>
      <c r="O213" s="196"/>
    </row>
    <row r="214" spans="3:15">
      <c r="C214" s="196"/>
      <c r="D214" s="196"/>
      <c r="E214" s="196"/>
      <c r="F214" s="196"/>
      <c r="G214" s="196"/>
      <c r="H214" s="196"/>
      <c r="I214" s="196"/>
      <c r="J214" s="196"/>
      <c r="K214" s="196"/>
      <c r="L214" s="196"/>
      <c r="M214" s="196"/>
      <c r="N214" s="196"/>
      <c r="O214" s="196"/>
    </row>
    <row r="215" spans="3:15">
      <c r="C215" s="196"/>
      <c r="D215" s="196"/>
      <c r="E215" s="196"/>
      <c r="F215" s="196"/>
      <c r="G215" s="196"/>
      <c r="H215" s="196"/>
      <c r="I215" s="196"/>
      <c r="J215" s="196"/>
      <c r="K215" s="196"/>
      <c r="L215" s="196"/>
      <c r="M215" s="196"/>
      <c r="N215" s="196"/>
      <c r="O215" s="196"/>
    </row>
    <row r="216" spans="3:15">
      <c r="C216" s="196"/>
      <c r="D216" s="196"/>
      <c r="E216" s="196"/>
      <c r="F216" s="196"/>
      <c r="G216" s="196"/>
      <c r="H216" s="196"/>
      <c r="I216" s="196"/>
      <c r="J216" s="196"/>
      <c r="K216" s="196"/>
      <c r="L216" s="196"/>
      <c r="M216" s="196"/>
      <c r="N216" s="196"/>
      <c r="O216" s="196"/>
    </row>
    <row r="217" spans="3:15">
      <c r="C217" s="196"/>
      <c r="D217" s="196"/>
      <c r="E217" s="196"/>
      <c r="F217" s="196"/>
      <c r="G217" s="196"/>
      <c r="H217" s="196"/>
      <c r="I217" s="196"/>
      <c r="J217" s="196"/>
      <c r="K217" s="196"/>
      <c r="L217" s="196"/>
      <c r="M217" s="196"/>
      <c r="N217" s="196"/>
      <c r="O217" s="196"/>
    </row>
    <row r="218" spans="3:15">
      <c r="C218" s="196"/>
      <c r="D218" s="196"/>
      <c r="E218" s="196"/>
      <c r="F218" s="196"/>
      <c r="G218" s="196"/>
      <c r="H218" s="196"/>
      <c r="I218" s="196"/>
      <c r="J218" s="196"/>
      <c r="K218" s="196"/>
      <c r="L218" s="196"/>
      <c r="M218" s="196"/>
      <c r="N218" s="196"/>
      <c r="O218" s="196"/>
    </row>
    <row r="219" spans="3:15">
      <c r="C219" s="196"/>
      <c r="D219" s="196"/>
      <c r="E219" s="196"/>
      <c r="F219" s="196"/>
      <c r="G219" s="196"/>
      <c r="H219" s="196"/>
      <c r="I219" s="196"/>
      <c r="J219" s="196"/>
      <c r="K219" s="196"/>
      <c r="L219" s="196"/>
      <c r="M219" s="196"/>
      <c r="N219" s="196"/>
      <c r="O219" s="196"/>
    </row>
    <row r="220" spans="3:15">
      <c r="C220" s="196"/>
      <c r="D220" s="196"/>
      <c r="E220" s="196"/>
      <c r="F220" s="196"/>
      <c r="G220" s="196"/>
      <c r="H220" s="196"/>
      <c r="I220" s="196"/>
      <c r="J220" s="196"/>
      <c r="K220" s="196"/>
      <c r="L220" s="196"/>
      <c r="M220" s="196"/>
      <c r="N220" s="196"/>
      <c r="O220" s="196"/>
    </row>
    <row r="221" spans="3:15">
      <c r="C221" s="196"/>
      <c r="D221" s="196"/>
      <c r="E221" s="196"/>
      <c r="F221" s="196"/>
      <c r="G221" s="196"/>
      <c r="H221" s="196"/>
      <c r="I221" s="196"/>
      <c r="J221" s="196"/>
      <c r="K221" s="196"/>
      <c r="L221" s="196"/>
      <c r="M221" s="196"/>
      <c r="N221" s="196"/>
      <c r="O221" s="196"/>
    </row>
    <row r="222" spans="3:15">
      <c r="C222" s="196"/>
      <c r="D222" s="196"/>
      <c r="E222" s="196"/>
      <c r="F222" s="196"/>
      <c r="G222" s="196"/>
      <c r="H222" s="196"/>
      <c r="I222" s="196"/>
      <c r="J222" s="196"/>
      <c r="K222" s="196"/>
      <c r="L222" s="196"/>
      <c r="M222" s="196"/>
      <c r="N222" s="196"/>
      <c r="O222" s="196"/>
    </row>
    <row r="223" spans="3:15">
      <c r="C223" s="196"/>
      <c r="D223" s="196"/>
      <c r="E223" s="196"/>
      <c r="F223" s="196"/>
      <c r="G223" s="196"/>
      <c r="H223" s="196"/>
      <c r="I223" s="196"/>
      <c r="J223" s="196"/>
      <c r="K223" s="196"/>
      <c r="L223" s="196"/>
      <c r="M223" s="196"/>
      <c r="N223" s="196"/>
      <c r="O223" s="196"/>
    </row>
    <row r="224" spans="3:15">
      <c r="C224" s="196"/>
      <c r="D224" s="196"/>
      <c r="E224" s="196"/>
      <c r="F224" s="196"/>
      <c r="G224" s="196"/>
      <c r="H224" s="196"/>
      <c r="I224" s="196"/>
      <c r="J224" s="196"/>
      <c r="K224" s="196"/>
      <c r="L224" s="196"/>
      <c r="M224" s="196"/>
      <c r="N224" s="196"/>
      <c r="O224" s="196"/>
    </row>
    <row r="225" spans="3:15">
      <c r="C225" s="196"/>
      <c r="D225" s="196"/>
      <c r="E225" s="196"/>
      <c r="F225" s="196"/>
      <c r="G225" s="196"/>
      <c r="H225" s="196"/>
      <c r="I225" s="196"/>
      <c r="J225" s="196"/>
      <c r="K225" s="196"/>
      <c r="L225" s="196"/>
      <c r="M225" s="196"/>
      <c r="N225" s="196"/>
      <c r="O225" s="196"/>
    </row>
    <row r="226" spans="3:15">
      <c r="C226" s="196"/>
      <c r="D226" s="196"/>
      <c r="E226" s="196"/>
      <c r="F226" s="196"/>
      <c r="G226" s="196"/>
      <c r="H226" s="196"/>
      <c r="I226" s="196"/>
      <c r="J226" s="196"/>
      <c r="K226" s="196"/>
      <c r="L226" s="196"/>
      <c r="M226" s="196"/>
      <c r="N226" s="196"/>
      <c r="O226" s="196"/>
    </row>
    <row r="227" spans="3:15">
      <c r="C227" s="196"/>
      <c r="D227" s="196"/>
      <c r="E227" s="196"/>
      <c r="F227" s="196"/>
      <c r="G227" s="196"/>
      <c r="H227" s="196"/>
      <c r="I227" s="196"/>
      <c r="J227" s="196"/>
      <c r="K227" s="196"/>
      <c r="L227" s="196"/>
      <c r="M227" s="196"/>
      <c r="N227" s="196"/>
      <c r="O227" s="196"/>
    </row>
    <row r="228" spans="3:15">
      <c r="C228" s="196"/>
      <c r="D228" s="196"/>
      <c r="E228" s="196"/>
      <c r="F228" s="196"/>
      <c r="G228" s="196"/>
      <c r="H228" s="196"/>
      <c r="I228" s="196"/>
      <c r="J228" s="196"/>
      <c r="K228" s="196"/>
      <c r="L228" s="196"/>
      <c r="M228" s="196"/>
      <c r="N228" s="196"/>
      <c r="O228" s="196"/>
    </row>
    <row r="229" spans="3:15">
      <c r="C229" s="196"/>
      <c r="D229" s="196"/>
      <c r="E229" s="196"/>
      <c r="F229" s="196"/>
      <c r="G229" s="196"/>
      <c r="H229" s="196"/>
      <c r="I229" s="196"/>
      <c r="J229" s="196"/>
      <c r="K229" s="196"/>
      <c r="L229" s="196"/>
      <c r="M229" s="196"/>
      <c r="N229" s="196"/>
      <c r="O229" s="196"/>
    </row>
    <row r="230" spans="3:15">
      <c r="C230" s="196"/>
      <c r="D230" s="196"/>
      <c r="E230" s="196"/>
      <c r="F230" s="196"/>
      <c r="G230" s="196"/>
      <c r="H230" s="196"/>
      <c r="I230" s="196"/>
      <c r="J230" s="196"/>
      <c r="K230" s="196"/>
      <c r="L230" s="196"/>
      <c r="M230" s="196"/>
      <c r="N230" s="196"/>
      <c r="O230" s="196"/>
    </row>
    <row r="231" spans="3:15">
      <c r="C231" s="196"/>
      <c r="D231" s="196"/>
      <c r="E231" s="196"/>
      <c r="F231" s="196"/>
      <c r="G231" s="196"/>
      <c r="H231" s="196"/>
      <c r="I231" s="196"/>
      <c r="J231" s="196"/>
      <c r="K231" s="196"/>
      <c r="L231" s="196"/>
      <c r="M231" s="196"/>
      <c r="N231" s="196"/>
      <c r="O231" s="196"/>
    </row>
    <row r="232" spans="3:15">
      <c r="C232" s="196"/>
      <c r="D232" s="196"/>
      <c r="E232" s="196"/>
      <c r="F232" s="196"/>
      <c r="G232" s="196"/>
      <c r="H232" s="196"/>
      <c r="I232" s="196"/>
      <c r="J232" s="196"/>
      <c r="K232" s="196"/>
      <c r="L232" s="196"/>
      <c r="M232" s="196"/>
      <c r="N232" s="196"/>
      <c r="O232" s="196"/>
    </row>
    <row r="233" spans="3:15">
      <c r="C233" s="196"/>
      <c r="D233" s="196"/>
      <c r="E233" s="196"/>
      <c r="F233" s="196"/>
      <c r="G233" s="196"/>
      <c r="H233" s="196"/>
      <c r="I233" s="196"/>
      <c r="J233" s="196"/>
      <c r="K233" s="196"/>
      <c r="L233" s="196"/>
      <c r="M233" s="196"/>
      <c r="N233" s="196"/>
      <c r="O233" s="196"/>
    </row>
    <row r="234" spans="3:15">
      <c r="C234" s="196"/>
      <c r="D234" s="196"/>
      <c r="E234" s="196"/>
      <c r="F234" s="196"/>
      <c r="G234" s="196"/>
      <c r="H234" s="196"/>
      <c r="I234" s="196"/>
      <c r="J234" s="196"/>
      <c r="K234" s="196"/>
      <c r="L234" s="196"/>
      <c r="M234" s="196"/>
      <c r="N234" s="196"/>
      <c r="O234" s="196"/>
    </row>
    <row r="235" spans="3:15">
      <c r="C235" s="196"/>
      <c r="D235" s="196"/>
      <c r="E235" s="196"/>
      <c r="F235" s="196"/>
      <c r="G235" s="196"/>
      <c r="H235" s="196"/>
      <c r="I235" s="196"/>
      <c r="J235" s="196"/>
      <c r="K235" s="196"/>
      <c r="L235" s="196"/>
      <c r="M235" s="196"/>
      <c r="N235" s="196"/>
      <c r="O235" s="196"/>
    </row>
    <row r="236" spans="3:15">
      <c r="C236" s="196"/>
      <c r="D236" s="196"/>
      <c r="E236" s="196"/>
      <c r="F236" s="196"/>
      <c r="G236" s="196"/>
      <c r="H236" s="196"/>
      <c r="I236" s="196"/>
      <c r="J236" s="196"/>
      <c r="K236" s="196"/>
      <c r="L236" s="196"/>
      <c r="M236" s="196"/>
      <c r="N236" s="196"/>
      <c r="O236" s="196"/>
    </row>
    <row r="237" spans="3:15">
      <c r="C237" s="196"/>
      <c r="D237" s="196"/>
      <c r="E237" s="196"/>
      <c r="F237" s="196"/>
      <c r="G237" s="196"/>
      <c r="H237" s="196"/>
      <c r="I237" s="196"/>
      <c r="J237" s="196"/>
      <c r="K237" s="196"/>
      <c r="L237" s="196"/>
      <c r="M237" s="196"/>
      <c r="N237" s="196"/>
      <c r="O237" s="196"/>
    </row>
    <row r="238" spans="3:15">
      <c r="C238" s="196"/>
      <c r="D238" s="196"/>
      <c r="E238" s="196"/>
      <c r="F238" s="196"/>
      <c r="G238" s="196"/>
      <c r="H238" s="196"/>
      <c r="I238" s="196"/>
      <c r="J238" s="196"/>
      <c r="K238" s="196"/>
      <c r="L238" s="196"/>
      <c r="M238" s="196"/>
      <c r="N238" s="196"/>
      <c r="O238" s="196"/>
    </row>
    <row r="239" spans="3:15">
      <c r="C239" s="196"/>
      <c r="D239" s="196"/>
      <c r="E239" s="196"/>
      <c r="F239" s="196"/>
      <c r="G239" s="196"/>
      <c r="H239" s="196"/>
      <c r="I239" s="196"/>
      <c r="J239" s="196"/>
      <c r="K239" s="196"/>
      <c r="L239" s="196"/>
      <c r="M239" s="196"/>
      <c r="N239" s="196"/>
      <c r="O239" s="196"/>
    </row>
    <row r="240" spans="3:15">
      <c r="C240" s="196"/>
      <c r="D240" s="196"/>
      <c r="E240" s="196"/>
      <c r="F240" s="196"/>
      <c r="G240" s="196"/>
      <c r="H240" s="196"/>
      <c r="I240" s="196"/>
      <c r="J240" s="196"/>
      <c r="K240" s="196"/>
      <c r="L240" s="196"/>
      <c r="M240" s="196"/>
      <c r="N240" s="196"/>
      <c r="O240" s="196"/>
    </row>
    <row r="241" spans="3:15">
      <c r="C241" s="196"/>
      <c r="D241" s="196"/>
      <c r="E241" s="196"/>
      <c r="F241" s="196"/>
      <c r="G241" s="196"/>
      <c r="H241" s="196"/>
      <c r="I241" s="196"/>
      <c r="J241" s="196"/>
      <c r="K241" s="196"/>
      <c r="L241" s="196"/>
      <c r="M241" s="196"/>
      <c r="N241" s="196"/>
      <c r="O241" s="196"/>
    </row>
    <row r="242" spans="3:15">
      <c r="C242" s="196"/>
      <c r="D242" s="196"/>
      <c r="E242" s="196"/>
      <c r="F242" s="196"/>
      <c r="G242" s="196"/>
      <c r="H242" s="196"/>
      <c r="I242" s="196"/>
      <c r="J242" s="196"/>
      <c r="K242" s="196"/>
      <c r="L242" s="196"/>
      <c r="M242" s="196"/>
      <c r="N242" s="196"/>
      <c r="O242" s="196"/>
    </row>
    <row r="243" spans="3:15">
      <c r="C243" s="196"/>
      <c r="D243" s="196"/>
      <c r="E243" s="196"/>
      <c r="F243" s="196"/>
      <c r="G243" s="196"/>
      <c r="H243" s="196"/>
      <c r="I243" s="196"/>
      <c r="J243" s="196"/>
      <c r="K243" s="196"/>
      <c r="L243" s="196"/>
      <c r="M243" s="196"/>
      <c r="N243" s="196"/>
      <c r="O243" s="196"/>
    </row>
    <row r="244" spans="3:15">
      <c r="C244" s="196"/>
      <c r="D244" s="196"/>
      <c r="E244" s="196"/>
      <c r="F244" s="196"/>
      <c r="G244" s="196"/>
      <c r="H244" s="196"/>
      <c r="I244" s="196"/>
      <c r="J244" s="196"/>
      <c r="K244" s="196"/>
      <c r="L244" s="196"/>
      <c r="M244" s="196"/>
      <c r="N244" s="196"/>
      <c r="O244" s="196"/>
    </row>
    <row r="245" spans="3:15">
      <c r="C245" s="196"/>
      <c r="D245" s="196"/>
      <c r="E245" s="196"/>
      <c r="F245" s="196"/>
      <c r="G245" s="196"/>
      <c r="H245" s="196"/>
      <c r="I245" s="196"/>
      <c r="J245" s="196"/>
      <c r="K245" s="196"/>
      <c r="L245" s="196"/>
      <c r="M245" s="196"/>
      <c r="N245" s="196"/>
      <c r="O245" s="196"/>
    </row>
    <row r="246" spans="3:15">
      <c r="C246" s="196"/>
      <c r="D246" s="196"/>
      <c r="E246" s="196"/>
      <c r="F246" s="196"/>
      <c r="G246" s="196"/>
      <c r="H246" s="196"/>
      <c r="I246" s="196"/>
      <c r="J246" s="196"/>
      <c r="K246" s="196"/>
      <c r="L246" s="196"/>
      <c r="M246" s="196"/>
      <c r="N246" s="196"/>
      <c r="O246" s="196"/>
    </row>
    <row r="247" spans="3:15">
      <c r="C247" s="196"/>
      <c r="D247" s="196"/>
      <c r="E247" s="196"/>
      <c r="F247" s="196"/>
      <c r="G247" s="196"/>
      <c r="H247" s="196"/>
      <c r="I247" s="196"/>
      <c r="J247" s="196"/>
      <c r="K247" s="196"/>
      <c r="L247" s="196"/>
      <c r="M247" s="196"/>
      <c r="N247" s="196"/>
      <c r="O247" s="196"/>
    </row>
    <row r="248" spans="3:15">
      <c r="C248" s="196"/>
      <c r="D248" s="196"/>
      <c r="E248" s="196"/>
      <c r="F248" s="196"/>
      <c r="G248" s="196"/>
      <c r="H248" s="196"/>
      <c r="I248" s="196"/>
      <c r="J248" s="196"/>
      <c r="K248" s="196"/>
      <c r="L248" s="196"/>
      <c r="M248" s="196"/>
      <c r="N248" s="196"/>
      <c r="O248" s="196"/>
    </row>
    <row r="249" spans="3:15">
      <c r="C249" s="196"/>
      <c r="D249" s="196"/>
      <c r="E249" s="196"/>
      <c r="F249" s="196"/>
      <c r="G249" s="196"/>
      <c r="H249" s="196"/>
      <c r="I249" s="196"/>
      <c r="J249" s="196"/>
      <c r="K249" s="196"/>
      <c r="L249" s="196"/>
      <c r="M249" s="196"/>
      <c r="N249" s="196"/>
      <c r="O249" s="196"/>
    </row>
    <row r="250" spans="3:15">
      <c r="C250" s="196"/>
      <c r="D250" s="196"/>
      <c r="E250" s="196"/>
      <c r="F250" s="196"/>
      <c r="G250" s="196"/>
      <c r="H250" s="196"/>
      <c r="I250" s="196"/>
      <c r="J250" s="196"/>
      <c r="K250" s="196"/>
      <c r="L250" s="196"/>
      <c r="M250" s="196"/>
      <c r="N250" s="196"/>
      <c r="O250" s="196"/>
    </row>
    <row r="251" spans="3:15">
      <c r="C251" s="196"/>
      <c r="D251" s="196"/>
      <c r="E251" s="196"/>
      <c r="F251" s="196"/>
      <c r="G251" s="196"/>
      <c r="H251" s="196"/>
      <c r="I251" s="196"/>
      <c r="J251" s="196"/>
      <c r="K251" s="196"/>
      <c r="L251" s="196"/>
      <c r="M251" s="196"/>
      <c r="N251" s="196"/>
      <c r="O251" s="196"/>
    </row>
    <row r="252" spans="3:15">
      <c r="C252" s="196"/>
      <c r="D252" s="196"/>
      <c r="E252" s="196"/>
      <c r="F252" s="196"/>
      <c r="G252" s="196"/>
      <c r="H252" s="196"/>
      <c r="I252" s="196"/>
      <c r="J252" s="196"/>
      <c r="K252" s="196"/>
      <c r="L252" s="196"/>
      <c r="M252" s="196"/>
      <c r="N252" s="196"/>
      <c r="O252" s="196"/>
    </row>
    <row r="253" spans="3:15">
      <c r="C253" s="196"/>
      <c r="D253" s="196"/>
      <c r="E253" s="196"/>
      <c r="F253" s="196"/>
      <c r="G253" s="196"/>
      <c r="H253" s="196"/>
      <c r="I253" s="196"/>
      <c r="J253" s="196"/>
      <c r="K253" s="196"/>
      <c r="L253" s="196"/>
      <c r="M253" s="196"/>
      <c r="N253" s="196"/>
      <c r="O253" s="196"/>
    </row>
    <row r="254" spans="3:15">
      <c r="C254" s="196"/>
      <c r="D254" s="196"/>
      <c r="E254" s="196"/>
      <c r="F254" s="196"/>
      <c r="G254" s="196"/>
      <c r="H254" s="196"/>
      <c r="I254" s="196"/>
      <c r="J254" s="196"/>
      <c r="K254" s="196"/>
      <c r="L254" s="196"/>
      <c r="M254" s="196"/>
      <c r="N254" s="196"/>
      <c r="O254" s="196"/>
    </row>
    <row r="255" spans="3:15">
      <c r="C255" s="196"/>
      <c r="D255" s="196"/>
      <c r="E255" s="196"/>
      <c r="F255" s="196"/>
      <c r="G255" s="196"/>
      <c r="H255" s="196"/>
      <c r="I255" s="196"/>
      <c r="J255" s="196"/>
      <c r="K255" s="196"/>
      <c r="L255" s="196"/>
      <c r="M255" s="196"/>
      <c r="N255" s="196"/>
      <c r="O255" s="196"/>
    </row>
    <row r="256" spans="3:15">
      <c r="C256" s="196"/>
      <c r="D256" s="196"/>
      <c r="E256" s="196"/>
      <c r="F256" s="196"/>
      <c r="G256" s="196"/>
      <c r="H256" s="196"/>
      <c r="I256" s="196"/>
      <c r="J256" s="196"/>
      <c r="K256" s="196"/>
      <c r="L256" s="196"/>
      <c r="M256" s="196"/>
      <c r="N256" s="196"/>
      <c r="O256" s="196"/>
    </row>
    <row r="257" spans="3:15">
      <c r="C257" s="196"/>
      <c r="D257" s="196"/>
      <c r="E257" s="196"/>
      <c r="F257" s="196"/>
      <c r="G257" s="196"/>
      <c r="H257" s="196"/>
      <c r="I257" s="196"/>
      <c r="J257" s="196"/>
      <c r="K257" s="196"/>
      <c r="L257" s="196"/>
      <c r="M257" s="196"/>
      <c r="N257" s="196"/>
      <c r="O257" s="196"/>
    </row>
    <row r="258" spans="3:15">
      <c r="C258" s="196"/>
      <c r="D258" s="196"/>
      <c r="E258" s="196"/>
      <c r="F258" s="196"/>
      <c r="G258" s="196"/>
      <c r="H258" s="196"/>
      <c r="I258" s="196"/>
      <c r="J258" s="196"/>
      <c r="K258" s="196"/>
      <c r="L258" s="196"/>
      <c r="M258" s="196"/>
      <c r="N258" s="196"/>
      <c r="O258" s="196"/>
    </row>
    <row r="259" spans="3:15">
      <c r="C259" s="196"/>
      <c r="D259" s="196"/>
      <c r="E259" s="196"/>
      <c r="F259" s="196"/>
      <c r="G259" s="196"/>
      <c r="H259" s="196"/>
      <c r="I259" s="196"/>
      <c r="J259" s="196"/>
      <c r="K259" s="196"/>
      <c r="L259" s="196"/>
      <c r="M259" s="196"/>
      <c r="N259" s="196"/>
      <c r="O259" s="196"/>
    </row>
    <row r="260" spans="3:15">
      <c r="C260" s="196"/>
      <c r="D260" s="196"/>
      <c r="E260" s="196"/>
      <c r="F260" s="196"/>
      <c r="G260" s="196"/>
      <c r="H260" s="196"/>
      <c r="I260" s="196"/>
      <c r="J260" s="196"/>
      <c r="K260" s="196"/>
      <c r="L260" s="196"/>
      <c r="M260" s="196"/>
      <c r="N260" s="196"/>
      <c r="O260" s="196"/>
    </row>
    <row r="261" spans="3:15">
      <c r="C261" s="196"/>
      <c r="D261" s="196"/>
      <c r="E261" s="196"/>
      <c r="F261" s="196"/>
      <c r="G261" s="196"/>
      <c r="H261" s="196"/>
      <c r="I261" s="196"/>
      <c r="J261" s="196"/>
      <c r="K261" s="196"/>
      <c r="L261" s="196"/>
      <c r="M261" s="196"/>
      <c r="N261" s="196"/>
      <c r="O261" s="196"/>
    </row>
    <row r="262" spans="3:15">
      <c r="C262" s="196"/>
      <c r="D262" s="196"/>
      <c r="E262" s="196"/>
      <c r="F262" s="196"/>
      <c r="G262" s="196"/>
      <c r="H262" s="196"/>
      <c r="I262" s="196"/>
      <c r="J262" s="196"/>
      <c r="K262" s="196"/>
      <c r="L262" s="196"/>
      <c r="M262" s="196"/>
      <c r="N262" s="196"/>
      <c r="O262" s="196"/>
    </row>
    <row r="263" spans="3:15">
      <c r="C263" s="196"/>
      <c r="D263" s="196"/>
      <c r="E263" s="196"/>
      <c r="F263" s="196"/>
      <c r="G263" s="196"/>
      <c r="H263" s="196"/>
      <c r="I263" s="196"/>
      <c r="J263" s="196"/>
      <c r="K263" s="196"/>
      <c r="L263" s="196"/>
      <c r="M263" s="196"/>
      <c r="N263" s="196"/>
      <c r="O263" s="196"/>
    </row>
    <row r="264" spans="3:15">
      <c r="C264" s="196"/>
      <c r="D264" s="196"/>
      <c r="E264" s="196"/>
      <c r="F264" s="196"/>
      <c r="G264" s="196"/>
      <c r="H264" s="196"/>
      <c r="I264" s="196"/>
      <c r="J264" s="196"/>
      <c r="K264" s="196"/>
      <c r="L264" s="196"/>
      <c r="M264" s="196"/>
      <c r="N264" s="196"/>
      <c r="O264" s="196"/>
    </row>
    <row r="265" spans="3:15">
      <c r="C265" s="196"/>
      <c r="D265" s="196"/>
      <c r="E265" s="196"/>
      <c r="F265" s="196"/>
      <c r="G265" s="196"/>
      <c r="H265" s="196"/>
      <c r="I265" s="196"/>
      <c r="J265" s="196"/>
      <c r="K265" s="196"/>
      <c r="L265" s="196"/>
      <c r="M265" s="196"/>
      <c r="N265" s="196"/>
      <c r="O265" s="196"/>
    </row>
    <row r="266" spans="3:15">
      <c r="C266" s="196"/>
      <c r="D266" s="196"/>
      <c r="E266" s="196"/>
      <c r="F266" s="196"/>
      <c r="G266" s="196"/>
      <c r="H266" s="196"/>
      <c r="I266" s="196"/>
      <c r="J266" s="196"/>
      <c r="K266" s="196"/>
      <c r="L266" s="196"/>
      <c r="M266" s="196"/>
      <c r="N266" s="196"/>
      <c r="O266" s="196"/>
    </row>
    <row r="267" spans="3:15">
      <c r="C267" s="196"/>
      <c r="D267" s="196"/>
      <c r="E267" s="196"/>
      <c r="F267" s="196"/>
      <c r="G267" s="196"/>
      <c r="H267" s="196"/>
      <c r="I267" s="196"/>
      <c r="J267" s="196"/>
      <c r="K267" s="196"/>
      <c r="L267" s="196"/>
      <c r="M267" s="196"/>
      <c r="N267" s="196"/>
      <c r="O267" s="196"/>
    </row>
    <row r="268" spans="3:15">
      <c r="C268" s="196"/>
      <c r="D268" s="196"/>
      <c r="E268" s="196"/>
      <c r="F268" s="196"/>
      <c r="G268" s="196"/>
      <c r="H268" s="196"/>
      <c r="I268" s="196"/>
      <c r="J268" s="196"/>
      <c r="K268" s="196"/>
      <c r="L268" s="196"/>
      <c r="M268" s="196"/>
      <c r="N268" s="196"/>
      <c r="O268" s="196"/>
    </row>
    <row r="269" spans="3:15">
      <c r="C269" s="196"/>
      <c r="D269" s="196"/>
      <c r="E269" s="196"/>
      <c r="F269" s="196"/>
      <c r="G269" s="196"/>
      <c r="H269" s="196"/>
      <c r="I269" s="196"/>
      <c r="J269" s="196"/>
      <c r="K269" s="196"/>
      <c r="L269" s="196"/>
      <c r="M269" s="196"/>
      <c r="N269" s="196"/>
      <c r="O269" s="196"/>
    </row>
    <row r="270" spans="3:15">
      <c r="C270" s="196"/>
      <c r="D270" s="196"/>
      <c r="E270" s="196"/>
      <c r="F270" s="196"/>
      <c r="G270" s="196"/>
      <c r="H270" s="196"/>
      <c r="I270" s="196"/>
      <c r="J270" s="196"/>
      <c r="K270" s="196"/>
      <c r="L270" s="196"/>
      <c r="M270" s="196"/>
      <c r="N270" s="196"/>
      <c r="O270" s="196"/>
    </row>
    <row r="271" spans="3:15">
      <c r="C271" s="196"/>
      <c r="D271" s="196"/>
      <c r="E271" s="196"/>
      <c r="F271" s="196"/>
      <c r="G271" s="196"/>
      <c r="H271" s="196"/>
      <c r="I271" s="196"/>
      <c r="J271" s="196"/>
      <c r="K271" s="196"/>
      <c r="L271" s="196"/>
      <c r="M271" s="196"/>
      <c r="N271" s="196"/>
      <c r="O271" s="196"/>
    </row>
    <row r="272" spans="3:15">
      <c r="C272" s="196"/>
      <c r="D272" s="196"/>
      <c r="E272" s="196"/>
      <c r="F272" s="196"/>
      <c r="G272" s="196"/>
      <c r="H272" s="196"/>
      <c r="I272" s="196"/>
      <c r="J272" s="196"/>
      <c r="K272" s="196"/>
      <c r="L272" s="196"/>
      <c r="M272" s="196"/>
      <c r="N272" s="196"/>
      <c r="O272" s="196"/>
    </row>
    <row r="273" spans="3:15">
      <c r="C273" s="196"/>
      <c r="D273" s="196"/>
      <c r="E273" s="196"/>
      <c r="F273" s="196"/>
      <c r="G273" s="196"/>
      <c r="H273" s="196"/>
      <c r="I273" s="196"/>
      <c r="J273" s="196"/>
      <c r="K273" s="196"/>
      <c r="L273" s="196"/>
      <c r="M273" s="196"/>
      <c r="N273" s="196"/>
      <c r="O273" s="196"/>
    </row>
    <row r="274" spans="3:15">
      <c r="C274" s="196"/>
      <c r="D274" s="196"/>
      <c r="E274" s="196"/>
      <c r="F274" s="196"/>
      <c r="G274" s="196"/>
      <c r="H274" s="196"/>
      <c r="I274" s="196"/>
      <c r="J274" s="196"/>
      <c r="K274" s="196"/>
      <c r="L274" s="196"/>
      <c r="M274" s="196"/>
      <c r="N274" s="196"/>
      <c r="O274" s="196"/>
    </row>
    <row r="275" spans="3:15">
      <c r="C275" s="196"/>
      <c r="D275" s="196"/>
      <c r="E275" s="196"/>
      <c r="F275" s="196"/>
      <c r="G275" s="196"/>
      <c r="H275" s="196"/>
      <c r="I275" s="196"/>
      <c r="J275" s="196"/>
      <c r="K275" s="196"/>
      <c r="L275" s="196"/>
      <c r="M275" s="196"/>
      <c r="N275" s="196"/>
      <c r="O275" s="196"/>
    </row>
    <row r="276" spans="3:15">
      <c r="C276" s="196"/>
      <c r="D276" s="196"/>
      <c r="E276" s="196"/>
      <c r="F276" s="196"/>
      <c r="G276" s="196"/>
      <c r="H276" s="196"/>
      <c r="I276" s="196"/>
      <c r="J276" s="196"/>
      <c r="K276" s="196"/>
      <c r="L276" s="196"/>
      <c r="M276" s="196"/>
      <c r="N276" s="196"/>
      <c r="O276" s="196"/>
    </row>
    <row r="277" spans="3:15">
      <c r="C277" s="196"/>
      <c r="D277" s="196"/>
      <c r="E277" s="196"/>
      <c r="F277" s="196"/>
      <c r="G277" s="196"/>
      <c r="H277" s="196"/>
      <c r="I277" s="196"/>
      <c r="J277" s="196"/>
      <c r="K277" s="196"/>
      <c r="L277" s="196"/>
      <c r="M277" s="196"/>
      <c r="N277" s="196"/>
      <c r="O277" s="196"/>
    </row>
    <row r="278" spans="3:15">
      <c r="C278" s="196"/>
      <c r="D278" s="196"/>
      <c r="E278" s="196"/>
      <c r="F278" s="196"/>
      <c r="G278" s="196"/>
      <c r="H278" s="196"/>
      <c r="I278" s="196"/>
      <c r="J278" s="196"/>
      <c r="K278" s="196"/>
      <c r="L278" s="196"/>
      <c r="M278" s="196"/>
      <c r="N278" s="196"/>
      <c r="O278" s="196"/>
    </row>
    <row r="279" spans="3:15">
      <c r="C279" s="196"/>
      <c r="D279" s="196"/>
      <c r="E279" s="196"/>
      <c r="F279" s="196"/>
      <c r="G279" s="196"/>
      <c r="H279" s="196"/>
      <c r="I279" s="196"/>
      <c r="J279" s="196"/>
      <c r="K279" s="196"/>
      <c r="L279" s="196"/>
      <c r="M279" s="196"/>
      <c r="N279" s="196"/>
      <c r="O279" s="196"/>
    </row>
    <row r="280" spans="3:15">
      <c r="C280" s="196"/>
      <c r="D280" s="196"/>
      <c r="E280" s="196"/>
      <c r="F280" s="196"/>
      <c r="G280" s="196"/>
      <c r="H280" s="196"/>
      <c r="I280" s="196"/>
      <c r="J280" s="196"/>
      <c r="K280" s="196"/>
      <c r="L280" s="196"/>
      <c r="M280" s="196"/>
      <c r="N280" s="196"/>
      <c r="O280" s="196"/>
    </row>
    <row r="281" spans="3:15">
      <c r="C281" s="196"/>
      <c r="D281" s="196"/>
      <c r="E281" s="196"/>
      <c r="F281" s="196"/>
      <c r="G281" s="196"/>
      <c r="H281" s="196"/>
      <c r="I281" s="196"/>
      <c r="J281" s="196"/>
      <c r="K281" s="196"/>
      <c r="L281" s="196"/>
      <c r="M281" s="196"/>
      <c r="N281" s="196"/>
      <c r="O281" s="196"/>
    </row>
    <row r="282" spans="3:15">
      <c r="C282" s="196"/>
      <c r="D282" s="196"/>
      <c r="E282" s="196"/>
      <c r="F282" s="196"/>
      <c r="G282" s="196"/>
      <c r="H282" s="196"/>
      <c r="I282" s="196"/>
      <c r="J282" s="196"/>
      <c r="K282" s="196"/>
      <c r="L282" s="196"/>
      <c r="M282" s="196"/>
      <c r="N282" s="196"/>
      <c r="O282" s="196"/>
    </row>
    <row r="283" spans="3:15">
      <c r="C283" s="196"/>
      <c r="D283" s="196"/>
      <c r="E283" s="196"/>
      <c r="F283" s="196"/>
      <c r="G283" s="196"/>
      <c r="H283" s="196"/>
      <c r="I283" s="196"/>
      <c r="J283" s="196"/>
      <c r="K283" s="196"/>
      <c r="L283" s="196"/>
      <c r="M283" s="196"/>
      <c r="N283" s="196"/>
      <c r="O283" s="196"/>
    </row>
    <row r="284" spans="3:15">
      <c r="C284" s="196"/>
      <c r="D284" s="196"/>
      <c r="E284" s="196"/>
      <c r="F284" s="196"/>
      <c r="G284" s="196"/>
      <c r="H284" s="196"/>
      <c r="I284" s="196"/>
      <c r="J284" s="196"/>
      <c r="K284" s="196"/>
      <c r="L284" s="196"/>
      <c r="M284" s="196"/>
      <c r="N284" s="196"/>
      <c r="O284" s="196"/>
    </row>
    <row r="285" spans="3:15">
      <c r="C285" s="196"/>
      <c r="D285" s="196"/>
      <c r="E285" s="196"/>
      <c r="F285" s="196"/>
      <c r="G285" s="196"/>
      <c r="H285" s="196"/>
      <c r="I285" s="196"/>
      <c r="J285" s="196"/>
      <c r="K285" s="196"/>
      <c r="L285" s="196"/>
      <c r="M285" s="196"/>
      <c r="N285" s="196"/>
      <c r="O285" s="196"/>
    </row>
    <row r="286" spans="3:15">
      <c r="C286" s="196"/>
      <c r="D286" s="196"/>
      <c r="E286" s="196"/>
      <c r="F286" s="196"/>
      <c r="G286" s="196"/>
      <c r="H286" s="196"/>
      <c r="I286" s="196"/>
      <c r="J286" s="196"/>
      <c r="K286" s="196"/>
      <c r="L286" s="196"/>
      <c r="M286" s="196"/>
      <c r="N286" s="196"/>
      <c r="O286" s="196"/>
    </row>
    <row r="287" spans="3:15">
      <c r="C287" s="196"/>
      <c r="D287" s="196"/>
      <c r="E287" s="196"/>
      <c r="F287" s="196"/>
      <c r="G287" s="196"/>
      <c r="H287" s="196"/>
      <c r="I287" s="196"/>
      <c r="J287" s="196"/>
      <c r="K287" s="196"/>
      <c r="L287" s="196"/>
      <c r="M287" s="196"/>
      <c r="N287" s="196"/>
      <c r="O287" s="196"/>
    </row>
    <row r="288" spans="3:15">
      <c r="C288" s="196"/>
      <c r="D288" s="196"/>
      <c r="E288" s="196"/>
      <c r="F288" s="196"/>
      <c r="G288" s="196"/>
      <c r="H288" s="196"/>
      <c r="I288" s="196"/>
      <c r="J288" s="196"/>
      <c r="K288" s="196"/>
      <c r="L288" s="196"/>
      <c r="M288" s="196"/>
      <c r="N288" s="196"/>
      <c r="O288" s="196"/>
    </row>
    <row r="289" spans="3:15">
      <c r="C289" s="196"/>
      <c r="D289" s="196"/>
      <c r="E289" s="196"/>
      <c r="F289" s="196"/>
      <c r="G289" s="196"/>
      <c r="H289" s="196"/>
      <c r="I289" s="196"/>
      <c r="J289" s="196"/>
      <c r="K289" s="196"/>
      <c r="L289" s="196"/>
      <c r="M289" s="196"/>
      <c r="N289" s="196"/>
      <c r="O289" s="196"/>
    </row>
    <row r="290" spans="3:15">
      <c r="C290" s="196"/>
      <c r="D290" s="196"/>
      <c r="E290" s="196"/>
      <c r="F290" s="196"/>
      <c r="G290" s="196"/>
      <c r="H290" s="196"/>
      <c r="I290" s="196"/>
      <c r="J290" s="196"/>
      <c r="K290" s="196"/>
      <c r="L290" s="196"/>
      <c r="M290" s="196"/>
      <c r="N290" s="196"/>
      <c r="O290" s="196"/>
    </row>
    <row r="291" spans="3:15">
      <c r="C291" s="196"/>
      <c r="D291" s="196"/>
      <c r="E291" s="196"/>
      <c r="F291" s="196"/>
      <c r="G291" s="196"/>
      <c r="H291" s="196"/>
      <c r="I291" s="196"/>
      <c r="J291" s="196"/>
    </row>
    <row r="292" spans="3:15">
      <c r="C292" s="196"/>
      <c r="D292" s="196"/>
      <c r="E292" s="196"/>
      <c r="F292" s="196"/>
      <c r="G292" s="196"/>
      <c r="H292" s="196"/>
      <c r="I292" s="196"/>
      <c r="J292" s="196"/>
    </row>
    <row r="293" spans="3:15">
      <c r="C293" s="196"/>
      <c r="D293" s="196"/>
      <c r="E293" s="196"/>
      <c r="F293" s="196"/>
      <c r="G293" s="196"/>
      <c r="H293" s="196"/>
      <c r="I293" s="196"/>
      <c r="J293" s="196"/>
    </row>
    <row r="294" spans="3:15">
      <c r="C294" s="196"/>
      <c r="D294" s="196"/>
      <c r="E294" s="196"/>
      <c r="F294" s="196"/>
      <c r="G294" s="196"/>
      <c r="H294" s="196"/>
      <c r="I294" s="196"/>
      <c r="J294" s="196"/>
    </row>
    <row r="295" spans="3:15">
      <c r="C295" s="196"/>
      <c r="D295" s="196"/>
      <c r="E295" s="196"/>
      <c r="F295" s="196"/>
      <c r="G295" s="196"/>
      <c r="H295" s="196"/>
      <c r="I295" s="196"/>
      <c r="J295" s="196"/>
    </row>
    <row r="296" spans="3:15">
      <c r="C296" s="196"/>
      <c r="D296" s="196"/>
      <c r="E296" s="196"/>
      <c r="F296" s="196"/>
      <c r="G296" s="196"/>
      <c r="H296" s="196"/>
      <c r="I296" s="196"/>
      <c r="J296" s="196"/>
    </row>
    <row r="297" spans="3:15">
      <c r="C297" s="196"/>
      <c r="D297" s="196"/>
      <c r="E297" s="196"/>
      <c r="F297" s="196"/>
      <c r="G297" s="196"/>
      <c r="H297" s="196"/>
      <c r="I297" s="196"/>
      <c r="J297" s="196"/>
    </row>
    <row r="298" spans="3:15">
      <c r="C298" s="196"/>
      <c r="D298" s="196"/>
      <c r="E298" s="196"/>
      <c r="F298" s="196"/>
      <c r="G298" s="196"/>
      <c r="H298" s="196"/>
      <c r="I298" s="196"/>
      <c r="J298" s="196"/>
    </row>
  </sheetData>
  <mergeCells count="8">
    <mergeCell ref="M100:X100"/>
    <mergeCell ref="M99:X99"/>
    <mergeCell ref="M93:X93"/>
    <mergeCell ref="M94:X94"/>
    <mergeCell ref="M95:X95"/>
    <mergeCell ref="M96:X96"/>
    <mergeCell ref="M97:X97"/>
    <mergeCell ref="M98:X98"/>
  </mergeCells>
  <printOptions horizontalCentered="1"/>
  <pageMargins left="0.75" right="0.75" top="0.75" bottom="0.5" header="0.5" footer="0.5"/>
  <pageSetup scale="56" orientation="landscape" horizontalDpi="300" verticalDpi="300" r:id="rId1"/>
  <headerFooter alignWithMargins="0"/>
  <rowBreaks count="1" manualBreakCount="1">
    <brk id="48" min="10" max="2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>
    <tabColor rgb="FF00B050"/>
    <pageSetUpPr fitToPage="1"/>
  </sheetPr>
  <dimension ref="A1:G136"/>
  <sheetViews>
    <sheetView workbookViewId="0"/>
  </sheetViews>
  <sheetFormatPr defaultColWidth="8.77734375" defaultRowHeight="12.75"/>
  <cols>
    <col min="1" max="1" width="8.77734375" style="523"/>
    <col min="2" max="2" width="0.88671875" style="523" customWidth="1"/>
    <col min="3" max="3" width="8.77734375" style="523"/>
    <col min="4" max="4" width="1.5546875" style="523" customWidth="1"/>
    <col min="5" max="5" width="46.109375" style="523" customWidth="1"/>
    <col min="6" max="6" width="6" style="523" customWidth="1"/>
    <col min="7" max="7" width="9.6640625" style="533" customWidth="1"/>
    <col min="8" max="16384" width="8.77734375" style="523"/>
  </cols>
  <sheetData>
    <row r="1" spans="1:7">
      <c r="A1" s="521" t="s">
        <v>575</v>
      </c>
      <c r="B1" s="521"/>
      <c r="C1" s="521"/>
      <c r="D1" s="521"/>
      <c r="E1" s="521"/>
      <c r="F1" s="521"/>
      <c r="G1" s="522"/>
    </row>
    <row r="2" spans="1:7">
      <c r="A2" s="521" t="s">
        <v>576</v>
      </c>
      <c r="B2" s="521"/>
      <c r="C2" s="521"/>
      <c r="D2" s="521"/>
      <c r="E2" s="521"/>
      <c r="F2" s="521"/>
      <c r="G2" s="522"/>
    </row>
    <row r="5" spans="1:7">
      <c r="A5" s="524" t="s">
        <v>577</v>
      </c>
      <c r="B5" s="524"/>
      <c r="C5" s="524" t="s">
        <v>578</v>
      </c>
      <c r="D5" s="524"/>
      <c r="E5" s="524"/>
      <c r="F5" s="524"/>
      <c r="G5" s="525" t="s">
        <v>315</v>
      </c>
    </row>
    <row r="6" spans="1:7">
      <c r="A6" s="524" t="s">
        <v>579</v>
      </c>
      <c r="B6" s="524"/>
      <c r="C6" s="524" t="s">
        <v>579</v>
      </c>
      <c r="D6" s="524"/>
      <c r="E6" s="524"/>
      <c r="F6" s="524"/>
      <c r="G6" s="525" t="s">
        <v>580</v>
      </c>
    </row>
    <row r="7" spans="1:7">
      <c r="A7" s="526" t="s">
        <v>581</v>
      </c>
      <c r="B7" s="526"/>
      <c r="C7" s="526" t="s">
        <v>581</v>
      </c>
      <c r="D7" s="526"/>
      <c r="E7" s="526" t="s">
        <v>582</v>
      </c>
      <c r="F7" s="526"/>
      <c r="G7" s="527" t="s">
        <v>583</v>
      </c>
    </row>
    <row r="8" spans="1:7">
      <c r="A8" s="528" t="s">
        <v>524</v>
      </c>
      <c r="B8" s="524"/>
      <c r="C8" s="528" t="s">
        <v>525</v>
      </c>
      <c r="D8" s="524"/>
      <c r="E8" s="524" t="s">
        <v>526</v>
      </c>
      <c r="F8" s="524"/>
      <c r="G8" s="529" t="s">
        <v>584</v>
      </c>
    </row>
    <row r="9" spans="1:7">
      <c r="A9" s="528"/>
      <c r="B9" s="524"/>
      <c r="C9" s="528"/>
      <c r="D9" s="524"/>
      <c r="E9" s="524"/>
      <c r="F9" s="524"/>
      <c r="G9" s="525" t="s">
        <v>102</v>
      </c>
    </row>
    <row r="10" spans="1:7">
      <c r="A10" s="530" t="s">
        <v>585</v>
      </c>
      <c r="B10" s="530"/>
      <c r="C10" s="521"/>
      <c r="D10" s="521"/>
      <c r="E10" s="521"/>
      <c r="F10" s="521"/>
      <c r="G10" s="522"/>
    </row>
    <row r="11" spans="1:7">
      <c r="G11" s="531"/>
    </row>
    <row r="12" spans="1:7">
      <c r="A12" s="524">
        <v>350</v>
      </c>
      <c r="B12" s="524"/>
      <c r="C12" s="524">
        <v>3403</v>
      </c>
      <c r="E12" s="523" t="s">
        <v>586</v>
      </c>
      <c r="G12" s="531">
        <v>1.54</v>
      </c>
    </row>
    <row r="13" spans="1:7">
      <c r="A13" s="524">
        <v>352</v>
      </c>
      <c r="B13" s="524"/>
      <c r="C13" s="524">
        <v>3420</v>
      </c>
      <c r="E13" s="523" t="s">
        <v>587</v>
      </c>
      <c r="G13" s="531">
        <v>1.9</v>
      </c>
    </row>
    <row r="14" spans="1:7">
      <c r="A14" s="524">
        <v>352</v>
      </c>
      <c r="B14" s="524"/>
      <c r="C14" s="524">
        <v>3424</v>
      </c>
      <c r="E14" s="523" t="s">
        <v>588</v>
      </c>
      <c r="G14" s="531">
        <v>1.9</v>
      </c>
    </row>
    <row r="15" spans="1:7">
      <c r="A15" s="524">
        <v>353</v>
      </c>
      <c r="B15" s="524"/>
      <c r="C15" s="524">
        <v>3430</v>
      </c>
      <c r="E15" s="523" t="s">
        <v>589</v>
      </c>
      <c r="G15" s="531">
        <v>1.44</v>
      </c>
    </row>
    <row r="16" spans="1:7">
      <c r="A16" s="524">
        <v>353</v>
      </c>
      <c r="B16" s="524"/>
      <c r="C16" s="524">
        <v>3434</v>
      </c>
      <c r="E16" s="523" t="s">
        <v>590</v>
      </c>
      <c r="G16" s="531">
        <v>1.44</v>
      </c>
    </row>
    <row r="17" spans="1:7">
      <c r="A17" s="524">
        <v>354</v>
      </c>
      <c r="B17" s="524"/>
      <c r="C17" s="524">
        <v>3440</v>
      </c>
      <c r="E17" s="523" t="s">
        <v>591</v>
      </c>
      <c r="G17" s="531">
        <v>1.85</v>
      </c>
    </row>
    <row r="18" spans="1:7">
      <c r="A18" s="524">
        <v>354</v>
      </c>
      <c r="B18" s="524"/>
      <c r="C18" s="524">
        <v>3444</v>
      </c>
      <c r="E18" s="523" t="s">
        <v>592</v>
      </c>
      <c r="G18" s="531">
        <v>1.85</v>
      </c>
    </row>
    <row r="19" spans="1:7">
      <c r="A19" s="524">
        <v>355</v>
      </c>
      <c r="B19" s="524"/>
      <c r="C19" s="524">
        <v>3450</v>
      </c>
      <c r="E19" s="523" t="s">
        <v>593</v>
      </c>
      <c r="G19" s="531">
        <v>2.31</v>
      </c>
    </row>
    <row r="20" spans="1:7">
      <c r="A20" s="524">
        <v>355</v>
      </c>
      <c r="B20" s="524"/>
      <c r="C20" s="524">
        <v>3454</v>
      </c>
      <c r="E20" s="523" t="s">
        <v>594</v>
      </c>
      <c r="G20" s="531">
        <v>2.31</v>
      </c>
    </row>
    <row r="21" spans="1:7">
      <c r="A21" s="524">
        <v>356</v>
      </c>
      <c r="B21" s="524"/>
      <c r="C21" s="524">
        <v>3460</v>
      </c>
      <c r="E21" s="523" t="s">
        <v>595</v>
      </c>
      <c r="G21" s="531">
        <v>1.91</v>
      </c>
    </row>
    <row r="22" spans="1:7">
      <c r="A22" s="524">
        <v>356</v>
      </c>
      <c r="B22" s="524"/>
      <c r="C22" s="524">
        <v>3464</v>
      </c>
      <c r="E22" s="523" t="s">
        <v>596</v>
      </c>
      <c r="G22" s="531">
        <v>1.91</v>
      </c>
    </row>
    <row r="23" spans="1:7">
      <c r="A23" s="524">
        <v>357</v>
      </c>
      <c r="B23" s="524"/>
      <c r="C23" s="524">
        <v>3470</v>
      </c>
      <c r="E23" s="523" t="s">
        <v>597</v>
      </c>
      <c r="G23" s="531">
        <v>1.43</v>
      </c>
    </row>
    <row r="24" spans="1:7">
      <c r="A24" s="524">
        <v>358</v>
      </c>
      <c r="B24" s="524"/>
      <c r="C24" s="524">
        <v>3480</v>
      </c>
      <c r="E24" s="523" t="s">
        <v>598</v>
      </c>
      <c r="G24" s="531">
        <v>2.37</v>
      </c>
    </row>
    <row r="25" spans="1:7">
      <c r="A25" s="524"/>
      <c r="B25" s="524"/>
      <c r="C25" s="524"/>
      <c r="G25" s="531"/>
    </row>
    <row r="26" spans="1:7">
      <c r="A26" s="530" t="s">
        <v>599</v>
      </c>
      <c r="B26" s="521"/>
      <c r="C26" s="521"/>
      <c r="D26" s="521"/>
      <c r="E26" s="521"/>
      <c r="F26" s="521"/>
      <c r="G26" s="532"/>
    </row>
    <row r="27" spans="1:7">
      <c r="A27" s="524"/>
      <c r="B27" s="524"/>
      <c r="C27" s="524"/>
      <c r="G27" s="531"/>
    </row>
    <row r="28" spans="1:7">
      <c r="A28" s="524">
        <v>352</v>
      </c>
      <c r="B28" s="524"/>
      <c r="C28" s="524">
        <v>3421</v>
      </c>
      <c r="E28" s="523" t="s">
        <v>600</v>
      </c>
      <c r="G28" s="531">
        <v>2.5</v>
      </c>
    </row>
    <row r="29" spans="1:7">
      <c r="A29" s="524">
        <v>352</v>
      </c>
      <c r="B29" s="524"/>
      <c r="C29" s="524">
        <v>3425</v>
      </c>
      <c r="E29" s="523" t="s">
        <v>600</v>
      </c>
      <c r="G29" s="531">
        <v>2.5</v>
      </c>
    </row>
    <row r="30" spans="1:7">
      <c r="A30" s="524">
        <v>353</v>
      </c>
      <c r="B30" s="524"/>
      <c r="C30" s="524">
        <v>3431</v>
      </c>
      <c r="E30" s="523" t="s">
        <v>601</v>
      </c>
      <c r="G30" s="531">
        <v>1.44</v>
      </c>
    </row>
    <row r="31" spans="1:7">
      <c r="A31" s="524">
        <v>353</v>
      </c>
      <c r="B31" s="524"/>
      <c r="C31" s="524">
        <v>3432</v>
      </c>
      <c r="E31" s="523" t="s">
        <v>601</v>
      </c>
      <c r="G31" s="531">
        <v>1.44</v>
      </c>
    </row>
    <row r="32" spans="1:7">
      <c r="A32" s="524">
        <v>353</v>
      </c>
      <c r="B32" s="524"/>
      <c r="C32" s="524">
        <v>3435</v>
      </c>
      <c r="E32" s="523" t="s">
        <v>601</v>
      </c>
      <c r="G32" s="531">
        <v>1.44</v>
      </c>
    </row>
    <row r="33" spans="1:7">
      <c r="A33" s="524">
        <v>353</v>
      </c>
      <c r="B33" s="524"/>
      <c r="C33" s="524">
        <v>3437</v>
      </c>
      <c r="E33" s="523" t="s">
        <v>601</v>
      </c>
      <c r="G33" s="531">
        <v>1.44</v>
      </c>
    </row>
    <row r="34" spans="1:7">
      <c r="A34" s="524">
        <v>354</v>
      </c>
      <c r="B34" s="524"/>
      <c r="C34" s="524">
        <v>3441</v>
      </c>
      <c r="E34" s="523" t="s">
        <v>602</v>
      </c>
      <c r="G34" s="531">
        <v>3</v>
      </c>
    </row>
    <row r="35" spans="1:7">
      <c r="A35" s="524">
        <v>354</v>
      </c>
      <c r="B35" s="524"/>
      <c r="C35" s="524">
        <v>3442</v>
      </c>
      <c r="E35" s="523" t="s">
        <v>602</v>
      </c>
      <c r="G35" s="531">
        <v>3</v>
      </c>
    </row>
    <row r="36" spans="1:7">
      <c r="A36" s="524">
        <v>354</v>
      </c>
      <c r="B36" s="524"/>
      <c r="C36" s="524">
        <v>3445</v>
      </c>
      <c r="E36" s="523" t="s">
        <v>602</v>
      </c>
      <c r="G36" s="531">
        <v>3</v>
      </c>
    </row>
    <row r="37" spans="1:7">
      <c r="A37" s="524">
        <v>354</v>
      </c>
      <c r="B37" s="524"/>
      <c r="C37" s="524">
        <v>3446</v>
      </c>
      <c r="E37" s="523" t="s">
        <v>603</v>
      </c>
      <c r="G37" s="531">
        <v>3</v>
      </c>
    </row>
    <row r="38" spans="1:7">
      <c r="A38" s="524">
        <v>354</v>
      </c>
      <c r="B38" s="524"/>
      <c r="C38" s="524">
        <v>3448</v>
      </c>
      <c r="E38" s="523" t="s">
        <v>602</v>
      </c>
      <c r="G38" s="531">
        <v>3</v>
      </c>
    </row>
    <row r="39" spans="1:7">
      <c r="A39" s="524">
        <v>355</v>
      </c>
      <c r="B39" s="524"/>
      <c r="C39" s="524">
        <v>3451</v>
      </c>
      <c r="E39" s="523" t="s">
        <v>604</v>
      </c>
      <c r="G39" s="531">
        <v>3</v>
      </c>
    </row>
    <row r="40" spans="1:7">
      <c r="A40" s="524">
        <v>355</v>
      </c>
      <c r="B40" s="524"/>
      <c r="C40" s="524">
        <v>3455</v>
      </c>
      <c r="E40" s="523" t="s">
        <v>604</v>
      </c>
      <c r="G40" s="531">
        <v>3</v>
      </c>
    </row>
    <row r="41" spans="1:7">
      <c r="A41" s="524">
        <v>356</v>
      </c>
      <c r="B41" s="524"/>
      <c r="C41" s="524">
        <v>3461</v>
      </c>
      <c r="E41" s="523" t="s">
        <v>605</v>
      </c>
      <c r="G41" s="531">
        <v>2.5</v>
      </c>
    </row>
    <row r="42" spans="1:7">
      <c r="A42" s="524">
        <v>356</v>
      </c>
      <c r="B42" s="524"/>
      <c r="C42" s="524">
        <v>3462</v>
      </c>
      <c r="E42" s="523" t="s">
        <v>605</v>
      </c>
      <c r="G42" s="531">
        <v>2.5</v>
      </c>
    </row>
    <row r="43" spans="1:7">
      <c r="A43" s="524">
        <v>356</v>
      </c>
      <c r="B43" s="524"/>
      <c r="C43" s="524">
        <v>3465</v>
      </c>
      <c r="E43" s="523" t="s">
        <v>605</v>
      </c>
      <c r="G43" s="531">
        <v>2.5</v>
      </c>
    </row>
    <row r="44" spans="1:7">
      <c r="A44" s="524">
        <v>356</v>
      </c>
      <c r="B44" s="524"/>
      <c r="C44" s="524">
        <v>3466</v>
      </c>
      <c r="E44" s="523" t="s">
        <v>606</v>
      </c>
      <c r="G44" s="531">
        <v>2.5</v>
      </c>
    </row>
    <row r="45" spans="1:7">
      <c r="A45" s="524"/>
      <c r="B45" s="524"/>
      <c r="C45" s="524"/>
      <c r="G45" s="531"/>
    </row>
    <row r="46" spans="1:7">
      <c r="A46" s="530" t="s">
        <v>607</v>
      </c>
      <c r="B46" s="521"/>
      <c r="C46" s="521"/>
      <c r="D46" s="521"/>
      <c r="E46" s="521"/>
      <c r="F46" s="521"/>
      <c r="G46" s="532"/>
    </row>
    <row r="47" spans="1:7">
      <c r="A47" s="524"/>
      <c r="B47" s="524"/>
      <c r="C47" s="524"/>
      <c r="G47" s="531"/>
    </row>
    <row r="48" spans="1:7">
      <c r="A48" s="524">
        <v>352</v>
      </c>
      <c r="B48" s="524"/>
      <c r="C48" s="524">
        <v>3423</v>
      </c>
      <c r="E48" s="523" t="s">
        <v>608</v>
      </c>
      <c r="G48" s="531">
        <v>2.5</v>
      </c>
    </row>
    <row r="49" spans="1:7">
      <c r="A49" s="524">
        <v>353</v>
      </c>
      <c r="B49" s="524"/>
      <c r="C49" s="524">
        <v>3433</v>
      </c>
      <c r="E49" s="523" t="s">
        <v>609</v>
      </c>
      <c r="G49" s="531">
        <v>1.44</v>
      </c>
    </row>
    <row r="50" spans="1:7">
      <c r="A50" s="524">
        <v>353</v>
      </c>
      <c r="B50" s="524"/>
      <c r="C50" s="524">
        <v>3438</v>
      </c>
      <c r="E50" s="523" t="s">
        <v>609</v>
      </c>
      <c r="G50" s="531">
        <v>1.44</v>
      </c>
    </row>
    <row r="51" spans="1:7">
      <c r="A51" s="524">
        <v>354</v>
      </c>
      <c r="B51" s="524"/>
      <c r="C51" s="524">
        <v>3447</v>
      </c>
      <c r="E51" s="523" t="s">
        <v>610</v>
      </c>
      <c r="G51" s="531">
        <v>3</v>
      </c>
    </row>
    <row r="52" spans="1:7">
      <c r="A52" s="524">
        <v>356</v>
      </c>
      <c r="B52" s="524"/>
      <c r="C52" s="524">
        <v>3467</v>
      </c>
      <c r="E52" s="523" t="s">
        <v>611</v>
      </c>
      <c r="G52" s="531">
        <v>2.5</v>
      </c>
    </row>
    <row r="53" spans="1:7">
      <c r="A53" s="524"/>
      <c r="B53" s="524"/>
      <c r="C53" s="524"/>
    </row>
    <row r="54" spans="1:7">
      <c r="A54" s="530" t="s">
        <v>679</v>
      </c>
      <c r="B54" s="521"/>
      <c r="C54" s="521"/>
      <c r="D54" s="521"/>
      <c r="E54" s="521"/>
      <c r="F54" s="521"/>
      <c r="G54" s="522"/>
    </row>
    <row r="55" spans="1:7">
      <c r="A55" s="524"/>
      <c r="B55" s="524"/>
      <c r="C55" s="524"/>
    </row>
    <row r="56" spans="1:7">
      <c r="A56" s="534">
        <v>303</v>
      </c>
      <c r="B56" s="535">
        <v>3030</v>
      </c>
      <c r="C56" s="524">
        <v>3030</v>
      </c>
      <c r="E56" s="523" t="s">
        <v>613</v>
      </c>
      <c r="G56" s="531">
        <v>20</v>
      </c>
    </row>
    <row r="57" spans="1:7">
      <c r="A57" s="534">
        <v>389</v>
      </c>
      <c r="B57" s="536">
        <v>3890</v>
      </c>
      <c r="C57" s="524">
        <v>3890</v>
      </c>
      <c r="E57" s="523" t="s">
        <v>614</v>
      </c>
      <c r="G57" s="525" t="s">
        <v>615</v>
      </c>
    </row>
    <row r="58" spans="1:7">
      <c r="A58" s="534">
        <v>390</v>
      </c>
      <c r="B58" s="536">
        <v>3900</v>
      </c>
      <c r="C58" s="524">
        <v>3900</v>
      </c>
      <c r="E58" s="523" t="s">
        <v>616</v>
      </c>
      <c r="G58" s="531">
        <v>2.5</v>
      </c>
    </row>
    <row r="59" spans="1:7">
      <c r="A59" s="534">
        <v>391</v>
      </c>
      <c r="B59" s="536">
        <v>3910</v>
      </c>
      <c r="C59" s="524">
        <v>3910</v>
      </c>
      <c r="E59" s="523" t="s">
        <v>617</v>
      </c>
      <c r="G59" s="531">
        <v>5</v>
      </c>
    </row>
    <row r="60" spans="1:7">
      <c r="A60" s="534">
        <v>391</v>
      </c>
      <c r="B60" s="536">
        <v>3911</v>
      </c>
      <c r="C60" s="524">
        <v>3911</v>
      </c>
      <c r="E60" s="523" t="s">
        <v>618</v>
      </c>
      <c r="G60" s="531">
        <v>20</v>
      </c>
    </row>
    <row r="61" spans="1:7">
      <c r="A61" s="534">
        <v>391</v>
      </c>
      <c r="B61" s="536">
        <v>3920</v>
      </c>
      <c r="C61" s="524">
        <v>3920</v>
      </c>
      <c r="E61" s="523" t="s">
        <v>619</v>
      </c>
      <c r="G61" s="531">
        <v>8.33</v>
      </c>
    </row>
    <row r="62" spans="1:7">
      <c r="A62" s="534">
        <v>391</v>
      </c>
      <c r="B62" s="536">
        <v>3921</v>
      </c>
      <c r="C62" s="524">
        <v>3921</v>
      </c>
      <c r="E62" s="523" t="s">
        <v>620</v>
      </c>
      <c r="G62" s="531">
        <v>4.25</v>
      </c>
    </row>
    <row r="63" spans="1:7">
      <c r="A63" s="534">
        <v>392</v>
      </c>
      <c r="B63" s="536">
        <v>3940</v>
      </c>
      <c r="C63" s="524">
        <v>3940</v>
      </c>
      <c r="E63" s="523" t="s">
        <v>621</v>
      </c>
      <c r="G63" s="531">
        <v>4</v>
      </c>
    </row>
    <row r="64" spans="1:7">
      <c r="A64" s="534">
        <v>392</v>
      </c>
      <c r="B64" s="536">
        <v>3950</v>
      </c>
      <c r="C64" s="524">
        <v>3950</v>
      </c>
      <c r="E64" s="523" t="s">
        <v>622</v>
      </c>
      <c r="G64" s="531">
        <v>6.67</v>
      </c>
    </row>
    <row r="65" spans="1:7">
      <c r="A65" s="534">
        <v>393</v>
      </c>
      <c r="B65" s="536">
        <v>3960</v>
      </c>
      <c r="C65" s="524">
        <v>3960</v>
      </c>
      <c r="E65" s="523" t="s">
        <v>623</v>
      </c>
      <c r="G65" s="531">
        <v>5.88</v>
      </c>
    </row>
    <row r="66" spans="1:7">
      <c r="A66" s="534">
        <v>393</v>
      </c>
      <c r="B66" s="536">
        <v>3970</v>
      </c>
      <c r="C66" s="524">
        <v>3970</v>
      </c>
      <c r="E66" s="523" t="s">
        <v>624</v>
      </c>
      <c r="G66" s="531">
        <v>6.67</v>
      </c>
    </row>
    <row r="67" spans="1:7">
      <c r="A67" s="534">
        <v>394</v>
      </c>
      <c r="B67" s="536">
        <v>3980</v>
      </c>
      <c r="C67" s="524">
        <v>3980</v>
      </c>
      <c r="E67" s="523" t="s">
        <v>625</v>
      </c>
      <c r="G67" s="531">
        <v>5</v>
      </c>
    </row>
    <row r="68" spans="1:7">
      <c r="A68" s="524"/>
      <c r="B68" s="524"/>
      <c r="C68" s="524"/>
      <c r="G68" s="531"/>
    </row>
    <row r="69" spans="1:7">
      <c r="B69" s="524"/>
      <c r="C69" s="524"/>
    </row>
    <row r="70" spans="1:7">
      <c r="A70" s="537"/>
      <c r="B70" s="524"/>
      <c r="C70" s="524"/>
    </row>
    <row r="71" spans="1:7">
      <c r="A71" s="524"/>
      <c r="B71" s="524"/>
      <c r="C71" s="524"/>
    </row>
    <row r="72" spans="1:7">
      <c r="A72" s="524"/>
      <c r="B72" s="524"/>
      <c r="C72" s="524"/>
    </row>
    <row r="73" spans="1:7">
      <c r="A73" s="524"/>
      <c r="B73" s="524"/>
      <c r="C73" s="524"/>
    </row>
    <row r="74" spans="1:7">
      <c r="A74" s="524"/>
      <c r="B74" s="524"/>
      <c r="C74" s="524"/>
    </row>
    <row r="75" spans="1:7">
      <c r="A75" s="524"/>
      <c r="B75" s="524"/>
      <c r="C75" s="524"/>
    </row>
    <row r="76" spans="1:7">
      <c r="A76" s="524"/>
      <c r="B76" s="524"/>
      <c r="C76" s="524"/>
    </row>
    <row r="77" spans="1:7">
      <c r="A77" s="524"/>
      <c r="B77" s="524"/>
      <c r="C77" s="524"/>
    </row>
    <row r="78" spans="1:7">
      <c r="A78" s="524"/>
      <c r="B78" s="524"/>
      <c r="C78" s="524"/>
    </row>
    <row r="79" spans="1:7">
      <c r="A79" s="524"/>
      <c r="B79" s="524"/>
      <c r="C79" s="524"/>
    </row>
    <row r="80" spans="1:7">
      <c r="A80" s="524"/>
      <c r="B80" s="524"/>
      <c r="C80" s="524"/>
    </row>
    <row r="81" spans="1:3">
      <c r="A81" s="524"/>
      <c r="B81" s="524"/>
      <c r="C81" s="524"/>
    </row>
    <row r="82" spans="1:3">
      <c r="A82" s="524"/>
      <c r="B82" s="524"/>
      <c r="C82" s="524"/>
    </row>
    <row r="83" spans="1:3">
      <c r="A83" s="524"/>
      <c r="B83" s="524"/>
      <c r="C83" s="524"/>
    </row>
    <row r="84" spans="1:3">
      <c r="A84" s="524"/>
      <c r="B84" s="524"/>
      <c r="C84" s="524"/>
    </row>
    <row r="85" spans="1:3">
      <c r="A85" s="524"/>
      <c r="B85" s="524"/>
      <c r="C85" s="524"/>
    </row>
    <row r="86" spans="1:3">
      <c r="A86" s="524"/>
      <c r="B86" s="524"/>
      <c r="C86" s="524"/>
    </row>
    <row r="87" spans="1:3">
      <c r="A87" s="524"/>
      <c r="B87" s="524"/>
      <c r="C87" s="524"/>
    </row>
    <row r="88" spans="1:3">
      <c r="A88" s="524"/>
      <c r="B88" s="524"/>
      <c r="C88" s="524"/>
    </row>
    <row r="89" spans="1:3">
      <c r="A89" s="524"/>
      <c r="B89" s="524"/>
      <c r="C89" s="524"/>
    </row>
    <row r="90" spans="1:3">
      <c r="A90" s="524"/>
      <c r="B90" s="524"/>
      <c r="C90" s="524"/>
    </row>
    <row r="91" spans="1:3">
      <c r="A91" s="524"/>
      <c r="B91" s="524"/>
      <c r="C91" s="524"/>
    </row>
    <row r="92" spans="1:3">
      <c r="A92" s="524"/>
      <c r="B92" s="524"/>
      <c r="C92" s="524"/>
    </row>
    <row r="93" spans="1:3">
      <c r="A93" s="524"/>
      <c r="B93" s="524"/>
      <c r="C93" s="524"/>
    </row>
    <row r="94" spans="1:3">
      <c r="A94" s="524"/>
      <c r="B94" s="524"/>
      <c r="C94" s="524"/>
    </row>
    <row r="95" spans="1:3">
      <c r="A95" s="524"/>
      <c r="B95" s="524"/>
      <c r="C95" s="524"/>
    </row>
    <row r="96" spans="1:3">
      <c r="A96" s="524"/>
      <c r="B96" s="524"/>
      <c r="C96" s="524"/>
    </row>
    <row r="97" spans="1:3">
      <c r="A97" s="524"/>
      <c r="B97" s="524"/>
      <c r="C97" s="524"/>
    </row>
    <row r="98" spans="1:3">
      <c r="A98" s="524"/>
      <c r="B98" s="524"/>
      <c r="C98" s="524"/>
    </row>
    <row r="99" spans="1:3">
      <c r="A99" s="524"/>
      <c r="B99" s="524"/>
      <c r="C99" s="524"/>
    </row>
    <row r="100" spans="1:3">
      <c r="A100" s="524"/>
      <c r="B100" s="524"/>
      <c r="C100" s="524"/>
    </row>
    <row r="101" spans="1:3">
      <c r="A101" s="524"/>
      <c r="B101" s="524"/>
      <c r="C101" s="524"/>
    </row>
    <row r="102" spans="1:3">
      <c r="A102" s="524"/>
      <c r="B102" s="524"/>
      <c r="C102" s="524"/>
    </row>
    <row r="103" spans="1:3">
      <c r="A103" s="524"/>
      <c r="B103" s="524"/>
      <c r="C103" s="524"/>
    </row>
    <row r="104" spans="1:3">
      <c r="A104" s="524"/>
      <c r="B104" s="524"/>
      <c r="C104" s="524"/>
    </row>
    <row r="105" spans="1:3">
      <c r="A105" s="524"/>
      <c r="B105" s="524"/>
      <c r="C105" s="524"/>
    </row>
    <row r="106" spans="1:3">
      <c r="A106" s="524"/>
      <c r="B106" s="524"/>
      <c r="C106" s="524"/>
    </row>
    <row r="107" spans="1:3">
      <c r="A107" s="524"/>
      <c r="B107" s="524"/>
      <c r="C107" s="524"/>
    </row>
    <row r="108" spans="1:3">
      <c r="A108" s="524"/>
      <c r="B108" s="524"/>
      <c r="C108" s="524"/>
    </row>
    <row r="109" spans="1:3">
      <c r="A109" s="524"/>
      <c r="B109" s="524"/>
      <c r="C109" s="524"/>
    </row>
    <row r="110" spans="1:3">
      <c r="A110" s="524"/>
      <c r="B110" s="524"/>
      <c r="C110" s="524"/>
    </row>
    <row r="111" spans="1:3">
      <c r="A111" s="524"/>
      <c r="B111" s="524"/>
      <c r="C111" s="524"/>
    </row>
    <row r="112" spans="1:3">
      <c r="A112" s="524"/>
      <c r="B112" s="524"/>
      <c r="C112" s="524"/>
    </row>
    <row r="113" spans="1:3">
      <c r="A113" s="524"/>
      <c r="B113" s="524"/>
      <c r="C113" s="524"/>
    </row>
    <row r="114" spans="1:3">
      <c r="A114" s="524"/>
      <c r="B114" s="524"/>
      <c r="C114" s="524"/>
    </row>
    <row r="115" spans="1:3">
      <c r="A115" s="524"/>
      <c r="B115" s="524"/>
      <c r="C115" s="524"/>
    </row>
    <row r="116" spans="1:3">
      <c r="A116" s="524"/>
      <c r="B116" s="524"/>
      <c r="C116" s="524"/>
    </row>
    <row r="117" spans="1:3">
      <c r="A117" s="524"/>
      <c r="B117" s="524"/>
      <c r="C117" s="524"/>
    </row>
    <row r="118" spans="1:3">
      <c r="A118" s="524"/>
      <c r="B118" s="524"/>
      <c r="C118" s="524"/>
    </row>
    <row r="119" spans="1:3">
      <c r="A119" s="524"/>
      <c r="B119" s="524"/>
      <c r="C119" s="524"/>
    </row>
    <row r="120" spans="1:3">
      <c r="A120" s="524"/>
      <c r="B120" s="524"/>
      <c r="C120" s="524"/>
    </row>
    <row r="121" spans="1:3">
      <c r="A121" s="524"/>
      <c r="B121" s="524"/>
      <c r="C121" s="524"/>
    </row>
    <row r="122" spans="1:3">
      <c r="A122" s="524"/>
      <c r="B122" s="524"/>
      <c r="C122" s="524"/>
    </row>
    <row r="123" spans="1:3">
      <c r="A123" s="524"/>
      <c r="B123" s="524"/>
      <c r="C123" s="524"/>
    </row>
    <row r="124" spans="1:3">
      <c r="A124" s="524"/>
      <c r="B124" s="524"/>
      <c r="C124" s="524"/>
    </row>
    <row r="125" spans="1:3">
      <c r="A125" s="524"/>
      <c r="B125" s="524"/>
      <c r="C125" s="524"/>
    </row>
    <row r="126" spans="1:3">
      <c r="A126" s="524"/>
      <c r="B126" s="524"/>
      <c r="C126" s="524"/>
    </row>
    <row r="127" spans="1:3">
      <c r="A127" s="524"/>
      <c r="B127" s="524"/>
      <c r="C127" s="524"/>
    </row>
    <row r="128" spans="1:3">
      <c r="A128" s="524"/>
      <c r="B128" s="524"/>
      <c r="C128" s="524"/>
    </row>
    <row r="129" spans="1:3">
      <c r="A129" s="524"/>
      <c r="B129" s="524"/>
      <c r="C129" s="524"/>
    </row>
    <row r="130" spans="1:3">
      <c r="A130" s="524"/>
      <c r="B130" s="524"/>
      <c r="C130" s="524"/>
    </row>
    <row r="131" spans="1:3">
      <c r="A131" s="524"/>
      <c r="B131" s="524"/>
      <c r="C131" s="524"/>
    </row>
    <row r="132" spans="1:3">
      <c r="A132" s="524"/>
      <c r="B132" s="524"/>
      <c r="C132" s="524"/>
    </row>
    <row r="133" spans="1:3">
      <c r="A133" s="524"/>
      <c r="B133" s="524"/>
      <c r="C133" s="524"/>
    </row>
    <row r="134" spans="1:3">
      <c r="A134" s="524"/>
      <c r="B134" s="524"/>
      <c r="C134" s="524"/>
    </row>
    <row r="135" spans="1:3">
      <c r="A135" s="524"/>
      <c r="B135" s="524"/>
      <c r="C135" s="524"/>
    </row>
    <row r="136" spans="1:3">
      <c r="A136" s="524"/>
      <c r="B136" s="524"/>
      <c r="C136" s="524"/>
    </row>
  </sheetData>
  <printOptions horizontalCentered="1"/>
  <pageMargins left="0.75" right="0.75" top="0.75" bottom="0.5" header="0.75" footer="0.3"/>
  <pageSetup scale="83" orientation="portrait" blackAndWhite="1" r:id="rId1"/>
  <headerFooter>
    <oddHeader>&amp;RAttachment H-22A
Appendix D
Page 1 of 2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tabColor rgb="FF00B050"/>
    <pageSetUpPr fitToPage="1"/>
  </sheetPr>
  <dimension ref="A1:H97"/>
  <sheetViews>
    <sheetView workbookViewId="0"/>
  </sheetViews>
  <sheetFormatPr defaultColWidth="8.77734375" defaultRowHeight="12.75"/>
  <cols>
    <col min="1" max="1" width="8.77734375" style="523"/>
    <col min="2" max="2" width="0.88671875" style="523" customWidth="1"/>
    <col min="3" max="3" width="8.77734375" style="523"/>
    <col min="4" max="4" width="1.5546875" style="523" customWidth="1"/>
    <col min="5" max="5" width="46.109375" style="523" customWidth="1"/>
    <col min="6" max="6" width="6" style="523" customWidth="1"/>
    <col min="7" max="7" width="9.6640625" style="533" customWidth="1"/>
    <col min="8" max="16384" width="8.77734375" style="523"/>
  </cols>
  <sheetData>
    <row r="1" spans="1:7">
      <c r="A1" s="521" t="s">
        <v>626</v>
      </c>
      <c r="B1" s="521"/>
      <c r="C1" s="521"/>
      <c r="D1" s="521"/>
      <c r="E1" s="521"/>
      <c r="F1" s="521"/>
      <c r="G1" s="522"/>
    </row>
    <row r="2" spans="1:7">
      <c r="A2" s="521" t="s">
        <v>576</v>
      </c>
      <c r="B2" s="521"/>
      <c r="C2" s="521"/>
      <c r="D2" s="521"/>
      <c r="E2" s="521"/>
      <c r="F2" s="521"/>
      <c r="G2" s="522"/>
    </row>
    <row r="5" spans="1:7">
      <c r="A5" s="524" t="s">
        <v>577</v>
      </c>
      <c r="B5" s="524"/>
      <c r="C5" s="524" t="s">
        <v>578</v>
      </c>
      <c r="D5" s="524"/>
      <c r="E5" s="524"/>
      <c r="F5" s="524"/>
      <c r="G5" s="525" t="s">
        <v>315</v>
      </c>
    </row>
    <row r="6" spans="1:7">
      <c r="A6" s="524" t="s">
        <v>579</v>
      </c>
      <c r="B6" s="524"/>
      <c r="C6" s="524" t="s">
        <v>579</v>
      </c>
      <c r="D6" s="524"/>
      <c r="E6" s="524"/>
      <c r="F6" s="524"/>
      <c r="G6" s="525" t="s">
        <v>580</v>
      </c>
    </row>
    <row r="7" spans="1:7">
      <c r="A7" s="526" t="s">
        <v>581</v>
      </c>
      <c r="B7" s="526"/>
      <c r="C7" s="526" t="s">
        <v>581</v>
      </c>
      <c r="D7" s="526"/>
      <c r="E7" s="526" t="s">
        <v>582</v>
      </c>
      <c r="F7" s="526"/>
      <c r="G7" s="527" t="s">
        <v>583</v>
      </c>
    </row>
    <row r="8" spans="1:7">
      <c r="A8" s="528" t="s">
        <v>524</v>
      </c>
      <c r="B8" s="524"/>
      <c r="C8" s="528" t="s">
        <v>525</v>
      </c>
      <c r="D8" s="524"/>
      <c r="E8" s="524" t="s">
        <v>526</v>
      </c>
      <c r="F8" s="524"/>
      <c r="G8" s="529" t="s">
        <v>584</v>
      </c>
    </row>
    <row r="9" spans="1:7">
      <c r="A9" s="528"/>
      <c r="B9" s="524"/>
      <c r="C9" s="528"/>
      <c r="D9" s="524"/>
      <c r="E9" s="524"/>
      <c r="F9" s="524"/>
      <c r="G9" s="525" t="s">
        <v>102</v>
      </c>
    </row>
    <row r="10" spans="1:7">
      <c r="A10" s="530" t="s">
        <v>230</v>
      </c>
      <c r="B10" s="530"/>
      <c r="C10" s="521"/>
      <c r="D10" s="521"/>
      <c r="E10" s="521"/>
      <c r="F10" s="521"/>
      <c r="G10" s="522"/>
    </row>
    <row r="11" spans="1:7">
      <c r="G11" s="531"/>
    </row>
    <row r="12" spans="1:7">
      <c r="A12" s="524">
        <v>350</v>
      </c>
      <c r="C12" s="524">
        <v>3501</v>
      </c>
      <c r="E12" s="523" t="s">
        <v>586</v>
      </c>
      <c r="G12" s="531">
        <v>1.48</v>
      </c>
    </row>
    <row r="13" spans="1:7">
      <c r="A13" s="524">
        <v>352</v>
      </c>
      <c r="C13" s="524">
        <v>3520</v>
      </c>
      <c r="E13" s="523" t="s">
        <v>627</v>
      </c>
      <c r="G13" s="531">
        <v>0.41</v>
      </c>
    </row>
    <row r="14" spans="1:7">
      <c r="A14" s="524">
        <v>353</v>
      </c>
      <c r="C14" s="524">
        <v>3530</v>
      </c>
      <c r="E14" s="523" t="s">
        <v>589</v>
      </c>
      <c r="G14" s="531">
        <v>2.25</v>
      </c>
    </row>
    <row r="15" spans="1:7">
      <c r="A15" s="524">
        <v>353</v>
      </c>
      <c r="C15" s="524">
        <v>3532</v>
      </c>
      <c r="E15" s="523" t="s">
        <v>628</v>
      </c>
      <c r="G15" s="531">
        <v>2.77</v>
      </c>
    </row>
    <row r="16" spans="1:7">
      <c r="A16" s="524">
        <v>353</v>
      </c>
      <c r="C16" s="524">
        <v>3535</v>
      </c>
      <c r="E16" s="523" t="s">
        <v>629</v>
      </c>
      <c r="G16" s="531">
        <v>9.5500000000000007</v>
      </c>
    </row>
    <row r="17" spans="1:8">
      <c r="A17" s="524">
        <v>355</v>
      </c>
      <c r="C17" s="524">
        <v>3550</v>
      </c>
      <c r="E17" s="523" t="s">
        <v>593</v>
      </c>
      <c r="G17" s="531">
        <v>2.2799999999999998</v>
      </c>
    </row>
    <row r="18" spans="1:8">
      <c r="A18" s="524">
        <v>356</v>
      </c>
      <c r="C18" s="524">
        <v>3560</v>
      </c>
      <c r="E18" s="523" t="s">
        <v>595</v>
      </c>
      <c r="G18" s="531">
        <v>2.31</v>
      </c>
    </row>
    <row r="19" spans="1:8">
      <c r="A19" s="524"/>
      <c r="B19" s="524"/>
      <c r="C19" s="524"/>
      <c r="G19" s="531"/>
    </row>
    <row r="20" spans="1:8">
      <c r="A20" s="524"/>
      <c r="B20" s="524"/>
      <c r="C20" s="524"/>
    </row>
    <row r="21" spans="1:8">
      <c r="A21" s="530" t="s">
        <v>612</v>
      </c>
      <c r="B21" s="521"/>
      <c r="C21" s="521"/>
      <c r="D21" s="521"/>
      <c r="E21" s="521"/>
      <c r="F21" s="521"/>
      <c r="G21" s="522"/>
    </row>
    <row r="22" spans="1:8">
      <c r="A22" s="524"/>
      <c r="B22" s="524"/>
      <c r="C22" s="524"/>
    </row>
    <row r="23" spans="1:8" ht="15">
      <c r="A23" s="524">
        <v>303</v>
      </c>
      <c r="B23" s="538"/>
      <c r="C23" s="524">
        <v>3030</v>
      </c>
      <c r="E23" s="523" t="s">
        <v>630</v>
      </c>
      <c r="G23" s="531">
        <v>20</v>
      </c>
      <c r="H23" s="539"/>
    </row>
    <row r="24" spans="1:8" ht="15">
      <c r="A24" s="524">
        <v>390</v>
      </c>
      <c r="B24" s="538"/>
      <c r="C24" s="524">
        <v>3900</v>
      </c>
      <c r="E24" s="523" t="s">
        <v>614</v>
      </c>
      <c r="G24" s="531">
        <v>1.77</v>
      </c>
    </row>
    <row r="25" spans="1:8" ht="15">
      <c r="A25" s="524">
        <v>391</v>
      </c>
      <c r="B25" s="538"/>
      <c r="C25" s="524">
        <v>3910</v>
      </c>
      <c r="E25" s="523" t="s">
        <v>616</v>
      </c>
      <c r="G25" s="531">
        <v>18.559999999999999</v>
      </c>
    </row>
    <row r="26" spans="1:8" ht="15">
      <c r="A26" s="524">
        <v>392</v>
      </c>
      <c r="B26" s="538"/>
      <c r="C26" s="524">
        <v>3921</v>
      </c>
      <c r="E26" s="523" t="s">
        <v>618</v>
      </c>
      <c r="G26" s="540">
        <v>6.53</v>
      </c>
    </row>
    <row r="27" spans="1:8" ht="15">
      <c r="A27" s="524">
        <v>394</v>
      </c>
      <c r="B27" s="538"/>
      <c r="C27" s="524">
        <v>3940</v>
      </c>
      <c r="E27" s="523" t="s">
        <v>619</v>
      </c>
      <c r="G27" s="531">
        <v>4.1399999999999997</v>
      </c>
    </row>
    <row r="28" spans="1:8" ht="15">
      <c r="A28" s="524">
        <v>397</v>
      </c>
      <c r="B28" s="538"/>
      <c r="C28" s="524">
        <v>3970</v>
      </c>
      <c r="E28" s="523" t="s">
        <v>631</v>
      </c>
      <c r="G28" s="531">
        <v>6.93</v>
      </c>
    </row>
    <row r="29" spans="1:8">
      <c r="A29" s="524"/>
      <c r="B29" s="524"/>
      <c r="C29" s="524"/>
      <c r="G29" s="531"/>
    </row>
    <row r="30" spans="1:8">
      <c r="B30" s="524"/>
      <c r="C30" s="524"/>
    </row>
    <row r="31" spans="1:8">
      <c r="A31" s="537"/>
      <c r="B31" s="524"/>
      <c r="C31" s="524"/>
    </row>
    <row r="32" spans="1:8">
      <c r="A32" s="524"/>
      <c r="B32" s="524"/>
      <c r="C32" s="524"/>
    </row>
    <row r="33" spans="1:3">
      <c r="A33" s="524"/>
      <c r="B33" s="524"/>
      <c r="C33" s="524"/>
    </row>
    <row r="34" spans="1:3">
      <c r="A34" s="524"/>
      <c r="B34" s="524"/>
      <c r="C34" s="524"/>
    </row>
    <row r="35" spans="1:3">
      <c r="A35" s="524"/>
      <c r="B35" s="524"/>
      <c r="C35" s="524"/>
    </row>
    <row r="36" spans="1:3">
      <c r="A36" s="524"/>
      <c r="B36" s="524"/>
      <c r="C36" s="524"/>
    </row>
    <row r="37" spans="1:3">
      <c r="A37" s="524"/>
      <c r="B37" s="524"/>
      <c r="C37" s="524"/>
    </row>
    <row r="38" spans="1:3">
      <c r="A38" s="524"/>
      <c r="B38" s="524"/>
      <c r="C38" s="524"/>
    </row>
    <row r="39" spans="1:3">
      <c r="A39" s="524"/>
      <c r="B39" s="524"/>
      <c r="C39" s="524"/>
    </row>
    <row r="40" spans="1:3">
      <c r="A40" s="524"/>
      <c r="B40" s="524"/>
      <c r="C40" s="524"/>
    </row>
    <row r="41" spans="1:3">
      <c r="A41" s="524"/>
      <c r="B41" s="524"/>
      <c r="C41" s="524"/>
    </row>
    <row r="42" spans="1:3">
      <c r="A42" s="524"/>
      <c r="B42" s="524"/>
      <c r="C42" s="524"/>
    </row>
    <row r="43" spans="1:3">
      <c r="A43" s="524"/>
      <c r="B43" s="524"/>
      <c r="C43" s="524"/>
    </row>
    <row r="44" spans="1:3">
      <c r="A44" s="524"/>
      <c r="B44" s="524"/>
      <c r="C44" s="524"/>
    </row>
    <row r="45" spans="1:3">
      <c r="A45" s="524"/>
      <c r="B45" s="524"/>
      <c r="C45" s="524"/>
    </row>
    <row r="46" spans="1:3">
      <c r="A46" s="524"/>
      <c r="B46" s="524"/>
      <c r="C46" s="524"/>
    </row>
    <row r="47" spans="1:3">
      <c r="A47" s="524"/>
      <c r="B47" s="524"/>
      <c r="C47" s="524"/>
    </row>
    <row r="48" spans="1:3">
      <c r="A48" s="524"/>
      <c r="B48" s="524"/>
      <c r="C48" s="524"/>
    </row>
    <row r="49" spans="1:3">
      <c r="A49" s="524"/>
      <c r="B49" s="524"/>
      <c r="C49" s="524"/>
    </row>
    <row r="50" spans="1:3">
      <c r="A50" s="524"/>
      <c r="B50" s="524"/>
      <c r="C50" s="524"/>
    </row>
    <row r="51" spans="1:3">
      <c r="A51" s="524"/>
      <c r="B51" s="524"/>
      <c r="C51" s="524"/>
    </row>
    <row r="52" spans="1:3">
      <c r="A52" s="524"/>
      <c r="B52" s="524"/>
      <c r="C52" s="524"/>
    </row>
    <row r="53" spans="1:3">
      <c r="A53" s="524"/>
      <c r="B53" s="524"/>
      <c r="C53" s="524"/>
    </row>
    <row r="54" spans="1:3">
      <c r="A54" s="524"/>
      <c r="B54" s="524"/>
      <c r="C54" s="524"/>
    </row>
    <row r="55" spans="1:3">
      <c r="A55" s="524"/>
      <c r="B55" s="524"/>
      <c r="C55" s="524"/>
    </row>
    <row r="56" spans="1:3">
      <c r="A56" s="524"/>
      <c r="B56" s="524"/>
      <c r="C56" s="524"/>
    </row>
    <row r="57" spans="1:3">
      <c r="A57" s="524"/>
      <c r="B57" s="524"/>
      <c r="C57" s="524"/>
    </row>
    <row r="58" spans="1:3">
      <c r="A58" s="524"/>
      <c r="B58" s="524"/>
      <c r="C58" s="524"/>
    </row>
    <row r="59" spans="1:3">
      <c r="A59" s="524"/>
      <c r="B59" s="524"/>
      <c r="C59" s="524"/>
    </row>
    <row r="60" spans="1:3">
      <c r="A60" s="524"/>
      <c r="B60" s="524"/>
      <c r="C60" s="524"/>
    </row>
    <row r="61" spans="1:3">
      <c r="A61" s="524"/>
      <c r="B61" s="524"/>
      <c r="C61" s="524"/>
    </row>
    <row r="62" spans="1:3">
      <c r="A62" s="524"/>
      <c r="B62" s="524"/>
      <c r="C62" s="524"/>
    </row>
    <row r="63" spans="1:3">
      <c r="A63" s="524"/>
      <c r="B63" s="524"/>
      <c r="C63" s="524"/>
    </row>
    <row r="64" spans="1:3">
      <c r="A64" s="524"/>
      <c r="B64" s="524"/>
      <c r="C64" s="524"/>
    </row>
    <row r="65" spans="1:3">
      <c r="A65" s="524"/>
      <c r="B65" s="524"/>
      <c r="C65" s="524"/>
    </row>
    <row r="66" spans="1:3">
      <c r="A66" s="524"/>
      <c r="B66" s="524"/>
      <c r="C66" s="524"/>
    </row>
    <row r="67" spans="1:3">
      <c r="A67" s="524"/>
      <c r="B67" s="524"/>
      <c r="C67" s="524"/>
    </row>
    <row r="68" spans="1:3">
      <c r="A68" s="524"/>
      <c r="B68" s="524"/>
      <c r="C68" s="524"/>
    </row>
    <row r="69" spans="1:3">
      <c r="A69" s="524"/>
      <c r="B69" s="524"/>
      <c r="C69" s="524"/>
    </row>
    <row r="70" spans="1:3">
      <c r="A70" s="524"/>
      <c r="B70" s="524"/>
      <c r="C70" s="524"/>
    </row>
    <row r="71" spans="1:3">
      <c r="A71" s="524"/>
      <c r="B71" s="524"/>
      <c r="C71" s="524"/>
    </row>
    <row r="72" spans="1:3">
      <c r="A72" s="524"/>
      <c r="B72" s="524"/>
      <c r="C72" s="524"/>
    </row>
    <row r="73" spans="1:3">
      <c r="A73" s="524"/>
      <c r="B73" s="524"/>
      <c r="C73" s="524"/>
    </row>
    <row r="74" spans="1:3">
      <c r="A74" s="524"/>
      <c r="B74" s="524"/>
      <c r="C74" s="524"/>
    </row>
    <row r="75" spans="1:3">
      <c r="A75" s="524"/>
      <c r="B75" s="524"/>
      <c r="C75" s="524"/>
    </row>
    <row r="76" spans="1:3">
      <c r="A76" s="524"/>
      <c r="B76" s="524"/>
      <c r="C76" s="524"/>
    </row>
    <row r="77" spans="1:3">
      <c r="A77" s="524"/>
      <c r="B77" s="524"/>
      <c r="C77" s="524"/>
    </row>
    <row r="78" spans="1:3">
      <c r="A78" s="524"/>
      <c r="B78" s="524"/>
      <c r="C78" s="524"/>
    </row>
    <row r="79" spans="1:3">
      <c r="A79" s="524"/>
      <c r="B79" s="524"/>
      <c r="C79" s="524"/>
    </row>
    <row r="80" spans="1:3">
      <c r="A80" s="524"/>
      <c r="B80" s="524"/>
      <c r="C80" s="524"/>
    </row>
    <row r="81" spans="1:3">
      <c r="A81" s="524"/>
      <c r="B81" s="524"/>
      <c r="C81" s="524"/>
    </row>
    <row r="82" spans="1:3">
      <c r="A82" s="524"/>
      <c r="B82" s="524"/>
      <c r="C82" s="524"/>
    </row>
    <row r="83" spans="1:3">
      <c r="A83" s="524"/>
      <c r="B83" s="524"/>
      <c r="C83" s="524"/>
    </row>
    <row r="84" spans="1:3">
      <c r="A84" s="524"/>
      <c r="B84" s="524"/>
      <c r="C84" s="524"/>
    </row>
    <row r="85" spans="1:3">
      <c r="A85" s="524"/>
      <c r="B85" s="524"/>
      <c r="C85" s="524"/>
    </row>
    <row r="86" spans="1:3">
      <c r="A86" s="524"/>
      <c r="B86" s="524"/>
      <c r="C86" s="524"/>
    </row>
    <row r="87" spans="1:3">
      <c r="A87" s="524"/>
      <c r="B87" s="524"/>
      <c r="C87" s="524"/>
    </row>
    <row r="88" spans="1:3">
      <c r="A88" s="524"/>
      <c r="B88" s="524"/>
      <c r="C88" s="524"/>
    </row>
    <row r="89" spans="1:3">
      <c r="A89" s="524"/>
      <c r="B89" s="524"/>
      <c r="C89" s="524"/>
    </row>
    <row r="90" spans="1:3">
      <c r="A90" s="524"/>
      <c r="B90" s="524"/>
      <c r="C90" s="524"/>
    </row>
    <row r="91" spans="1:3">
      <c r="A91" s="524"/>
      <c r="B91" s="524"/>
      <c r="C91" s="524"/>
    </row>
    <row r="92" spans="1:3">
      <c r="A92" s="524"/>
      <c r="B92" s="524"/>
      <c r="C92" s="524"/>
    </row>
    <row r="93" spans="1:3">
      <c r="A93" s="524"/>
      <c r="B93" s="524"/>
      <c r="C93" s="524"/>
    </row>
    <row r="94" spans="1:3">
      <c r="A94" s="524"/>
      <c r="B94" s="524"/>
      <c r="C94" s="524"/>
    </row>
    <row r="95" spans="1:3">
      <c r="A95" s="524"/>
      <c r="B95" s="524"/>
      <c r="C95" s="524"/>
    </row>
    <row r="96" spans="1:3">
      <c r="A96" s="524"/>
      <c r="B96" s="524"/>
      <c r="C96" s="524"/>
    </row>
    <row r="97" spans="1:3">
      <c r="A97" s="524"/>
      <c r="B97" s="524"/>
      <c r="C97" s="524"/>
    </row>
  </sheetData>
  <printOptions horizontalCentered="1"/>
  <pageMargins left="0.75" right="0.75" top="0.75" bottom="0.5" header="0.75" footer="0.3"/>
  <pageSetup scale="92" orientation="portrait" blackAndWhite="1" r:id="rId1"/>
  <headerFooter>
    <oddHeader>&amp;RAttachment H-22A
Appendix D
Page 2 of 2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tabColor rgb="FF0000FF"/>
    <pageSetUpPr fitToPage="1"/>
  </sheetPr>
  <dimension ref="A1:I53"/>
  <sheetViews>
    <sheetView zoomScale="70" zoomScaleNormal="70" workbookViewId="0">
      <selection activeCell="A2" sqref="A2"/>
    </sheetView>
  </sheetViews>
  <sheetFormatPr defaultColWidth="8.77734375" defaultRowHeight="15"/>
  <cols>
    <col min="1" max="1" width="6.77734375" customWidth="1"/>
    <col min="2" max="2" width="1.88671875" customWidth="1"/>
    <col min="3" max="3" width="57.33203125" customWidth="1"/>
    <col min="4" max="4" width="1.77734375" customWidth="1"/>
    <col min="5" max="5" width="29.33203125" customWidth="1"/>
    <col min="6" max="6" width="1.33203125" customWidth="1"/>
    <col min="7" max="7" width="20" customWidth="1"/>
    <col min="8" max="8" width="1.6640625" customWidth="1"/>
    <col min="9" max="9" width="15.6640625" customWidth="1"/>
  </cols>
  <sheetData>
    <row r="1" spans="1:9">
      <c r="A1" s="138"/>
      <c r="B1" s="138"/>
      <c r="C1" s="138"/>
      <c r="D1" s="138"/>
      <c r="E1" s="138"/>
      <c r="F1" s="138"/>
      <c r="G1" s="138"/>
      <c r="H1" s="138"/>
      <c r="I1" s="138"/>
    </row>
    <row r="2" spans="1:9">
      <c r="A2" s="138"/>
      <c r="B2" s="138"/>
      <c r="C2" s="138"/>
      <c r="D2" s="138"/>
      <c r="E2" s="138"/>
      <c r="F2" s="138"/>
      <c r="G2" s="138"/>
      <c r="H2" s="138"/>
      <c r="I2" s="138"/>
    </row>
    <row r="3" spans="1:9">
      <c r="A3" s="138"/>
      <c r="B3" s="138"/>
      <c r="C3" s="113"/>
      <c r="D3" s="138"/>
      <c r="E3" s="138"/>
      <c r="F3" s="138"/>
      <c r="G3" s="138"/>
      <c r="H3" s="138"/>
      <c r="I3" s="138"/>
    </row>
    <row r="4" spans="1:9">
      <c r="A4" s="221" t="s">
        <v>309</v>
      </c>
      <c r="B4" s="283"/>
      <c r="C4" s="283"/>
      <c r="D4" s="221"/>
      <c r="E4" s="221"/>
      <c r="F4" s="221"/>
      <c r="G4" s="283"/>
      <c r="H4" s="138"/>
      <c r="I4" s="138"/>
    </row>
    <row r="5" spans="1:9">
      <c r="A5" s="222" t="s">
        <v>370</v>
      </c>
      <c r="B5" s="283"/>
      <c r="C5" s="283"/>
      <c r="D5" s="221"/>
      <c r="E5" s="221"/>
      <c r="F5" s="221"/>
      <c r="G5" s="283"/>
      <c r="H5" s="138"/>
      <c r="I5" s="138"/>
    </row>
    <row r="6" spans="1:9">
      <c r="A6" s="223"/>
      <c r="B6" s="283"/>
      <c r="C6" s="283"/>
      <c r="D6" s="223"/>
      <c r="E6" s="223"/>
      <c r="F6" s="223"/>
      <c r="G6" s="283"/>
      <c r="H6" s="138"/>
      <c r="I6" s="138"/>
    </row>
    <row r="7" spans="1:9">
      <c r="A7" s="285" t="s">
        <v>528</v>
      </c>
      <c r="B7" s="283"/>
      <c r="C7" s="283"/>
      <c r="D7" s="223"/>
      <c r="E7" s="223"/>
      <c r="F7" s="223"/>
      <c r="G7" s="283"/>
      <c r="H7" s="138"/>
      <c r="I7" s="138"/>
    </row>
    <row r="8" spans="1:9">
      <c r="A8" s="285" t="s">
        <v>529</v>
      </c>
      <c r="B8" s="283"/>
      <c r="C8" s="283"/>
      <c r="D8" s="223"/>
      <c r="E8" s="223"/>
      <c r="F8" s="223"/>
      <c r="G8" s="283"/>
      <c r="H8" s="138"/>
      <c r="I8" s="138"/>
    </row>
    <row r="9" spans="1:9">
      <c r="A9" s="423"/>
      <c r="B9" s="283"/>
      <c r="C9" s="223"/>
      <c r="D9" s="223"/>
      <c r="E9" s="223"/>
      <c r="F9" s="223"/>
      <c r="G9" s="286"/>
      <c r="H9" s="138"/>
      <c r="I9" s="138"/>
    </row>
    <row r="10" spans="1:9">
      <c r="A10" s="223" t="s">
        <v>709</v>
      </c>
      <c r="B10" s="283"/>
      <c r="C10" s="283"/>
      <c r="D10" s="223"/>
      <c r="E10" s="223"/>
      <c r="F10" s="223"/>
      <c r="G10" s="286"/>
      <c r="H10" s="138"/>
      <c r="I10" s="138"/>
    </row>
    <row r="11" spans="1:9">
      <c r="A11" s="143"/>
      <c r="B11" s="138"/>
      <c r="C11" s="111"/>
      <c r="D11" s="111"/>
      <c r="E11" s="111"/>
      <c r="F11" s="111"/>
      <c r="G11" s="144"/>
      <c r="H11" s="138"/>
      <c r="I11" s="138"/>
    </row>
    <row r="12" spans="1:9">
      <c r="A12" s="454"/>
      <c r="B12" s="138"/>
      <c r="C12" s="111"/>
      <c r="D12" s="111"/>
      <c r="E12" s="111"/>
      <c r="F12" s="111"/>
      <c r="G12" s="111"/>
      <c r="H12" s="138"/>
      <c r="I12" s="138"/>
    </row>
    <row r="13" spans="1:9">
      <c r="A13" s="138"/>
      <c r="B13" s="138"/>
      <c r="C13" s="109" t="s">
        <v>24</v>
      </c>
      <c r="D13" s="109"/>
      <c r="E13" s="109" t="s">
        <v>25</v>
      </c>
      <c r="F13" s="109"/>
      <c r="G13" s="109" t="s">
        <v>26</v>
      </c>
      <c r="H13" s="138"/>
      <c r="I13" s="138"/>
    </row>
    <row r="14" spans="1:9">
      <c r="A14" s="138"/>
      <c r="B14" s="138"/>
      <c r="C14" s="108"/>
      <c r="D14" s="108"/>
      <c r="E14" s="138"/>
      <c r="F14" s="138"/>
      <c r="G14" s="138"/>
      <c r="H14" s="138"/>
      <c r="I14" s="138"/>
    </row>
    <row r="15" spans="1:9" ht="15.75">
      <c r="A15" s="419" t="s">
        <v>15</v>
      </c>
      <c r="B15" s="420"/>
      <c r="C15" s="452"/>
      <c r="D15" s="421"/>
      <c r="E15" s="455" t="s">
        <v>420</v>
      </c>
      <c r="F15" s="114"/>
      <c r="G15" s="456" t="s">
        <v>32</v>
      </c>
      <c r="H15" s="142"/>
      <c r="I15" s="419"/>
    </row>
    <row r="17" spans="1:7" ht="15.75">
      <c r="A17" s="78"/>
      <c r="C17" s="879" t="s">
        <v>494</v>
      </c>
      <c r="D17" s="875"/>
      <c r="E17" s="875"/>
    </row>
    <row r="18" spans="1:7">
      <c r="A18" s="454">
        <f>MAX(A17:A$17)+1</f>
        <v>1</v>
      </c>
      <c r="C18" s="875" t="s">
        <v>774</v>
      </c>
      <c r="D18" s="875"/>
      <c r="E18" s="876" t="s">
        <v>21</v>
      </c>
      <c r="G18" s="961">
        <v>0</v>
      </c>
    </row>
    <row r="19" spans="1:7">
      <c r="A19" s="454"/>
      <c r="C19" s="875"/>
      <c r="D19" s="875"/>
      <c r="E19" s="875"/>
      <c r="G19" s="895"/>
    </row>
    <row r="20" spans="1:7" ht="15.75">
      <c r="A20" s="454"/>
      <c r="C20" s="877" t="s">
        <v>495</v>
      </c>
      <c r="D20" s="875"/>
      <c r="E20" s="875"/>
      <c r="G20" s="895"/>
    </row>
    <row r="21" spans="1:7">
      <c r="A21" s="454">
        <f>MAX(A$17:A20)+1</f>
        <v>2</v>
      </c>
      <c r="C21" s="880" t="s">
        <v>496</v>
      </c>
      <c r="D21" s="875"/>
      <c r="E21" s="878" t="s">
        <v>468</v>
      </c>
      <c r="G21" s="895">
        <f>'Appx E - Workpaper'!M57</f>
        <v>0.17211680207401514</v>
      </c>
    </row>
    <row r="22" spans="1:7">
      <c r="A22" s="454">
        <f>MAX(A$17:A21)+1</f>
        <v>3</v>
      </c>
      <c r="C22" s="880" t="s">
        <v>497</v>
      </c>
      <c r="D22" s="875"/>
      <c r="E22" s="878" t="s">
        <v>22</v>
      </c>
      <c r="G22" s="922">
        <f>G28</f>
        <v>0.36743493176215875</v>
      </c>
    </row>
    <row r="23" spans="1:7">
      <c r="A23" s="454">
        <f>MAX(A$17:A22)+1</f>
        <v>4</v>
      </c>
      <c r="C23" s="875" t="s">
        <v>560</v>
      </c>
      <c r="D23" s="875"/>
      <c r="E23" s="875"/>
      <c r="G23" s="895">
        <f>G22*G21</f>
        <v>6.3241725425186732E-2</v>
      </c>
    </row>
    <row r="24" spans="1:7">
      <c r="A24" s="454"/>
      <c r="C24" s="875"/>
      <c r="D24" s="875"/>
      <c r="E24" s="875"/>
      <c r="G24" s="895"/>
    </row>
    <row r="25" spans="1:7">
      <c r="A25" s="454">
        <f>MAX(A$17:A24)+1</f>
        <v>5</v>
      </c>
      <c r="C25" s="880" t="s">
        <v>498</v>
      </c>
      <c r="D25" s="875"/>
      <c r="E25" s="875"/>
      <c r="G25" s="895">
        <f>G21-G23</f>
        <v>0.10887507664882841</v>
      </c>
    </row>
    <row r="26" spans="1:7">
      <c r="A26" s="454"/>
      <c r="C26" s="875"/>
      <c r="D26" s="875"/>
      <c r="E26" s="875"/>
    </row>
    <row r="27" spans="1:7" ht="15.75">
      <c r="A27" s="454"/>
      <c r="C27" s="877" t="s">
        <v>239</v>
      </c>
      <c r="D27" s="875"/>
      <c r="E27" s="875"/>
    </row>
    <row r="28" spans="1:7">
      <c r="A28" s="454">
        <f>MAX(A$17:A27)+1</f>
        <v>6</v>
      </c>
      <c r="C28" s="875" t="s">
        <v>499</v>
      </c>
      <c r="D28" s="875"/>
      <c r="E28" s="881" t="s">
        <v>500</v>
      </c>
      <c r="G28" s="504">
        <f>'DE Ohio &amp; Kentucky'!E171</f>
        <v>0.36743493176215875</v>
      </c>
    </row>
    <row r="29" spans="1:7">
      <c r="A29" s="454"/>
      <c r="C29" s="875"/>
      <c r="D29" s="875"/>
      <c r="E29" s="875"/>
    </row>
    <row r="30" spans="1:7">
      <c r="A30" s="454">
        <f>MAX(A$17:A29)+1</f>
        <v>7</v>
      </c>
      <c r="C30" s="875" t="s">
        <v>501</v>
      </c>
      <c r="D30" s="875"/>
      <c r="E30" s="875"/>
      <c r="G30" s="895">
        <f>G28*G34</f>
        <v>1.3001464566695174E-3</v>
      </c>
    </row>
    <row r="31" spans="1:7">
      <c r="A31" s="454"/>
      <c r="C31" s="875"/>
      <c r="D31" s="875"/>
      <c r="E31" s="875"/>
    </row>
    <row r="32" spans="1:7" ht="15.75">
      <c r="A32" s="454"/>
      <c r="C32" s="879" t="s">
        <v>502</v>
      </c>
      <c r="D32" s="875"/>
      <c r="E32" s="875"/>
    </row>
    <row r="33" spans="1:7">
      <c r="A33" s="454">
        <f>MAX(A$17:A32)+1</f>
        <v>8</v>
      </c>
      <c r="C33" s="875" t="s">
        <v>503</v>
      </c>
      <c r="D33" s="875"/>
      <c r="E33" s="878" t="s">
        <v>23</v>
      </c>
      <c r="G33" s="685">
        <v>3.2500000000000001E-2</v>
      </c>
    </row>
    <row r="34" spans="1:7">
      <c r="A34" s="454">
        <f>MAX(A$17:A33)+1</f>
        <v>9</v>
      </c>
      <c r="C34" s="880" t="s">
        <v>504</v>
      </c>
      <c r="D34" s="875"/>
      <c r="E34" s="878"/>
      <c r="G34" s="895">
        <f>G33*G25</f>
        <v>3.5384399910869235E-3</v>
      </c>
    </row>
    <row r="35" spans="1:7">
      <c r="A35" s="454"/>
      <c r="C35" s="875"/>
      <c r="D35" s="875"/>
      <c r="E35" s="875"/>
      <c r="G35" s="895"/>
    </row>
    <row r="36" spans="1:7">
      <c r="A36" s="454">
        <f>MAX(A$17:A35)+1</f>
        <v>10</v>
      </c>
      <c r="C36" s="875" t="s">
        <v>505</v>
      </c>
      <c r="D36" s="875"/>
      <c r="E36" s="875"/>
      <c r="G36" s="895">
        <f>G18+G34+G30</f>
        <v>4.8385864477564411E-3</v>
      </c>
    </row>
    <row r="37" spans="1:7">
      <c r="A37" s="454"/>
      <c r="C37" s="875"/>
      <c r="D37" s="875"/>
      <c r="E37" s="875"/>
    </row>
    <row r="38" spans="1:7">
      <c r="A38" s="454"/>
      <c r="C38" s="875"/>
      <c r="D38" s="875"/>
      <c r="E38" s="875"/>
    </row>
    <row r="39" spans="1:7">
      <c r="A39" s="622" t="s">
        <v>113</v>
      </c>
      <c r="C39" s="875"/>
      <c r="D39" s="875"/>
      <c r="E39" s="875"/>
    </row>
    <row r="40" spans="1:7">
      <c r="A40" s="454"/>
      <c r="C40" s="875"/>
      <c r="D40" s="875"/>
      <c r="E40" s="875"/>
    </row>
    <row r="41" spans="1:7">
      <c r="A41" s="454" t="s">
        <v>115</v>
      </c>
      <c r="C41" s="880" t="s">
        <v>558</v>
      </c>
      <c r="D41" s="875"/>
      <c r="E41" s="875"/>
    </row>
    <row r="42" spans="1:7">
      <c r="A42" s="454"/>
      <c r="C42" s="875"/>
      <c r="D42" s="875"/>
      <c r="E42" s="875"/>
    </row>
    <row r="43" spans="1:7">
      <c r="A43" s="143" t="s">
        <v>116</v>
      </c>
      <c r="C43" s="880" t="s">
        <v>506</v>
      </c>
      <c r="D43" s="875"/>
      <c r="E43" s="875"/>
    </row>
    <row r="44" spans="1:7">
      <c r="A44" s="454"/>
      <c r="C44" s="875"/>
      <c r="D44" s="875"/>
      <c r="E44" s="875"/>
    </row>
    <row r="45" spans="1:7">
      <c r="A45" s="143" t="s">
        <v>117</v>
      </c>
      <c r="C45" s="880" t="s">
        <v>507</v>
      </c>
      <c r="D45" s="875"/>
      <c r="E45" s="875"/>
    </row>
    <row r="46" spans="1:7">
      <c r="A46" s="454"/>
      <c r="C46" s="875"/>
      <c r="D46" s="875"/>
      <c r="E46" s="875"/>
    </row>
    <row r="47" spans="1:7">
      <c r="A47" s="143" t="s">
        <v>118</v>
      </c>
      <c r="C47" s="880" t="s">
        <v>637</v>
      </c>
      <c r="D47" s="875"/>
      <c r="E47" s="875"/>
    </row>
    <row r="48" spans="1:7">
      <c r="A48" s="454"/>
      <c r="C48" s="875" t="s">
        <v>559</v>
      </c>
      <c r="D48" s="875"/>
      <c r="E48" s="875"/>
    </row>
    <row r="49" spans="1:1">
      <c r="A49" s="454"/>
    </row>
    <row r="50" spans="1:1">
      <c r="A50" s="454"/>
    </row>
    <row r="51" spans="1:1">
      <c r="A51" s="454"/>
    </row>
    <row r="52" spans="1:1">
      <c r="A52" s="454"/>
    </row>
    <row r="53" spans="1:1">
      <c r="A53" s="454"/>
    </row>
  </sheetData>
  <printOptions horizontalCentered="1"/>
  <pageMargins left="0.75" right="0.75" top="0.75" bottom="0.5" header="1" footer="0.3"/>
  <pageSetup scale="63" orientation="portrait" r:id="rId1"/>
  <headerFooter>
    <oddHeader>&amp;RAttachment H-22A
Appendix E
Page 1 of 1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0">
    <tabColor rgb="FF0000FF"/>
    <pageSetUpPr fitToPage="1"/>
  </sheetPr>
  <dimension ref="A1:M66"/>
  <sheetViews>
    <sheetView zoomScale="70" zoomScaleNormal="70" workbookViewId="0">
      <selection sqref="A1:M1"/>
    </sheetView>
  </sheetViews>
  <sheetFormatPr defaultColWidth="8.77734375" defaultRowHeight="15"/>
  <cols>
    <col min="1" max="1" width="11.6640625" style="395" customWidth="1"/>
    <col min="2" max="2" width="1.88671875" style="395" customWidth="1"/>
    <col min="3" max="3" width="28.44140625" style="395" customWidth="1"/>
    <col min="4" max="4" width="1.77734375" style="395" customWidth="1"/>
    <col min="5" max="5" width="25.77734375" style="395" customWidth="1"/>
    <col min="6" max="6" width="1.33203125" style="395" customWidth="1"/>
    <col min="7" max="7" width="28.44140625" style="395" customWidth="1"/>
    <col min="8" max="8" width="1.6640625" style="395" customWidth="1"/>
    <col min="9" max="9" width="28.6640625" style="395" customWidth="1"/>
    <col min="10" max="10" width="1.5546875" style="485" customWidth="1"/>
    <col min="11" max="11" width="25.77734375" style="395" customWidth="1"/>
    <col min="12" max="12" width="1.77734375" style="395" customWidth="1"/>
    <col min="13" max="13" width="25.77734375" style="395" customWidth="1"/>
    <col min="14" max="14" width="8.77734375" style="395"/>
    <col min="15" max="15" width="11.88671875" style="395" bestFit="1" customWidth="1"/>
    <col min="16" max="16384" width="8.77734375" style="395"/>
  </cols>
  <sheetData>
    <row r="1" spans="1:13">
      <c r="A1" s="1035" t="s">
        <v>528</v>
      </c>
      <c r="B1" s="1035"/>
      <c r="C1" s="1035"/>
      <c r="D1" s="1035"/>
      <c r="E1" s="1035"/>
      <c r="F1" s="1035"/>
      <c r="G1" s="1035"/>
      <c r="H1" s="1035"/>
      <c r="I1" s="1035"/>
      <c r="J1" s="1035"/>
      <c r="K1" s="1035"/>
      <c r="L1" s="1035"/>
      <c r="M1" s="1035"/>
    </row>
    <row r="2" spans="1:13">
      <c r="A2" s="511"/>
      <c r="B2" s="512"/>
      <c r="C2" s="223"/>
      <c r="D2" s="223"/>
      <c r="E2" s="223"/>
      <c r="F2" s="223"/>
      <c r="G2" s="286"/>
      <c r="H2" s="223"/>
      <c r="I2" s="223"/>
      <c r="J2" s="223"/>
      <c r="K2" s="223"/>
      <c r="L2" s="142"/>
    </row>
    <row r="3" spans="1:13">
      <c r="A3" s="1036" t="s">
        <v>534</v>
      </c>
      <c r="B3" s="1035"/>
      <c r="C3" s="1035"/>
      <c r="D3" s="1035"/>
      <c r="E3" s="1035"/>
      <c r="F3" s="1035"/>
      <c r="G3" s="1035"/>
      <c r="H3" s="1035"/>
      <c r="I3" s="1035"/>
      <c r="J3" s="1035"/>
      <c r="K3" s="1035"/>
      <c r="L3" s="1035"/>
      <c r="M3" s="1035"/>
    </row>
    <row r="4" spans="1:13">
      <c r="A4" s="513"/>
      <c r="B4" s="142"/>
      <c r="C4" s="111"/>
      <c r="D4" s="111"/>
      <c r="E4" s="111"/>
      <c r="F4" s="111"/>
      <c r="G4" s="111"/>
      <c r="H4" s="142"/>
      <c r="I4" s="142"/>
      <c r="J4" s="142"/>
      <c r="K4" s="142"/>
      <c r="L4" s="142"/>
      <c r="M4" s="514" t="s">
        <v>508</v>
      </c>
    </row>
    <row r="5" spans="1:13">
      <c r="A5" s="515" t="s">
        <v>24</v>
      </c>
      <c r="B5" s="109"/>
      <c r="C5" s="515" t="s">
        <v>25</v>
      </c>
      <c r="D5" s="142"/>
      <c r="E5" s="514" t="s">
        <v>26</v>
      </c>
      <c r="F5" s="142"/>
      <c r="G5" s="514" t="s">
        <v>509</v>
      </c>
      <c r="H5" s="142"/>
      <c r="I5" s="514" t="s">
        <v>28</v>
      </c>
      <c r="K5" s="514" t="s">
        <v>510</v>
      </c>
      <c r="M5" s="514" t="s">
        <v>511</v>
      </c>
    </row>
    <row r="6" spans="1:13">
      <c r="A6" s="513"/>
    </row>
    <row r="7" spans="1:13" ht="15.75">
      <c r="A7" s="457"/>
      <c r="B7" s="363"/>
      <c r="C7" s="458" t="s">
        <v>532</v>
      </c>
      <c r="D7" s="363"/>
      <c r="E7" s="458" t="s">
        <v>532</v>
      </c>
      <c r="F7" s="363"/>
      <c r="G7" s="458" t="s">
        <v>512</v>
      </c>
      <c r="H7" s="363"/>
      <c r="I7" s="458" t="s">
        <v>513</v>
      </c>
      <c r="J7" s="680"/>
      <c r="K7" s="363"/>
      <c r="L7" s="363"/>
      <c r="M7" s="458" t="s">
        <v>514</v>
      </c>
    </row>
    <row r="8" spans="1:13" ht="15.75">
      <c r="A8" s="457"/>
      <c r="B8" s="363"/>
      <c r="C8" s="459" t="s">
        <v>531</v>
      </c>
      <c r="D8" s="363"/>
      <c r="E8" s="458" t="s">
        <v>533</v>
      </c>
      <c r="F8" s="363"/>
      <c r="G8" s="459" t="s">
        <v>515</v>
      </c>
      <c r="H8" s="363"/>
      <c r="I8" s="458" t="s">
        <v>516</v>
      </c>
      <c r="J8" s="680"/>
      <c r="K8" s="458" t="s">
        <v>517</v>
      </c>
      <c r="L8" s="363"/>
      <c r="M8" s="459" t="s">
        <v>535</v>
      </c>
    </row>
    <row r="9" spans="1:13" ht="15.75">
      <c r="A9" s="460" t="s">
        <v>518</v>
      </c>
      <c r="B9" s="363"/>
      <c r="C9" s="461" t="s">
        <v>519</v>
      </c>
      <c r="D9" s="363"/>
      <c r="E9" s="461" t="s">
        <v>520</v>
      </c>
      <c r="F9" s="363"/>
      <c r="G9" s="461" t="s">
        <v>521</v>
      </c>
      <c r="H9" s="363"/>
      <c r="I9" s="461" t="s">
        <v>522</v>
      </c>
      <c r="J9" s="680"/>
      <c r="K9" s="461" t="s">
        <v>523</v>
      </c>
      <c r="L9" s="363"/>
      <c r="M9" s="462" t="s">
        <v>536</v>
      </c>
    </row>
    <row r="10" spans="1:13">
      <c r="A10" s="513"/>
    </row>
    <row r="11" spans="1:13">
      <c r="A11" s="516">
        <v>40919</v>
      </c>
      <c r="C11" s="682">
        <f>ROUND(561138.24+230045.39,0)</f>
        <v>791184</v>
      </c>
      <c r="D11" s="463"/>
      <c r="E11" s="682">
        <v>1562589.5499999998</v>
      </c>
      <c r="F11" s="463"/>
      <c r="G11" s="506">
        <f t="shared" ref="G11:G22" si="0">C11-E11</f>
        <v>-771405.54999999981</v>
      </c>
      <c r="H11" s="463"/>
      <c r="I11" s="463"/>
      <c r="J11" s="681"/>
      <c r="K11" s="463">
        <f t="shared" ref="K11:K22" si="1">G11-I11</f>
        <v>-771405.54999999981</v>
      </c>
      <c r="L11" s="463"/>
      <c r="M11" s="463">
        <f t="shared" ref="M11:M22" si="2">M10+K11</f>
        <v>-771405.54999999981</v>
      </c>
    </row>
    <row r="12" spans="1:13">
      <c r="A12" s="516">
        <v>40950</v>
      </c>
      <c r="C12" s="683">
        <f>ROUND(445362.79+202942.54,0)</f>
        <v>648305</v>
      </c>
      <c r="D12" s="464"/>
      <c r="E12" s="683">
        <v>-458016.89482520078</v>
      </c>
      <c r="F12" s="464"/>
      <c r="G12" s="507">
        <f t="shared" si="0"/>
        <v>1106321.8948252008</v>
      </c>
      <c r="H12" s="464"/>
      <c r="I12" s="464"/>
      <c r="J12" s="465"/>
      <c r="K12" s="464">
        <f t="shared" si="1"/>
        <v>1106321.8948252008</v>
      </c>
      <c r="L12" s="464"/>
      <c r="M12" s="464">
        <f t="shared" si="2"/>
        <v>334916.34482520097</v>
      </c>
    </row>
    <row r="13" spans="1:13">
      <c r="A13" s="516">
        <v>40979</v>
      </c>
      <c r="C13" s="683">
        <f>ROUND(549462.12+193854.15,0)</f>
        <v>743316</v>
      </c>
      <c r="D13" s="464"/>
      <c r="E13" s="683">
        <v>534345.18155459943</v>
      </c>
      <c r="F13" s="464"/>
      <c r="G13" s="507">
        <f t="shared" si="0"/>
        <v>208970.81844540057</v>
      </c>
      <c r="H13" s="464"/>
      <c r="I13" s="464"/>
      <c r="J13" s="465"/>
      <c r="K13" s="464">
        <f t="shared" si="1"/>
        <v>208970.81844540057</v>
      </c>
      <c r="L13" s="464"/>
      <c r="M13" s="464">
        <f t="shared" si="2"/>
        <v>543887.16327060154</v>
      </c>
    </row>
    <row r="14" spans="1:13">
      <c r="A14" s="516">
        <v>41010</v>
      </c>
      <c r="C14" s="683">
        <f>ROUND(455463.48+150674.434,0)</f>
        <v>606138</v>
      </c>
      <c r="D14" s="464"/>
      <c r="E14" s="683">
        <v>550253.63733060018</v>
      </c>
      <c r="F14" s="464"/>
      <c r="G14" s="507">
        <f t="shared" si="0"/>
        <v>55884.362669399823</v>
      </c>
      <c r="H14" s="464"/>
      <c r="I14" s="464"/>
      <c r="J14" s="465"/>
      <c r="K14" s="464">
        <f t="shared" si="1"/>
        <v>55884.362669399823</v>
      </c>
      <c r="L14" s="464"/>
      <c r="M14" s="464">
        <f t="shared" si="2"/>
        <v>599771.52594000136</v>
      </c>
    </row>
    <row r="15" spans="1:13">
      <c r="A15" s="516">
        <v>41040</v>
      </c>
      <c r="C15" s="683">
        <f>ROUND(537380.9+204248.25,0)</f>
        <v>741629</v>
      </c>
      <c r="D15" s="464"/>
      <c r="E15" s="683">
        <v>508520.05944439973</v>
      </c>
      <c r="F15" s="464"/>
      <c r="G15" s="507">
        <f t="shared" si="0"/>
        <v>233108.94055560027</v>
      </c>
      <c r="H15" s="464"/>
      <c r="I15" s="464"/>
      <c r="J15" s="465"/>
      <c r="K15" s="464">
        <f t="shared" si="1"/>
        <v>233108.94055560027</v>
      </c>
      <c r="L15" s="464"/>
      <c r="M15" s="464">
        <f t="shared" si="2"/>
        <v>832880.46649560169</v>
      </c>
    </row>
    <row r="16" spans="1:13">
      <c r="A16" s="516">
        <v>41071</v>
      </c>
      <c r="C16" s="683">
        <v>775567.48</v>
      </c>
      <c r="D16" s="464"/>
      <c r="E16" s="683">
        <v>711074.07110220008</v>
      </c>
      <c r="F16" s="464"/>
      <c r="G16" s="507">
        <f t="shared" si="0"/>
        <v>64493.408897799905</v>
      </c>
      <c r="H16" s="464"/>
      <c r="I16" s="464"/>
      <c r="J16" s="465"/>
      <c r="K16" s="464">
        <f t="shared" si="1"/>
        <v>64493.408897799905</v>
      </c>
      <c r="L16" s="464"/>
      <c r="M16" s="464">
        <f t="shared" si="2"/>
        <v>897373.8753934016</v>
      </c>
    </row>
    <row r="17" spans="1:13">
      <c r="A17" s="516">
        <v>41101</v>
      </c>
      <c r="C17" s="683">
        <v>772561.1</v>
      </c>
      <c r="D17" s="464"/>
      <c r="E17" s="683">
        <v>699565.88500740007</v>
      </c>
      <c r="F17" s="464"/>
      <c r="G17" s="507">
        <f t="shared" si="0"/>
        <v>72995.214992599911</v>
      </c>
      <c r="H17" s="464"/>
      <c r="I17" s="464"/>
      <c r="J17" s="465"/>
      <c r="K17" s="464">
        <f t="shared" si="1"/>
        <v>72995.214992599911</v>
      </c>
      <c r="L17" s="464"/>
      <c r="M17" s="464">
        <f t="shared" si="2"/>
        <v>970369.09038600151</v>
      </c>
    </row>
    <row r="18" spans="1:13">
      <c r="A18" s="516">
        <v>41132</v>
      </c>
      <c r="C18" s="683">
        <v>848269.61</v>
      </c>
      <c r="D18" s="464"/>
      <c r="E18" s="683">
        <v>763861.94851899997</v>
      </c>
      <c r="F18" s="464"/>
      <c r="G18" s="507">
        <f t="shared" si="0"/>
        <v>84407.661481000017</v>
      </c>
      <c r="H18" s="464"/>
      <c r="I18" s="464"/>
      <c r="J18" s="465"/>
      <c r="K18" s="464">
        <f t="shared" si="1"/>
        <v>84407.661481000017</v>
      </c>
      <c r="L18" s="464"/>
      <c r="M18" s="464">
        <f t="shared" si="2"/>
        <v>1054776.7518670014</v>
      </c>
    </row>
    <row r="19" spans="1:13">
      <c r="A19" s="516">
        <v>41163</v>
      </c>
      <c r="C19" s="683">
        <v>399762.03999999992</v>
      </c>
      <c r="D19" s="464"/>
      <c r="E19" s="683">
        <v>1373307.9590893993</v>
      </c>
      <c r="F19" s="464"/>
      <c r="G19" s="507">
        <f t="shared" si="0"/>
        <v>-973545.91908939939</v>
      </c>
      <c r="H19" s="464"/>
      <c r="I19" s="464"/>
      <c r="J19" s="465"/>
      <c r="K19" s="464">
        <f t="shared" si="1"/>
        <v>-973545.91908939939</v>
      </c>
      <c r="L19" s="464"/>
      <c r="M19" s="464">
        <f t="shared" si="2"/>
        <v>81230.832777602016</v>
      </c>
    </row>
    <row r="20" spans="1:13">
      <c r="A20" s="516">
        <v>41193</v>
      </c>
      <c r="B20" s="485"/>
      <c r="C20" s="683">
        <v>413655.46</v>
      </c>
      <c r="D20" s="464"/>
      <c r="E20" s="683">
        <v>783231.69399280043</v>
      </c>
      <c r="F20" s="464"/>
      <c r="G20" s="507">
        <f t="shared" si="0"/>
        <v>-369576.23399280041</v>
      </c>
      <c r="H20" s="464"/>
      <c r="I20" s="464"/>
      <c r="J20" s="465"/>
      <c r="K20" s="464">
        <f t="shared" si="1"/>
        <v>-369576.23399280041</v>
      </c>
      <c r="L20" s="464"/>
      <c r="M20" s="464">
        <f t="shared" si="2"/>
        <v>-288345.40121519839</v>
      </c>
    </row>
    <row r="21" spans="1:13">
      <c r="A21" s="516">
        <v>41224</v>
      </c>
      <c r="B21" s="485"/>
      <c r="C21" s="683">
        <v>663142.91999999993</v>
      </c>
      <c r="D21" s="464"/>
      <c r="E21" s="683">
        <v>866737.91457279993</v>
      </c>
      <c r="F21" s="464"/>
      <c r="G21" s="507">
        <f t="shared" si="0"/>
        <v>-203594.9945728</v>
      </c>
      <c r="H21" s="464"/>
      <c r="I21" s="464"/>
      <c r="J21" s="465"/>
      <c r="K21" s="464">
        <f t="shared" si="1"/>
        <v>-203594.9945728</v>
      </c>
      <c r="L21" s="464"/>
      <c r="M21" s="464">
        <f t="shared" si="2"/>
        <v>-491940.39578799839</v>
      </c>
    </row>
    <row r="22" spans="1:13">
      <c r="A22" s="516">
        <v>41254</v>
      </c>
      <c r="B22" s="485"/>
      <c r="C22" s="686">
        <v>652756.43000000005</v>
      </c>
      <c r="D22" s="465"/>
      <c r="E22" s="686">
        <v>888676.81209519983</v>
      </c>
      <c r="F22" s="465"/>
      <c r="G22" s="684">
        <f t="shared" si="0"/>
        <v>-235920.38209519978</v>
      </c>
      <c r="H22" s="464"/>
      <c r="I22" s="466"/>
      <c r="J22" s="465"/>
      <c r="K22" s="466">
        <f t="shared" si="1"/>
        <v>-235920.38209519978</v>
      </c>
      <c r="L22" s="465"/>
      <c r="M22" s="464">
        <f t="shared" si="2"/>
        <v>-727860.77788319811</v>
      </c>
    </row>
    <row r="23" spans="1:13" ht="15.75">
      <c r="A23" s="467" t="s">
        <v>17</v>
      </c>
      <c r="B23" s="485"/>
      <c r="C23" s="463">
        <f>SUM(C11:C22)</f>
        <v>8056287.04</v>
      </c>
      <c r="D23" s="465"/>
      <c r="E23" s="463">
        <f>SUM(E11:E22)</f>
        <v>8784147.8178831972</v>
      </c>
      <c r="F23" s="465"/>
      <c r="G23" s="463">
        <f>SUM(G11:G22)</f>
        <v>-727860.77788319811</v>
      </c>
      <c r="H23" s="464"/>
      <c r="I23" s="463"/>
      <c r="J23" s="681"/>
      <c r="K23" s="463">
        <f>SUM(K11:K22)</f>
        <v>-727860.77788319811</v>
      </c>
      <c r="L23" s="463"/>
      <c r="M23" s="463"/>
    </row>
    <row r="24" spans="1:13">
      <c r="A24" s="516"/>
      <c r="B24" s="485"/>
      <c r="C24" s="465"/>
      <c r="D24" s="465"/>
      <c r="E24" s="465"/>
      <c r="F24" s="465"/>
      <c r="G24" s="465"/>
      <c r="H24" s="464"/>
      <c r="I24" s="465"/>
      <c r="J24" s="465"/>
      <c r="K24" s="465"/>
      <c r="L24" s="465"/>
      <c r="M24" s="465"/>
    </row>
    <row r="25" spans="1:13">
      <c r="A25" s="516">
        <v>41285</v>
      </c>
      <c r="B25" s="485"/>
      <c r="C25" s="683">
        <v>627309.66</v>
      </c>
      <c r="D25" s="465"/>
      <c r="E25" s="682">
        <v>875002.99</v>
      </c>
      <c r="F25" s="465"/>
      <c r="G25" s="508">
        <f>C25-E25</f>
        <v>-247693.32999999996</v>
      </c>
      <c r="H25" s="463"/>
      <c r="I25" s="463"/>
      <c r="J25" s="681"/>
      <c r="K25" s="463">
        <f t="shared" ref="K25:K36" si="3">G25-I25</f>
        <v>-247693.32999999996</v>
      </c>
      <c r="L25" s="463"/>
      <c r="M25" s="464">
        <f>M22+K25</f>
        <v>-975554.10788319807</v>
      </c>
    </row>
    <row r="26" spans="1:13">
      <c r="A26" s="516">
        <v>41316</v>
      </c>
      <c r="B26" s="485"/>
      <c r="C26" s="683">
        <v>573006.85</v>
      </c>
      <c r="D26" s="465"/>
      <c r="E26" s="921">
        <v>772468.05</v>
      </c>
      <c r="F26" s="465"/>
      <c r="G26" s="508">
        <f>C26-E26</f>
        <v>-199461.20000000007</v>
      </c>
      <c r="H26" s="464"/>
      <c r="I26" s="464"/>
      <c r="J26" s="465"/>
      <c r="K26" s="464">
        <f t="shared" si="3"/>
        <v>-199461.20000000007</v>
      </c>
      <c r="L26" s="464"/>
      <c r="M26" s="464">
        <f t="shared" ref="M26:M36" si="4">M25+K26</f>
        <v>-1175015.3078831981</v>
      </c>
    </row>
    <row r="27" spans="1:13">
      <c r="A27" s="516">
        <v>41344</v>
      </c>
      <c r="B27" s="485"/>
      <c r="C27" s="683">
        <v>724328.85</v>
      </c>
      <c r="D27" s="465"/>
      <c r="E27" s="921">
        <v>830765.07</v>
      </c>
      <c r="F27" s="465"/>
      <c r="G27" s="508">
        <f>C27-E27</f>
        <v>-106436.21999999997</v>
      </c>
      <c r="H27" s="465"/>
      <c r="I27" s="465"/>
      <c r="J27" s="465"/>
      <c r="K27" s="464">
        <f t="shared" si="3"/>
        <v>-106436.21999999997</v>
      </c>
      <c r="L27" s="464"/>
      <c r="M27" s="464">
        <f t="shared" si="4"/>
        <v>-1281451.5278831981</v>
      </c>
    </row>
    <row r="28" spans="1:13">
      <c r="A28" s="516">
        <v>41375</v>
      </c>
      <c r="B28" s="485"/>
      <c r="C28" s="683">
        <v>591717.18999999994</v>
      </c>
      <c r="D28" s="465"/>
      <c r="E28" s="921">
        <v>793293.88</v>
      </c>
      <c r="F28" s="465"/>
      <c r="G28" s="508">
        <f>C28-E28</f>
        <v>-201576.69000000006</v>
      </c>
      <c r="H28" s="465"/>
      <c r="I28" s="465"/>
      <c r="J28" s="465"/>
      <c r="K28" s="465">
        <f t="shared" si="3"/>
        <v>-201576.69000000006</v>
      </c>
      <c r="L28" s="464"/>
      <c r="M28" s="464">
        <f t="shared" si="4"/>
        <v>-1483028.2178831981</v>
      </c>
    </row>
    <row r="29" spans="1:13">
      <c r="A29" s="516">
        <v>41405</v>
      </c>
      <c r="B29" s="485"/>
      <c r="C29" s="683">
        <v>571818.81000000006</v>
      </c>
      <c r="D29" s="465"/>
      <c r="E29" s="921">
        <v>808438.42</v>
      </c>
      <c r="F29" s="465"/>
      <c r="G29" s="508">
        <f>C29-E29</f>
        <v>-236619.61</v>
      </c>
      <c r="H29" s="465"/>
      <c r="I29" s="465"/>
      <c r="J29" s="465"/>
      <c r="K29" s="465">
        <f t="shared" si="3"/>
        <v>-236619.61</v>
      </c>
      <c r="L29" s="465"/>
      <c r="M29" s="465">
        <f t="shared" si="4"/>
        <v>-1719647.8278831979</v>
      </c>
    </row>
    <row r="30" spans="1:13">
      <c r="A30" s="516">
        <v>41436</v>
      </c>
      <c r="B30" s="485"/>
      <c r="C30" s="465"/>
      <c r="D30" s="465"/>
      <c r="E30" s="968"/>
      <c r="F30" s="711"/>
      <c r="G30" s="711">
        <f t="shared" ref="G30:G36" si="5">C30-E30</f>
        <v>0</v>
      </c>
      <c r="H30" s="465"/>
      <c r="I30" s="465">
        <f>ROUND($M$22/12,0)</f>
        <v>-60655</v>
      </c>
      <c r="J30" s="465"/>
      <c r="K30" s="465">
        <f t="shared" si="3"/>
        <v>60655</v>
      </c>
      <c r="L30" s="465"/>
      <c r="M30" s="465">
        <f t="shared" si="4"/>
        <v>-1658992.8278831979</v>
      </c>
    </row>
    <row r="31" spans="1:13">
      <c r="A31" s="516">
        <v>41466</v>
      </c>
      <c r="B31" s="485"/>
      <c r="C31" s="464"/>
      <c r="D31" s="464"/>
      <c r="E31" s="968"/>
      <c r="F31" s="969"/>
      <c r="G31" s="711">
        <f t="shared" si="5"/>
        <v>0</v>
      </c>
      <c r="H31" s="465"/>
      <c r="I31" s="465">
        <f>ROUND($M$22/12,0)</f>
        <v>-60655</v>
      </c>
      <c r="J31" s="465"/>
      <c r="K31" s="465">
        <f t="shared" si="3"/>
        <v>60655</v>
      </c>
      <c r="L31" s="464"/>
      <c r="M31" s="464">
        <f t="shared" si="4"/>
        <v>-1598337.8278831979</v>
      </c>
    </row>
    <row r="32" spans="1:13">
      <c r="A32" s="516">
        <v>41497</v>
      </c>
      <c r="B32" s="485"/>
      <c r="C32" s="464"/>
      <c r="D32" s="464"/>
      <c r="E32" s="968"/>
      <c r="F32" s="969"/>
      <c r="G32" s="711">
        <f t="shared" si="5"/>
        <v>0</v>
      </c>
      <c r="H32" s="465"/>
      <c r="I32" s="465">
        <f t="shared" ref="I32:I36" si="6">ROUND($M$22/12,0)</f>
        <v>-60655</v>
      </c>
      <c r="J32" s="465"/>
      <c r="K32" s="465">
        <f t="shared" si="3"/>
        <v>60655</v>
      </c>
      <c r="L32" s="464"/>
      <c r="M32" s="464">
        <f t="shared" si="4"/>
        <v>-1537682.8278831979</v>
      </c>
    </row>
    <row r="33" spans="1:13">
      <c r="A33" s="516">
        <v>41528</v>
      </c>
      <c r="B33" s="485"/>
      <c r="C33" s="464"/>
      <c r="D33" s="464"/>
      <c r="E33" s="968"/>
      <c r="F33" s="969"/>
      <c r="G33" s="711">
        <f t="shared" si="5"/>
        <v>0</v>
      </c>
      <c r="H33" s="465"/>
      <c r="I33" s="465">
        <f t="shared" si="6"/>
        <v>-60655</v>
      </c>
      <c r="J33" s="465"/>
      <c r="K33" s="465">
        <f t="shared" si="3"/>
        <v>60655</v>
      </c>
      <c r="L33" s="464"/>
      <c r="M33" s="464">
        <f t="shared" si="4"/>
        <v>-1477027.8278831979</v>
      </c>
    </row>
    <row r="34" spans="1:13">
      <c r="A34" s="516">
        <v>41558</v>
      </c>
      <c r="B34" s="485"/>
      <c r="C34" s="464"/>
      <c r="D34" s="464"/>
      <c r="E34" s="968"/>
      <c r="F34" s="969"/>
      <c r="G34" s="711">
        <f t="shared" si="5"/>
        <v>0</v>
      </c>
      <c r="H34" s="465"/>
      <c r="I34" s="465">
        <f t="shared" si="6"/>
        <v>-60655</v>
      </c>
      <c r="J34" s="465"/>
      <c r="K34" s="465">
        <f t="shared" si="3"/>
        <v>60655</v>
      </c>
      <c r="L34" s="464"/>
      <c r="M34" s="464">
        <f t="shared" si="4"/>
        <v>-1416372.8278831979</v>
      </c>
    </row>
    <row r="35" spans="1:13">
      <c r="A35" s="516">
        <v>41589</v>
      </c>
      <c r="C35" s="464"/>
      <c r="D35" s="464"/>
      <c r="E35" s="968"/>
      <c r="F35" s="969"/>
      <c r="G35" s="711">
        <f t="shared" si="5"/>
        <v>0</v>
      </c>
      <c r="H35" s="465"/>
      <c r="I35" s="465">
        <f t="shared" si="6"/>
        <v>-60655</v>
      </c>
      <c r="J35" s="465"/>
      <c r="K35" s="465">
        <f t="shared" si="3"/>
        <v>60655</v>
      </c>
      <c r="L35" s="464"/>
      <c r="M35" s="464">
        <f t="shared" si="4"/>
        <v>-1355717.8278831979</v>
      </c>
    </row>
    <row r="36" spans="1:13">
      <c r="A36" s="516">
        <v>41619</v>
      </c>
      <c r="C36" s="710"/>
      <c r="D36" s="711"/>
      <c r="E36" s="710"/>
      <c r="F36" s="711"/>
      <c r="G36" s="712">
        <f t="shared" si="5"/>
        <v>0</v>
      </c>
      <c r="H36" s="465"/>
      <c r="I36" s="712">
        <f t="shared" si="6"/>
        <v>-60655</v>
      </c>
      <c r="J36" s="465"/>
      <c r="K36" s="466">
        <f t="shared" si="3"/>
        <v>60655</v>
      </c>
      <c r="L36" s="465"/>
      <c r="M36" s="463">
        <f t="shared" si="4"/>
        <v>-1295062.8278831979</v>
      </c>
    </row>
    <row r="37" spans="1:13" ht="15.75">
      <c r="A37" s="467" t="s">
        <v>17</v>
      </c>
      <c r="C37" s="463">
        <f>SUM(C25:C36)</f>
        <v>3088181.36</v>
      </c>
      <c r="D37" s="465"/>
      <c r="E37" s="463">
        <f>SUM(E25:E36)</f>
        <v>4079968.4099999997</v>
      </c>
      <c r="F37" s="465"/>
      <c r="G37" s="463">
        <f>SUM(G25:G36)</f>
        <v>-991787.05</v>
      </c>
      <c r="H37" s="465"/>
      <c r="I37" s="463">
        <f>SUM(I30:I36)</f>
        <v>-424585</v>
      </c>
      <c r="J37" s="681"/>
      <c r="K37" s="463">
        <f>SUM(K25:K36)</f>
        <v>-567202.05000000005</v>
      </c>
      <c r="L37" s="463"/>
      <c r="M37" s="463"/>
    </row>
    <row r="38" spans="1:13">
      <c r="A38" s="516"/>
      <c r="C38" s="464"/>
      <c r="D38" s="464"/>
      <c r="E38" s="464"/>
      <c r="F38" s="464"/>
      <c r="G38" s="464"/>
      <c r="H38" s="465"/>
      <c r="I38" s="465"/>
      <c r="J38" s="465"/>
      <c r="K38" s="465"/>
      <c r="L38" s="465"/>
      <c r="M38" s="465"/>
    </row>
    <row r="39" spans="1:13">
      <c r="A39" s="516">
        <v>41650</v>
      </c>
      <c r="C39" s="463"/>
      <c r="D39" s="463"/>
      <c r="E39" s="970"/>
      <c r="F39" s="927"/>
      <c r="G39" s="711">
        <f>C39-E39</f>
        <v>0</v>
      </c>
      <c r="H39" s="465"/>
      <c r="I39" s="465">
        <f t="shared" ref="I39:I43" si="7">ROUND($M$22/12,0)</f>
        <v>-60655</v>
      </c>
      <c r="J39" s="681"/>
      <c r="K39" s="463">
        <f t="shared" ref="K39:K50" si="8">G39-I39</f>
        <v>60655</v>
      </c>
      <c r="L39" s="463"/>
      <c r="M39" s="463">
        <f>M36+K39</f>
        <v>-1234407.8278831979</v>
      </c>
    </row>
    <row r="40" spans="1:13">
      <c r="A40" s="516">
        <v>41681</v>
      </c>
      <c r="C40" s="464"/>
      <c r="D40" s="464"/>
      <c r="E40" s="968"/>
      <c r="F40" s="969"/>
      <c r="G40" s="711">
        <f t="shared" ref="G40:G43" si="9">C40-E40</f>
        <v>0</v>
      </c>
      <c r="H40" s="465"/>
      <c r="I40" s="465">
        <f t="shared" si="7"/>
        <v>-60655</v>
      </c>
      <c r="J40" s="465"/>
      <c r="K40" s="464">
        <f t="shared" si="8"/>
        <v>60655</v>
      </c>
      <c r="L40" s="464"/>
      <c r="M40" s="464">
        <f t="shared" ref="M40:M50" si="10">M39+K40</f>
        <v>-1173752.8278831979</v>
      </c>
    </row>
    <row r="41" spans="1:13">
      <c r="A41" s="516">
        <v>41709</v>
      </c>
      <c r="C41" s="468"/>
      <c r="D41" s="464"/>
      <c r="E41" s="968"/>
      <c r="F41" s="969"/>
      <c r="G41" s="711">
        <f t="shared" si="9"/>
        <v>0</v>
      </c>
      <c r="H41" s="465"/>
      <c r="I41" s="465">
        <f t="shared" si="7"/>
        <v>-60655</v>
      </c>
      <c r="J41" s="465"/>
      <c r="K41" s="464">
        <f t="shared" si="8"/>
        <v>60655</v>
      </c>
      <c r="L41" s="464"/>
      <c r="M41" s="464">
        <f t="shared" si="10"/>
        <v>-1113097.8278831979</v>
      </c>
    </row>
    <row r="42" spans="1:13">
      <c r="A42" s="516">
        <v>41740</v>
      </c>
      <c r="C42" s="464"/>
      <c r="D42" s="464"/>
      <c r="E42" s="968"/>
      <c r="F42" s="969"/>
      <c r="G42" s="711">
        <f t="shared" si="9"/>
        <v>0</v>
      </c>
      <c r="H42" s="465"/>
      <c r="I42" s="465">
        <f t="shared" si="7"/>
        <v>-60655</v>
      </c>
      <c r="J42" s="465"/>
      <c r="K42" s="464">
        <f t="shared" si="8"/>
        <v>60655</v>
      </c>
      <c r="L42" s="464"/>
      <c r="M42" s="464">
        <f t="shared" si="10"/>
        <v>-1052442.8278831979</v>
      </c>
    </row>
    <row r="43" spans="1:13">
      <c r="A43" s="516">
        <v>41770</v>
      </c>
      <c r="B43" s="485"/>
      <c r="C43" s="465"/>
      <c r="D43" s="465"/>
      <c r="E43" s="968"/>
      <c r="F43" s="711"/>
      <c r="G43" s="711">
        <f t="shared" si="9"/>
        <v>0</v>
      </c>
      <c r="H43" s="465"/>
      <c r="I43" s="465">
        <f t="shared" si="7"/>
        <v>-60655</v>
      </c>
      <c r="J43" s="465"/>
      <c r="K43" s="464">
        <f t="shared" si="8"/>
        <v>60655</v>
      </c>
      <c r="L43" s="464"/>
      <c r="M43" s="464">
        <f t="shared" si="10"/>
        <v>-991787.82788319793</v>
      </c>
    </row>
    <row r="44" spans="1:13">
      <c r="A44" s="516">
        <v>41801</v>
      </c>
      <c r="B44" s="485"/>
      <c r="C44" s="465"/>
      <c r="D44" s="465"/>
      <c r="E44" s="711"/>
      <c r="F44" s="711"/>
      <c r="G44" s="711"/>
      <c r="H44" s="465"/>
      <c r="I44" s="465">
        <f t="shared" ref="I44:I50" si="11">ROUND($M$43/12,0)</f>
        <v>-82649</v>
      </c>
      <c r="J44" s="465"/>
      <c r="K44" s="464">
        <f t="shared" si="8"/>
        <v>82649</v>
      </c>
      <c r="L44" s="464"/>
      <c r="M44" s="464">
        <f t="shared" si="10"/>
        <v>-909138.82788319793</v>
      </c>
    </row>
    <row r="45" spans="1:13">
      <c r="A45" s="516">
        <v>41831</v>
      </c>
      <c r="B45" s="485"/>
      <c r="C45" s="465"/>
      <c r="D45" s="465"/>
      <c r="E45" s="465"/>
      <c r="F45" s="465"/>
      <c r="G45" s="465"/>
      <c r="H45" s="465"/>
      <c r="I45" s="465">
        <f t="shared" si="11"/>
        <v>-82649</v>
      </c>
      <c r="J45" s="465"/>
      <c r="K45" s="464">
        <f t="shared" si="8"/>
        <v>82649</v>
      </c>
      <c r="L45" s="464"/>
      <c r="M45" s="464">
        <f t="shared" si="10"/>
        <v>-826489.82788319793</v>
      </c>
    </row>
    <row r="46" spans="1:13">
      <c r="A46" s="516">
        <v>41862</v>
      </c>
      <c r="B46" s="485"/>
      <c r="C46" s="465"/>
      <c r="D46" s="465"/>
      <c r="E46" s="465"/>
      <c r="F46" s="465"/>
      <c r="G46" s="465"/>
      <c r="H46" s="465"/>
      <c r="I46" s="465">
        <f t="shared" si="11"/>
        <v>-82649</v>
      </c>
      <c r="J46" s="465"/>
      <c r="K46" s="464">
        <f t="shared" si="8"/>
        <v>82649</v>
      </c>
      <c r="L46" s="464"/>
      <c r="M46" s="464">
        <f t="shared" si="10"/>
        <v>-743840.82788319793</v>
      </c>
    </row>
    <row r="47" spans="1:13">
      <c r="A47" s="516">
        <v>41893</v>
      </c>
      <c r="B47" s="485"/>
      <c r="C47" s="465"/>
      <c r="D47" s="465"/>
      <c r="E47" s="465"/>
      <c r="F47" s="465"/>
      <c r="G47" s="465"/>
      <c r="H47" s="465"/>
      <c r="I47" s="465">
        <f t="shared" si="11"/>
        <v>-82649</v>
      </c>
      <c r="J47" s="465"/>
      <c r="K47" s="464">
        <f t="shared" si="8"/>
        <v>82649</v>
      </c>
      <c r="L47" s="464"/>
      <c r="M47" s="464">
        <f t="shared" si="10"/>
        <v>-661191.82788319793</v>
      </c>
    </row>
    <row r="48" spans="1:13">
      <c r="A48" s="516">
        <v>41923</v>
      </c>
      <c r="B48" s="485"/>
      <c r="C48" s="465"/>
      <c r="D48" s="465"/>
      <c r="E48" s="465"/>
      <c r="F48" s="465"/>
      <c r="G48" s="465"/>
      <c r="H48" s="465"/>
      <c r="I48" s="465">
        <f t="shared" si="11"/>
        <v>-82649</v>
      </c>
      <c r="J48" s="465"/>
      <c r="K48" s="464">
        <f t="shared" si="8"/>
        <v>82649</v>
      </c>
      <c r="L48" s="464"/>
      <c r="M48" s="464">
        <f t="shared" si="10"/>
        <v>-578542.82788319793</v>
      </c>
    </row>
    <row r="49" spans="1:13">
      <c r="A49" s="516">
        <v>41954</v>
      </c>
      <c r="B49" s="485"/>
      <c r="C49" s="465"/>
      <c r="D49" s="465"/>
      <c r="E49" s="465"/>
      <c r="F49" s="465"/>
      <c r="G49" s="465"/>
      <c r="H49" s="465"/>
      <c r="I49" s="465">
        <f t="shared" si="11"/>
        <v>-82649</v>
      </c>
      <c r="J49" s="465"/>
      <c r="K49" s="464">
        <f t="shared" si="8"/>
        <v>82649</v>
      </c>
      <c r="L49" s="464"/>
      <c r="M49" s="464">
        <f t="shared" si="10"/>
        <v>-495893.82788319793</v>
      </c>
    </row>
    <row r="50" spans="1:13">
      <c r="A50" s="516">
        <v>41984</v>
      </c>
      <c r="B50" s="485"/>
      <c r="C50" s="712"/>
      <c r="D50" s="465"/>
      <c r="E50" s="712"/>
      <c r="F50" s="465"/>
      <c r="G50" s="712"/>
      <c r="H50" s="465"/>
      <c r="I50" s="712">
        <f t="shared" si="11"/>
        <v>-82649</v>
      </c>
      <c r="J50" s="465"/>
      <c r="K50" s="466">
        <f t="shared" si="8"/>
        <v>82649</v>
      </c>
      <c r="L50" s="465"/>
      <c r="M50" s="463">
        <f t="shared" si="10"/>
        <v>-413244.82788319793</v>
      </c>
    </row>
    <row r="51" spans="1:13" ht="15.75">
      <c r="A51" s="467" t="s">
        <v>17</v>
      </c>
      <c r="B51" s="485"/>
      <c r="C51" s="463">
        <f>SUM(C39:C50)</f>
        <v>0</v>
      </c>
      <c r="D51" s="465"/>
      <c r="E51" s="463">
        <f>SUM(E39:E50)</f>
        <v>0</v>
      </c>
      <c r="F51" s="465"/>
      <c r="G51" s="463">
        <f>SUM(G39:G50)</f>
        <v>0</v>
      </c>
      <c r="H51" s="465"/>
      <c r="I51" s="927">
        <f>SUM(I39:I50)</f>
        <v>-881818</v>
      </c>
      <c r="J51" s="681"/>
      <c r="K51" s="463">
        <f>SUM(K39:K50)</f>
        <v>881818</v>
      </c>
      <c r="L51" s="463"/>
      <c r="M51" s="463"/>
    </row>
    <row r="52" spans="1:13">
      <c r="A52" s="516"/>
      <c r="B52" s="485"/>
      <c r="C52" s="465"/>
      <c r="D52" s="465"/>
      <c r="E52" s="465"/>
      <c r="F52" s="465"/>
      <c r="G52" s="465"/>
      <c r="H52" s="465"/>
      <c r="I52" s="711"/>
      <c r="J52" s="465"/>
      <c r="K52" s="465"/>
      <c r="L52" s="465"/>
      <c r="M52" s="465"/>
    </row>
    <row r="53" spans="1:13">
      <c r="A53" s="516">
        <v>42015</v>
      </c>
      <c r="B53" s="485"/>
      <c r="C53" s="465"/>
      <c r="D53" s="465"/>
      <c r="E53" s="465"/>
      <c r="F53" s="465"/>
      <c r="G53" s="465"/>
      <c r="H53" s="465"/>
      <c r="I53" s="465">
        <f>ROUND($M$43/12,0)</f>
        <v>-82649</v>
      </c>
      <c r="J53" s="681"/>
      <c r="K53" s="463">
        <f>G53-I53</f>
        <v>82649</v>
      </c>
      <c r="L53" s="463"/>
      <c r="M53" s="463">
        <f>M50+K53</f>
        <v>-330595.82788319793</v>
      </c>
    </row>
    <row r="54" spans="1:13">
      <c r="A54" s="516">
        <v>42046</v>
      </c>
      <c r="B54" s="485"/>
      <c r="C54" s="465"/>
      <c r="D54" s="465"/>
      <c r="E54" s="465"/>
      <c r="F54" s="465"/>
      <c r="G54" s="465"/>
      <c r="H54" s="465"/>
      <c r="I54" s="465">
        <f>ROUND($M$43/12,0)</f>
        <v>-82649</v>
      </c>
      <c r="J54" s="465"/>
      <c r="K54" s="464">
        <f>G54-I54</f>
        <v>82649</v>
      </c>
      <c r="L54" s="464"/>
      <c r="M54" s="464">
        <f>M53+K54</f>
        <v>-247946.82788319793</v>
      </c>
    </row>
    <row r="55" spans="1:13">
      <c r="A55" s="516">
        <v>42074</v>
      </c>
      <c r="B55" s="485"/>
      <c r="C55" s="465"/>
      <c r="D55" s="465"/>
      <c r="E55" s="465"/>
      <c r="F55" s="465"/>
      <c r="G55" s="465"/>
      <c r="H55" s="465"/>
      <c r="I55" s="465">
        <f>ROUND($M$43/12,0)</f>
        <v>-82649</v>
      </c>
      <c r="J55" s="465"/>
      <c r="K55" s="464">
        <f>G55-I55</f>
        <v>82649</v>
      </c>
      <c r="L55" s="464"/>
      <c r="M55" s="464">
        <f>M54+K55</f>
        <v>-165297.82788319793</v>
      </c>
    </row>
    <row r="56" spans="1:13">
      <c r="A56" s="516">
        <v>42105</v>
      </c>
      <c r="B56" s="485"/>
      <c r="C56" s="465"/>
      <c r="D56" s="465"/>
      <c r="E56" s="465"/>
      <c r="F56" s="465"/>
      <c r="G56" s="465"/>
      <c r="H56" s="465"/>
      <c r="I56" s="465">
        <f>ROUND($M$43/12,0)</f>
        <v>-82649</v>
      </c>
      <c r="J56" s="465"/>
      <c r="K56" s="464">
        <f>G56-I56</f>
        <v>82649</v>
      </c>
      <c r="L56" s="464"/>
      <c r="M56" s="464">
        <f>M55+K56</f>
        <v>-82648.827883197926</v>
      </c>
    </row>
    <row r="57" spans="1:13">
      <c r="A57" s="516">
        <v>42135</v>
      </c>
      <c r="B57" s="485"/>
      <c r="C57" s="465"/>
      <c r="D57" s="465"/>
      <c r="E57" s="465"/>
      <c r="F57" s="465"/>
      <c r="G57" s="465"/>
      <c r="H57" s="465"/>
      <c r="I57" s="712">
        <f>ROUND($M$43/12,0)</f>
        <v>-82649</v>
      </c>
      <c r="J57" s="465"/>
      <c r="K57" s="466">
        <f>G57-I57</f>
        <v>82649</v>
      </c>
      <c r="L57" s="465"/>
      <c r="M57" s="463">
        <f>M56+K57</f>
        <v>0.17211680207401514</v>
      </c>
    </row>
    <row r="58" spans="1:13" ht="15.75">
      <c r="A58" s="467" t="s">
        <v>17</v>
      </c>
      <c r="C58" s="463"/>
      <c r="D58" s="463"/>
      <c r="E58" s="463"/>
      <c r="F58" s="463"/>
      <c r="G58" s="463"/>
      <c r="H58" s="463"/>
      <c r="I58" s="927">
        <f>SUM(I53:I57)</f>
        <v>-413245</v>
      </c>
      <c r="J58" s="681"/>
      <c r="K58" s="463">
        <f>SUM(K53:K57)</f>
        <v>413245</v>
      </c>
      <c r="L58" s="463"/>
      <c r="M58" s="463"/>
    </row>
    <row r="59" spans="1:13" ht="15.75">
      <c r="A59" s="467"/>
    </row>
    <row r="60" spans="1:13">
      <c r="A60" s="425" t="s">
        <v>196</v>
      </c>
    </row>
    <row r="62" spans="1:13">
      <c r="A62" s="517" t="s">
        <v>524</v>
      </c>
      <c r="C62" s="883" t="s">
        <v>773</v>
      </c>
    </row>
    <row r="63" spans="1:13">
      <c r="A63" s="517" t="s">
        <v>525</v>
      </c>
      <c r="C63" s="883" t="s">
        <v>530</v>
      </c>
    </row>
    <row r="64" spans="1:13">
      <c r="A64" s="517" t="s">
        <v>526</v>
      </c>
      <c r="C64" s="883" t="s">
        <v>527</v>
      </c>
    </row>
    <row r="65" spans="3:3">
      <c r="C65" s="882" t="s">
        <v>634</v>
      </c>
    </row>
    <row r="66" spans="3:3">
      <c r="C66" s="884" t="s">
        <v>635</v>
      </c>
    </row>
  </sheetData>
  <mergeCells count="2">
    <mergeCell ref="A1:M1"/>
    <mergeCell ref="A3:M3"/>
  </mergeCells>
  <printOptions horizontalCentered="1"/>
  <pageMargins left="0.45" right="0.45" top="0.75" bottom="0.5" header="0.3" footer="0.3"/>
  <pageSetup scale="51" orientation="landscape" r:id="rId1"/>
  <headerFooter>
    <oddHeader>&amp;RAttachment H-22A
Appendix E
Workpaper</oddHeader>
  </headerFooter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7">
    <tabColor theme="1" tint="4.9989318521683403E-2"/>
    <pageSetUpPr fitToPage="1"/>
  </sheetPr>
  <dimension ref="A1:H45"/>
  <sheetViews>
    <sheetView zoomScale="80" zoomScaleNormal="80" workbookViewId="0"/>
  </sheetViews>
  <sheetFormatPr defaultColWidth="16.21875" defaultRowHeight="12.75"/>
  <cols>
    <col min="1" max="1" width="2.109375" style="103" customWidth="1"/>
    <col min="2" max="2" width="42.21875" style="103" customWidth="1"/>
    <col min="3" max="3" width="8.44140625" style="103" customWidth="1"/>
    <col min="4" max="6" width="16.21875" style="103"/>
    <col min="7" max="7" width="3.44140625" style="103" customWidth="1"/>
    <col min="8" max="8" width="7.44140625" style="103" customWidth="1"/>
    <col min="9" max="16384" width="16.21875" style="103"/>
  </cols>
  <sheetData>
    <row r="1" spans="1:8" s="100" customFormat="1" ht="18">
      <c r="A1" s="129" t="s">
        <v>528</v>
      </c>
      <c r="B1" s="129"/>
      <c r="C1" s="129"/>
      <c r="D1" s="102"/>
      <c r="E1" s="102"/>
      <c r="F1" s="102"/>
      <c r="G1" s="92"/>
    </row>
    <row r="2" spans="1:8" s="100" customFormat="1" ht="18">
      <c r="A2" s="129"/>
      <c r="B2" s="129"/>
      <c r="C2" s="129"/>
      <c r="D2" s="102"/>
      <c r="E2" s="102"/>
      <c r="F2" s="102"/>
      <c r="G2" s="92"/>
    </row>
    <row r="3" spans="1:8" s="100" customFormat="1" ht="18">
      <c r="A3" s="129"/>
      <c r="B3" s="129"/>
      <c r="C3" s="129"/>
      <c r="D3" s="102"/>
      <c r="E3" s="102"/>
      <c r="F3" s="92" t="s">
        <v>547</v>
      </c>
      <c r="G3" s="92"/>
    </row>
    <row r="4" spans="1:8" s="100" customFormat="1" ht="15.75">
      <c r="A4" s="117"/>
      <c r="B4" s="117"/>
      <c r="C4" s="117"/>
      <c r="D4" s="118"/>
      <c r="F4" s="92" t="str">
        <f>"Page 1 of "&amp;Workpaper</f>
        <v>Page 1 of 11</v>
      </c>
      <c r="G4" s="92"/>
    </row>
    <row r="5" spans="1:8" s="100" customFormat="1" ht="15.75">
      <c r="A5" s="117"/>
      <c r="B5" s="117"/>
      <c r="C5" s="117"/>
      <c r="D5" s="118"/>
      <c r="F5" s="92" t="str">
        <f>'DE Ohio &amp; Kentucky'!$J$124</f>
        <v>For the 12 months ended: 12/31/2015</v>
      </c>
      <c r="G5" s="92"/>
    </row>
    <row r="6" spans="1:8" s="100" customFormat="1" ht="15.75">
      <c r="A6" s="117"/>
      <c r="B6" s="117"/>
      <c r="C6" s="117"/>
      <c r="D6" s="118"/>
      <c r="F6" s="92"/>
      <c r="G6" s="92"/>
    </row>
    <row r="7" spans="1:8" s="100" customFormat="1" ht="15.75">
      <c r="A7" s="939" t="s">
        <v>716</v>
      </c>
      <c r="B7" s="939"/>
      <c r="C7" s="939"/>
      <c r="D7" s="940"/>
      <c r="E7" s="940"/>
      <c r="F7" s="940"/>
      <c r="G7" s="92"/>
      <c r="H7" s="306"/>
    </row>
    <row r="8" spans="1:8" s="100" customFormat="1" ht="15.75">
      <c r="A8" s="939" t="s">
        <v>800</v>
      </c>
      <c r="B8" s="939"/>
      <c r="C8" s="939"/>
      <c r="D8" s="940"/>
      <c r="E8" s="940"/>
      <c r="F8" s="940"/>
      <c r="G8" s="92"/>
    </row>
    <row r="9" spans="1:8" s="100" customFormat="1" ht="15">
      <c r="A9" s="106"/>
      <c r="B9" s="106"/>
      <c r="C9" s="106"/>
      <c r="D9" s="106"/>
      <c r="E9" s="106"/>
      <c r="F9" s="106"/>
      <c r="G9" s="92"/>
    </row>
    <row r="10" spans="1:8" s="100" customFormat="1" ht="15.75">
      <c r="A10" s="120"/>
      <c r="B10" s="120"/>
      <c r="C10" s="120"/>
      <c r="D10" s="119"/>
      <c r="E10" s="119"/>
      <c r="F10" s="119"/>
      <c r="G10" s="119"/>
    </row>
    <row r="11" spans="1:8" s="100" customFormat="1" ht="15.75" thickBot="1">
      <c r="A11" s="119"/>
      <c r="B11" s="119"/>
      <c r="C11" s="119"/>
      <c r="D11" s="122"/>
      <c r="E11" s="122"/>
      <c r="F11" s="122"/>
      <c r="G11" s="122"/>
    </row>
    <row r="12" spans="1:8" s="100" customFormat="1" ht="21" thickBot="1">
      <c r="B12" s="775" t="s">
        <v>260</v>
      </c>
      <c r="C12" s="215"/>
      <c r="D12" s="123" t="s">
        <v>217</v>
      </c>
      <c r="E12" s="123" t="s">
        <v>218</v>
      </c>
      <c r="F12" s="123" t="s">
        <v>546</v>
      </c>
      <c r="G12" s="123"/>
    </row>
    <row r="13" spans="1:8" s="100" customFormat="1" ht="20.25">
      <c r="A13" s="119"/>
      <c r="B13" s="119"/>
      <c r="C13" s="119"/>
      <c r="D13" s="713"/>
      <c r="E13" s="217"/>
      <c r="F13" s="123"/>
      <c r="G13" s="123"/>
    </row>
    <row r="14" spans="1:8" s="100" customFormat="1" ht="15">
      <c r="A14" s="942" t="s">
        <v>717</v>
      </c>
      <c r="B14" s="124"/>
      <c r="D14" s="714">
        <f>-18185187+71929717</f>
        <v>53744530</v>
      </c>
      <c r="E14" s="714">
        <f>37887639+665954</f>
        <v>38553593</v>
      </c>
      <c r="F14" s="411">
        <f>E14+D14</f>
        <v>92298123</v>
      </c>
      <c r="G14" s="411"/>
    </row>
    <row r="15" spans="1:8" s="100" customFormat="1" ht="15">
      <c r="A15" s="125"/>
      <c r="B15" s="125"/>
      <c r="C15" s="125"/>
      <c r="D15" s="715"/>
      <c r="E15" s="715"/>
      <c r="F15" s="214"/>
      <c r="G15" s="214"/>
    </row>
    <row r="16" spans="1:8" s="100" customFormat="1" ht="15.75">
      <c r="A16" s="125" t="s">
        <v>672</v>
      </c>
      <c r="B16" s="125"/>
      <c r="C16" s="125"/>
      <c r="D16" s="715"/>
      <c r="E16" s="715"/>
      <c r="F16" s="214"/>
      <c r="G16" s="214"/>
    </row>
    <row r="17" spans="1:7" s="100" customFormat="1" ht="15">
      <c r="A17" s="125"/>
      <c r="B17" s="125" t="s">
        <v>787</v>
      </c>
      <c r="C17" s="125"/>
      <c r="D17" s="1022">
        <f>4148352-1147+361314</f>
        <v>4508519</v>
      </c>
      <c r="E17" s="1022">
        <v>1501702</v>
      </c>
      <c r="F17" s="411">
        <f>E17+D17</f>
        <v>6010221</v>
      </c>
      <c r="G17" s="214"/>
    </row>
    <row r="18" spans="1:7" s="100" customFormat="1" ht="15">
      <c r="A18" s="125"/>
      <c r="B18" s="125" t="s">
        <v>788</v>
      </c>
      <c r="C18" s="125"/>
      <c r="D18" s="1022">
        <v>618346</v>
      </c>
      <c r="E18" s="1022">
        <v>28183</v>
      </c>
      <c r="F18" s="411">
        <f>E18+D18</f>
        <v>646529</v>
      </c>
      <c r="G18" s="214"/>
    </row>
    <row r="19" spans="1:7" s="100" customFormat="1" ht="17.25">
      <c r="B19" s="125" t="s">
        <v>789</v>
      </c>
      <c r="C19" s="708"/>
      <c r="D19" s="731">
        <v>-124946</v>
      </c>
      <c r="E19" s="731">
        <v>0</v>
      </c>
      <c r="F19" s="130">
        <f>E19+D19</f>
        <v>-124946</v>
      </c>
      <c r="G19" s="411"/>
    </row>
    <row r="20" spans="1:7" s="100" customFormat="1" ht="15">
      <c r="A20" s="125"/>
      <c r="B20" s="125"/>
      <c r="C20" s="125"/>
      <c r="D20" s="219"/>
      <c r="E20" s="219"/>
      <c r="F20" s="119"/>
      <c r="G20" s="119"/>
    </row>
    <row r="21" spans="1:7" s="100" customFormat="1" ht="19.5" customHeight="1">
      <c r="A21" s="947" t="s">
        <v>765</v>
      </c>
      <c r="B21" s="131"/>
      <c r="C21" s="131"/>
      <c r="D21" s="586">
        <f>D14-D17-D18-D19</f>
        <v>48742611</v>
      </c>
      <c r="E21" s="586">
        <f>E14-E17-E18-E19</f>
        <v>37023708</v>
      </c>
      <c r="F21" s="586">
        <f>F14-F17-F18-F19</f>
        <v>85766319</v>
      </c>
      <c r="G21" s="128"/>
    </row>
    <row r="22" spans="1:7" s="100" customFormat="1">
      <c r="A22" s="101"/>
      <c r="B22" s="101"/>
      <c r="C22" s="101"/>
      <c r="D22" s="587" t="s">
        <v>790</v>
      </c>
      <c r="E22" s="587"/>
      <c r="F22" s="115"/>
      <c r="G22" s="115"/>
    </row>
    <row r="23" spans="1:7">
      <c r="A23" s="104"/>
      <c r="B23" s="104"/>
      <c r="C23" s="104"/>
      <c r="D23" s="588"/>
      <c r="E23" s="588"/>
      <c r="F23" s="105"/>
      <c r="G23" s="105"/>
    </row>
    <row r="24" spans="1:7" ht="13.5" thickBot="1">
      <c r="D24" s="211"/>
      <c r="E24" s="211"/>
    </row>
    <row r="25" spans="1:7" s="100" customFormat="1" ht="21" thickBot="1">
      <c r="B25" s="775" t="s">
        <v>259</v>
      </c>
      <c r="C25" s="215"/>
      <c r="D25" s="217" t="s">
        <v>217</v>
      </c>
      <c r="E25" s="217" t="s">
        <v>218</v>
      </c>
      <c r="F25" s="123" t="s">
        <v>546</v>
      </c>
      <c r="G25" s="123"/>
    </row>
    <row r="26" spans="1:7" s="100" customFormat="1" ht="20.25">
      <c r="A26" s="119"/>
      <c r="B26" s="119"/>
      <c r="C26" s="119"/>
      <c r="D26" s="713"/>
      <c r="E26" s="217"/>
      <c r="F26" s="123"/>
      <c r="G26" s="123"/>
    </row>
    <row r="27" spans="1:7" s="100" customFormat="1" ht="15">
      <c r="A27" s="124" t="s">
        <v>681</v>
      </c>
      <c r="B27" s="124"/>
      <c r="D27" s="1008">
        <f>659109387+30749471</f>
        <v>689858858</v>
      </c>
      <c r="E27" s="1008">
        <f>183849308+54277455</f>
        <v>238126763</v>
      </c>
      <c r="F27" s="411">
        <f>E27+D27</f>
        <v>927985621</v>
      </c>
      <c r="G27" s="411"/>
    </row>
    <row r="28" spans="1:7" s="100" customFormat="1" ht="15">
      <c r="A28" s="125"/>
      <c r="B28" s="125"/>
      <c r="C28" s="125"/>
      <c r="D28" s="715"/>
      <c r="E28" s="715"/>
      <c r="F28" s="214"/>
      <c r="G28" s="214"/>
    </row>
    <row r="29" spans="1:7" s="100" customFormat="1" ht="15.75">
      <c r="A29" s="125" t="s">
        <v>673</v>
      </c>
      <c r="B29" s="125"/>
      <c r="C29" s="125"/>
      <c r="D29" s="715"/>
      <c r="E29" s="715"/>
      <c r="F29" s="214"/>
      <c r="G29" s="214"/>
    </row>
    <row r="30" spans="1:7" s="100" customFormat="1" ht="15">
      <c r="A30" s="125"/>
      <c r="B30" s="125" t="s">
        <v>788</v>
      </c>
      <c r="C30" s="125"/>
      <c r="D30" s="1023">
        <f>1307171+70810066-16126529</f>
        <v>55990708</v>
      </c>
      <c r="E30" s="1023">
        <f>-149216+4290963-1580487</f>
        <v>2561260</v>
      </c>
      <c r="F30" s="962">
        <f>E30+D30</f>
        <v>58551968</v>
      </c>
      <c r="G30" s="214"/>
    </row>
    <row r="31" spans="1:7" s="100" customFormat="1" ht="17.25">
      <c r="B31" s="125" t="s">
        <v>789</v>
      </c>
      <c r="C31" s="708"/>
      <c r="D31" s="731">
        <v>368348</v>
      </c>
      <c r="E31" s="731">
        <v>-3706746</v>
      </c>
      <c r="F31" s="130">
        <f>E31+D31</f>
        <v>-3338398</v>
      </c>
      <c r="G31" s="411"/>
    </row>
    <row r="32" spans="1:7" s="100" customFormat="1" ht="15">
      <c r="A32" s="125"/>
      <c r="B32" s="125"/>
      <c r="C32" s="125"/>
      <c r="D32" s="119"/>
      <c r="E32" s="119"/>
      <c r="F32" s="119"/>
      <c r="G32" s="119"/>
    </row>
    <row r="33" spans="1:7" s="100" customFormat="1" ht="19.5" customHeight="1">
      <c r="A33" s="947" t="s">
        <v>766</v>
      </c>
      <c r="B33" s="131"/>
      <c r="C33" s="131"/>
      <c r="D33" s="586">
        <f>D27-D30-D31</f>
        <v>633499802</v>
      </c>
      <c r="E33" s="586">
        <f>E27-E30-E31</f>
        <v>239272249</v>
      </c>
      <c r="F33" s="586">
        <f>F27-F30-F31</f>
        <v>872772051</v>
      </c>
      <c r="G33" s="128"/>
    </row>
    <row r="36" spans="1:7" ht="13.5" thickBot="1"/>
    <row r="37" spans="1:7" ht="21" thickBot="1">
      <c r="A37" s="100"/>
      <c r="B37" s="775" t="s">
        <v>786</v>
      </c>
      <c r="C37" s="215"/>
      <c r="D37" s="217" t="s">
        <v>217</v>
      </c>
      <c r="E37" s="217" t="s">
        <v>218</v>
      </c>
      <c r="F37" s="123" t="s">
        <v>546</v>
      </c>
    </row>
    <row r="38" spans="1:7" ht="20.25">
      <c r="A38" s="119"/>
      <c r="B38" s="119"/>
      <c r="C38" s="119"/>
      <c r="D38" s="713"/>
      <c r="E38" s="217"/>
      <c r="F38" s="123"/>
    </row>
    <row r="39" spans="1:7" ht="15">
      <c r="A39" s="124" t="s">
        <v>791</v>
      </c>
      <c r="B39" s="124"/>
      <c r="C39" s="100"/>
      <c r="D39" s="1008">
        <f>62631110-1182057</f>
        <v>61449053</v>
      </c>
      <c r="E39" s="1008">
        <f>7611814+45303</f>
        <v>7657117</v>
      </c>
      <c r="F39" s="411">
        <f>E39+D39</f>
        <v>69106170</v>
      </c>
    </row>
    <row r="40" spans="1:7" ht="15">
      <c r="A40" s="125"/>
      <c r="B40" s="125"/>
      <c r="C40" s="125"/>
      <c r="D40" s="715"/>
      <c r="E40" s="715"/>
      <c r="F40" s="214"/>
    </row>
    <row r="41" spans="1:7" ht="15.75">
      <c r="A41" s="125" t="s">
        <v>673</v>
      </c>
      <c r="B41" s="125"/>
      <c r="C41" s="125"/>
      <c r="D41" s="715"/>
      <c r="E41" s="715"/>
      <c r="F41" s="214"/>
    </row>
    <row r="42" spans="1:7" ht="15">
      <c r="A42" s="125"/>
      <c r="B42" s="125" t="s">
        <v>787</v>
      </c>
      <c r="C42" s="125"/>
      <c r="D42" s="1023">
        <v>3747545</v>
      </c>
      <c r="E42" s="715"/>
      <c r="F42" s="962">
        <f>E42+D42</f>
        <v>3747545</v>
      </c>
    </row>
    <row r="43" spans="1:7" ht="17.25">
      <c r="A43" s="100"/>
      <c r="B43" s="125" t="s">
        <v>789</v>
      </c>
      <c r="C43" s="708"/>
      <c r="D43" s="731">
        <v>0</v>
      </c>
      <c r="E43" s="731">
        <v>0</v>
      </c>
      <c r="F43" s="130">
        <f>E43+D43</f>
        <v>0</v>
      </c>
    </row>
    <row r="44" spans="1:7" ht="15">
      <c r="A44" s="125"/>
      <c r="B44" s="125"/>
      <c r="C44" s="125"/>
      <c r="D44" s="119"/>
      <c r="E44" s="119"/>
      <c r="F44" s="119"/>
    </row>
    <row r="45" spans="1:7" ht="17.25">
      <c r="A45" s="947" t="s">
        <v>766</v>
      </c>
      <c r="B45" s="131"/>
      <c r="C45" s="131"/>
      <c r="D45" s="586">
        <f>D39-D42-D43</f>
        <v>57701508</v>
      </c>
      <c r="E45" s="586">
        <f>E39-E42-E43</f>
        <v>7657117</v>
      </c>
      <c r="F45" s="586">
        <f>F39-F42-F43</f>
        <v>65358625</v>
      </c>
    </row>
  </sheetData>
  <phoneticPr fontId="0" type="noConversion"/>
  <printOptions horizontalCentered="1"/>
  <pageMargins left="0.75" right="0.75" top="0.75" bottom="0.5" header="0.25" footer="0.25"/>
  <pageSetup scale="74" orientation="portrait" blackAndWhite="1" r:id="rId1"/>
  <headerFooter alignWithMargins="0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 enableFormatConditionsCalculation="0">
    <tabColor theme="1"/>
    <pageSetUpPr fitToPage="1"/>
  </sheetPr>
  <dimension ref="A1:I281"/>
  <sheetViews>
    <sheetView zoomScale="90" zoomScaleNormal="90" zoomScaleSheetLayoutView="75" workbookViewId="0"/>
  </sheetViews>
  <sheetFormatPr defaultColWidth="7.109375" defaultRowHeight="12.75"/>
  <cols>
    <col min="1" max="1" width="18.44140625" style="85" customWidth="1"/>
    <col min="2" max="2" width="12.33203125" style="85" customWidth="1"/>
    <col min="3" max="3" width="1.44140625" style="85" customWidth="1"/>
    <col min="4" max="4" width="8.6640625" style="85" customWidth="1"/>
    <col min="5" max="5" width="1.109375" style="85" customWidth="1"/>
    <col min="6" max="6" width="12.88671875" style="85" customWidth="1"/>
    <col min="7" max="7" width="0.6640625" style="85" customWidth="1"/>
    <col min="8" max="8" width="11.44140625" style="85" customWidth="1"/>
    <col min="9" max="9" width="3.6640625" style="85" customWidth="1"/>
    <col min="10" max="16384" width="7.109375" style="85"/>
  </cols>
  <sheetData>
    <row r="1" spans="1:9" ht="18">
      <c r="A1" s="760" t="str">
        <f>'P1 ADIT 190 &amp; 282'!A1</f>
        <v>Duke Energy Ohio and Duke Energy Kentucky</v>
      </c>
      <c r="B1" s="761"/>
      <c r="C1" s="761"/>
      <c r="D1" s="761"/>
      <c r="E1" s="761"/>
      <c r="F1" s="761"/>
      <c r="G1" s="761"/>
      <c r="H1" s="761"/>
    </row>
    <row r="2" spans="1:9" ht="18">
      <c r="A2" s="760"/>
      <c r="B2" s="761"/>
      <c r="C2" s="761"/>
      <c r="D2" s="761"/>
      <c r="E2" s="761"/>
      <c r="F2" s="761"/>
      <c r="G2" s="762"/>
      <c r="H2" s="762"/>
    </row>
    <row r="3" spans="1:9">
      <c r="A3" s="762"/>
      <c r="B3" s="762"/>
      <c r="C3" s="762"/>
      <c r="D3" s="762"/>
      <c r="E3" s="762"/>
      <c r="F3" s="763"/>
      <c r="G3" s="762"/>
      <c r="H3" s="763" t="s">
        <v>547</v>
      </c>
    </row>
    <row r="4" spans="1:9">
      <c r="A4" s="762"/>
      <c r="B4" s="762"/>
      <c r="C4" s="762"/>
      <c r="D4" s="762"/>
      <c r="E4" s="762"/>
      <c r="F4" s="763"/>
      <c r="G4" s="762"/>
      <c r="H4" s="759" t="str">
        <f>"Page 2 of "&amp;Workpaper</f>
        <v>Page 2 of 11</v>
      </c>
    </row>
    <row r="5" spans="1:9">
      <c r="A5" s="762"/>
      <c r="B5" s="762"/>
      <c r="C5" s="762"/>
      <c r="D5" s="762"/>
      <c r="E5" s="762"/>
      <c r="F5" s="763"/>
      <c r="G5" s="762"/>
      <c r="H5" s="763" t="str">
        <f>'DE Ohio &amp; Kentucky'!$J$124</f>
        <v>For the 12 months ended: 12/31/2015</v>
      </c>
    </row>
    <row r="6" spans="1:9">
      <c r="A6" s="762"/>
      <c r="B6" s="762"/>
      <c r="C6" s="762"/>
      <c r="D6" s="762"/>
      <c r="E6" s="762"/>
      <c r="F6" s="763"/>
      <c r="G6" s="762"/>
      <c r="H6" s="763"/>
    </row>
    <row r="7" spans="1:9">
      <c r="A7" s="764" t="s">
        <v>311</v>
      </c>
      <c r="B7" s="761"/>
      <c r="C7" s="761"/>
      <c r="D7" s="761"/>
      <c r="E7" s="761"/>
      <c r="F7" s="761"/>
      <c r="G7" s="761"/>
      <c r="H7" s="761"/>
    </row>
    <row r="8" spans="1:9">
      <c r="A8" s="764" t="s">
        <v>396</v>
      </c>
      <c r="B8" s="761"/>
      <c r="C8" s="761"/>
      <c r="D8" s="761"/>
      <c r="E8" s="761"/>
      <c r="F8" s="761"/>
      <c r="G8" s="761"/>
      <c r="H8" s="761"/>
    </row>
    <row r="9" spans="1:9">
      <c r="A9" s="390"/>
      <c r="B9" s="389"/>
      <c r="C9" s="389"/>
      <c r="D9" s="389"/>
      <c r="E9" s="389"/>
      <c r="F9" s="389"/>
    </row>
    <row r="10" spans="1:9">
      <c r="A10" s="251"/>
      <c r="D10" s="252"/>
      <c r="E10" s="252"/>
    </row>
    <row r="11" spans="1:9">
      <c r="D11" s="137"/>
      <c r="E11" s="137"/>
      <c r="F11" s="250"/>
    </row>
    <row r="12" spans="1:9">
      <c r="A12" s="362" t="s">
        <v>211</v>
      </c>
    </row>
    <row r="13" spans="1:9" ht="19.5">
      <c r="B13" s="949" t="s">
        <v>718</v>
      </c>
      <c r="C13" s="949"/>
      <c r="D13" s="949" t="s">
        <v>707</v>
      </c>
      <c r="E13" s="949"/>
      <c r="F13" s="935" t="s">
        <v>719</v>
      </c>
      <c r="H13" s="541" t="s">
        <v>548</v>
      </c>
    </row>
    <row r="14" spans="1:9">
      <c r="A14" s="85" t="s">
        <v>227</v>
      </c>
      <c r="B14" s="975">
        <v>0</v>
      </c>
      <c r="C14" s="578"/>
      <c r="D14" s="950">
        <f>B14/B17</f>
        <v>0</v>
      </c>
      <c r="E14" s="950"/>
      <c r="F14" s="580">
        <f>ROUND(F17*D14,0)</f>
        <v>0</v>
      </c>
      <c r="H14" s="95"/>
    </row>
    <row r="15" spans="1:9">
      <c r="A15" s="85" t="s">
        <v>30</v>
      </c>
      <c r="B15" s="975">
        <v>17174571</v>
      </c>
      <c r="C15" s="581"/>
      <c r="D15" s="950">
        <f>B15/B17</f>
        <v>0.30639964696170091</v>
      </c>
      <c r="E15" s="950"/>
      <c r="F15" s="580">
        <f>ROUND(D15*F17,0)</f>
        <v>763108</v>
      </c>
      <c r="G15" s="470"/>
      <c r="H15" s="474">
        <f>F15+B15</f>
        <v>17937679</v>
      </c>
      <c r="I15" s="470"/>
    </row>
    <row r="16" spans="1:9" ht="15">
      <c r="A16" s="85" t="s">
        <v>228</v>
      </c>
      <c r="B16" s="976">
        <v>38878271</v>
      </c>
      <c r="C16" s="373"/>
      <c r="D16" s="951">
        <f>B16/B17</f>
        <v>0.69360035303829914</v>
      </c>
      <c r="E16" s="951"/>
      <c r="F16" s="261">
        <f>F17-F15-F14</f>
        <v>1727456</v>
      </c>
    </row>
    <row r="17" spans="1:9" ht="15">
      <c r="A17" s="85" t="s">
        <v>312</v>
      </c>
      <c r="B17" s="471">
        <f>SUM(B14:B16)</f>
        <v>56052842</v>
      </c>
      <c r="C17" s="373"/>
      <c r="D17" s="473">
        <f>SUM(D14:D16)</f>
        <v>1</v>
      </c>
      <c r="E17" s="307"/>
      <c r="F17" s="977">
        <v>2490564</v>
      </c>
    </row>
    <row r="18" spans="1:9">
      <c r="B18" s="584"/>
      <c r="C18" s="373"/>
      <c r="D18" s="584"/>
      <c r="E18" s="584"/>
      <c r="F18" s="373"/>
    </row>
    <row r="19" spans="1:9">
      <c r="B19" s="585"/>
      <c r="C19" s="373"/>
      <c r="D19" s="585"/>
      <c r="E19" s="585"/>
      <c r="F19" s="373"/>
    </row>
    <row r="20" spans="1:9" s="254" customFormat="1">
      <c r="A20" s="362" t="s">
        <v>212</v>
      </c>
      <c r="B20" s="373"/>
      <c r="C20" s="373"/>
      <c r="D20" s="373"/>
      <c r="E20" s="373"/>
      <c r="F20" s="373"/>
      <c r="G20" s="85"/>
      <c r="H20" s="85"/>
      <c r="I20" s="85"/>
    </row>
    <row r="21" spans="1:9" s="254" customFormat="1" ht="19.5">
      <c r="A21" s="85"/>
      <c r="B21" s="949" t="s">
        <v>718</v>
      </c>
      <c r="C21" s="949"/>
      <c r="D21" s="949" t="s">
        <v>707</v>
      </c>
      <c r="E21" s="949"/>
      <c r="F21" s="935" t="s">
        <v>719</v>
      </c>
      <c r="G21" s="85"/>
      <c r="H21" s="85"/>
      <c r="I21" s="85"/>
    </row>
    <row r="22" spans="1:9" s="254" customFormat="1">
      <c r="A22" s="85" t="s">
        <v>227</v>
      </c>
      <c r="B22" s="975">
        <v>19748349</v>
      </c>
      <c r="C22" s="373"/>
      <c r="D22" s="579">
        <f>B22/B25</f>
        <v>0.96565576955678756</v>
      </c>
      <c r="E22" s="579"/>
      <c r="F22" s="580">
        <f>ROUND(F25*D22,0)</f>
        <v>1070941</v>
      </c>
      <c r="G22" s="85"/>
      <c r="H22" s="85"/>
      <c r="I22" s="85"/>
    </row>
    <row r="23" spans="1:9" s="254" customFormat="1">
      <c r="A23" s="85" t="s">
        <v>30</v>
      </c>
      <c r="B23" s="975">
        <v>28628</v>
      </c>
      <c r="C23" s="581"/>
      <c r="D23" s="579">
        <f>B23/B25</f>
        <v>1.3998533938645562E-3</v>
      </c>
      <c r="E23" s="579"/>
      <c r="F23" s="580">
        <f>ROUND(D23*F25,0)</f>
        <v>1552</v>
      </c>
      <c r="G23" s="470"/>
      <c r="H23" s="474">
        <f>F23+B23</f>
        <v>30180</v>
      </c>
      <c r="I23" s="470"/>
    </row>
    <row r="24" spans="1:9" s="254" customFormat="1" ht="15">
      <c r="A24" s="85" t="s">
        <v>228</v>
      </c>
      <c r="B24" s="976">
        <v>673736</v>
      </c>
      <c r="C24" s="582"/>
      <c r="D24" s="583">
        <f>B24/B25</f>
        <v>3.2944377049347863E-2</v>
      </c>
      <c r="E24" s="583"/>
      <c r="F24" s="261">
        <f>F25-F23-F22</f>
        <v>36537</v>
      </c>
      <c r="G24" s="85"/>
      <c r="H24" s="85"/>
      <c r="I24" s="85"/>
    </row>
    <row r="25" spans="1:9" s="254" customFormat="1" ht="15">
      <c r="A25" s="85" t="s">
        <v>312</v>
      </c>
      <c r="B25" s="471">
        <f>SUM(B22:B24)</f>
        <v>20450713</v>
      </c>
      <c r="C25" s="262"/>
      <c r="D25" s="473">
        <f>SUM(D22:D24)</f>
        <v>0.99999999999999989</v>
      </c>
      <c r="E25" s="307"/>
      <c r="F25" s="977">
        <v>1109030</v>
      </c>
    </row>
    <row r="26" spans="1:9" s="254" customFormat="1"/>
    <row r="27" spans="1:9" s="254" customFormat="1"/>
    <row r="28" spans="1:9" s="254" customFormat="1">
      <c r="A28" s="362" t="s">
        <v>428</v>
      </c>
      <c r="B28" s="85"/>
      <c r="C28" s="85"/>
      <c r="D28" s="85"/>
      <c r="E28" s="85"/>
      <c r="F28" s="85"/>
      <c r="G28" s="85"/>
      <c r="H28" s="85"/>
      <c r="I28" s="85"/>
    </row>
    <row r="29" spans="1:9" s="254" customFormat="1" ht="15">
      <c r="A29" s="85"/>
      <c r="B29" s="96" t="s">
        <v>187</v>
      </c>
      <c r="C29" s="96"/>
      <c r="D29" s="96"/>
      <c r="E29" s="96"/>
      <c r="F29" s="776" t="s">
        <v>682</v>
      </c>
      <c r="G29" s="85"/>
      <c r="H29" s="85"/>
      <c r="I29" s="85"/>
    </row>
    <row r="30" spans="1:9" s="254" customFormat="1">
      <c r="A30" s="85" t="s">
        <v>227</v>
      </c>
      <c r="B30" s="95">
        <f>B14+B22</f>
        <v>19748349</v>
      </c>
      <c r="C30" s="266"/>
      <c r="D30" s="209"/>
      <c r="E30" s="209"/>
      <c r="F30" s="95">
        <f>F14+F22</f>
        <v>1070941</v>
      </c>
      <c r="G30" s="85"/>
      <c r="H30" s="85"/>
      <c r="I30" s="85"/>
    </row>
    <row r="31" spans="1:9" s="254" customFormat="1">
      <c r="A31" s="85" t="s">
        <v>30</v>
      </c>
      <c r="B31" s="95">
        <f t="shared" ref="B31:B32" si="0">B15+B23</f>
        <v>17203199</v>
      </c>
      <c r="C31" s="470"/>
      <c r="D31" s="209"/>
      <c r="E31" s="209"/>
      <c r="F31" s="95">
        <f t="shared" ref="F31:F32" si="1">F15+F23</f>
        <v>764660</v>
      </c>
      <c r="G31" s="470"/>
      <c r="H31" s="474">
        <f>F31+B31</f>
        <v>17967859</v>
      </c>
      <c r="I31" s="470"/>
    </row>
    <row r="32" spans="1:9" s="254" customFormat="1" ht="15">
      <c r="A32" s="85" t="s">
        <v>228</v>
      </c>
      <c r="B32" s="472">
        <f t="shared" si="0"/>
        <v>39552007</v>
      </c>
      <c r="C32" s="85"/>
      <c r="D32" s="253"/>
      <c r="E32" s="253"/>
      <c r="F32" s="472">
        <f t="shared" si="1"/>
        <v>1763993</v>
      </c>
      <c r="G32" s="85"/>
      <c r="H32" s="85"/>
      <c r="I32" s="85"/>
    </row>
    <row r="33" spans="1:9" s="254" customFormat="1" ht="15">
      <c r="A33" s="85" t="s">
        <v>312</v>
      </c>
      <c r="B33" s="471">
        <f>SUM(B30:B32)</f>
        <v>76503555</v>
      </c>
      <c r="C33" s="85"/>
      <c r="D33" s="473"/>
      <c r="E33" s="473"/>
      <c r="F33" s="471">
        <f>SUM(F30:F32)</f>
        <v>3599594</v>
      </c>
      <c r="G33" s="85"/>
      <c r="H33" s="85"/>
      <c r="I33" s="85"/>
    </row>
    <row r="34" spans="1:9" s="254" customFormat="1"/>
    <row r="35" spans="1:9" s="254" customFormat="1"/>
    <row r="36" spans="1:9" s="254" customFormat="1" ht="14.25">
      <c r="A36" s="254" t="s">
        <v>764</v>
      </c>
      <c r="B36" s="255"/>
      <c r="C36" s="255"/>
      <c r="D36" s="255"/>
      <c r="E36" s="255"/>
    </row>
    <row r="37" spans="1:9" s="254" customFormat="1" ht="14.25">
      <c r="A37" s="945" t="s">
        <v>749</v>
      </c>
      <c r="B37" s="943"/>
      <c r="C37" s="943"/>
      <c r="D37" s="943"/>
      <c r="E37" s="255"/>
    </row>
    <row r="38" spans="1:9" s="254" customFormat="1" ht="14.25">
      <c r="A38" s="945" t="s">
        <v>750</v>
      </c>
      <c r="B38" s="944"/>
      <c r="C38" s="944"/>
      <c r="D38" s="944"/>
      <c r="E38" s="256"/>
    </row>
    <row r="39" spans="1:9" s="254" customFormat="1">
      <c r="B39" s="256"/>
      <c r="C39" s="256"/>
      <c r="D39" s="256"/>
      <c r="E39" s="256"/>
    </row>
    <row r="40" spans="1:9" s="254" customFormat="1"/>
    <row r="41" spans="1:9" s="254" customFormat="1">
      <c r="B41" s="255"/>
      <c r="C41" s="255"/>
      <c r="D41" s="255"/>
      <c r="E41" s="255"/>
    </row>
    <row r="42" spans="1:9" s="254" customFormat="1">
      <c r="B42" s="256"/>
      <c r="C42" s="256"/>
      <c r="D42" s="256"/>
      <c r="E42" s="256"/>
    </row>
    <row r="43" spans="1:9">
      <c r="B43" s="256"/>
      <c r="C43" s="256"/>
      <c r="D43" s="256"/>
      <c r="E43" s="256"/>
    </row>
    <row r="44" spans="1:9">
      <c r="B44" s="256"/>
      <c r="C44" s="256"/>
      <c r="D44" s="256"/>
      <c r="E44" s="256"/>
    </row>
    <row r="45" spans="1:9">
      <c r="B45" s="256"/>
      <c r="C45" s="256"/>
      <c r="D45" s="256"/>
      <c r="E45" s="256"/>
    </row>
    <row r="46" spans="1:9">
      <c r="B46" s="256"/>
      <c r="C46" s="256"/>
      <c r="D46" s="256"/>
      <c r="E46" s="256"/>
    </row>
    <row r="47" spans="1:9">
      <c r="B47" s="256"/>
      <c r="C47" s="256"/>
      <c r="D47" s="256"/>
      <c r="E47" s="256"/>
    </row>
    <row r="48" spans="1:9">
      <c r="B48" s="256"/>
      <c r="C48" s="256"/>
      <c r="D48" s="256"/>
      <c r="E48" s="256"/>
    </row>
    <row r="50" spans="2:6">
      <c r="B50" s="373"/>
      <c r="C50" s="373"/>
    </row>
    <row r="54" spans="2:6" s="257" customFormat="1"/>
    <row r="55" spans="2:6" s="257" customFormat="1" ht="20.100000000000001" customHeight="1">
      <c r="B55" s="258"/>
      <c r="C55" s="258"/>
      <c r="D55" s="258"/>
      <c r="E55" s="258"/>
    </row>
    <row r="56" spans="2:6" s="257" customFormat="1"/>
    <row r="57" spans="2:6" s="257" customFormat="1"/>
    <row r="58" spans="2:6" s="257" customFormat="1"/>
    <row r="59" spans="2:6" s="257" customFormat="1"/>
    <row r="60" spans="2:6" s="257" customFormat="1" ht="15">
      <c r="B60" s="259"/>
      <c r="C60" s="259"/>
      <c r="D60" s="259"/>
      <c r="E60" s="259"/>
    </row>
    <row r="61" spans="2:6" s="257" customFormat="1">
      <c r="B61" s="260"/>
      <c r="C61" s="260"/>
      <c r="D61" s="260"/>
      <c r="E61" s="260"/>
      <c r="F61" s="260"/>
    </row>
    <row r="62" spans="2:6" s="257" customFormat="1" ht="20.100000000000001" customHeight="1">
      <c r="B62" s="260"/>
      <c r="C62" s="260"/>
      <c r="D62" s="260"/>
      <c r="E62" s="260"/>
      <c r="F62" s="260"/>
    </row>
    <row r="63" spans="2:6" s="257" customFormat="1" ht="15">
      <c r="B63" s="261"/>
      <c r="C63" s="261"/>
      <c r="D63" s="261"/>
      <c r="E63" s="261"/>
      <c r="F63" s="260"/>
    </row>
    <row r="64" spans="2:6" s="257" customFormat="1" ht="15">
      <c r="B64" s="262"/>
      <c r="C64" s="262"/>
      <c r="D64" s="262"/>
      <c r="E64" s="262"/>
      <c r="F64" s="262"/>
    </row>
    <row r="65" spans="2:6" s="257" customFormat="1">
      <c r="B65" s="263"/>
      <c r="C65" s="263"/>
      <c r="D65" s="263"/>
      <c r="E65" s="263"/>
    </row>
    <row r="66" spans="2:6" s="257" customFormat="1">
      <c r="B66" s="264"/>
      <c r="C66" s="264"/>
      <c r="D66" s="264"/>
      <c r="E66" s="264"/>
    </row>
    <row r="67" spans="2:6" s="257" customFormat="1"/>
    <row r="68" spans="2:6" s="257" customFormat="1"/>
    <row r="69" spans="2:6" s="257" customFormat="1"/>
    <row r="70" spans="2:6" s="257" customFormat="1" ht="15">
      <c r="B70" s="259"/>
      <c r="C70" s="259"/>
      <c r="D70" s="259"/>
      <c r="E70" s="259"/>
    </row>
    <row r="71" spans="2:6" s="257" customFormat="1">
      <c r="B71" s="260"/>
      <c r="C71" s="260"/>
      <c r="D71" s="260"/>
      <c r="E71" s="260"/>
      <c r="F71" s="260"/>
    </row>
    <row r="72" spans="2:6" s="257" customFormat="1">
      <c r="B72" s="260"/>
      <c r="C72" s="260"/>
      <c r="D72" s="260"/>
      <c r="E72" s="260"/>
      <c r="F72" s="260"/>
    </row>
    <row r="73" spans="2:6" s="257" customFormat="1" ht="15">
      <c r="B73" s="262"/>
      <c r="C73" s="262"/>
      <c r="D73" s="262"/>
      <c r="E73" s="262"/>
      <c r="F73" s="262"/>
    </row>
    <row r="74" spans="2:6" s="257" customFormat="1">
      <c r="B74" s="263"/>
      <c r="C74" s="263"/>
      <c r="D74" s="263"/>
      <c r="E74" s="263"/>
    </row>
    <row r="75" spans="2:6" s="257" customFormat="1">
      <c r="B75" s="264"/>
      <c r="C75" s="264"/>
      <c r="D75" s="264"/>
      <c r="E75" s="264"/>
    </row>
    <row r="76" spans="2:6" s="257" customFormat="1"/>
    <row r="77" spans="2:6" s="257" customFormat="1"/>
    <row r="78" spans="2:6" s="257" customFormat="1"/>
    <row r="79" spans="2:6" s="257" customFormat="1"/>
    <row r="80" spans="2:6" s="257" customFormat="1">
      <c r="B80" s="265"/>
      <c r="C80" s="265"/>
      <c r="D80" s="265"/>
      <c r="E80" s="265"/>
    </row>
    <row r="81" spans="2:5" s="257" customFormat="1">
      <c r="B81" s="260"/>
      <c r="C81" s="260"/>
      <c r="D81" s="260"/>
      <c r="E81" s="260"/>
    </row>
    <row r="82" spans="2:5" s="257" customFormat="1">
      <c r="B82" s="260"/>
      <c r="C82" s="260"/>
      <c r="D82" s="260"/>
      <c r="E82" s="260"/>
    </row>
    <row r="83" spans="2:5" s="257" customFormat="1"/>
    <row r="84" spans="2:5" s="257" customFormat="1">
      <c r="B84" s="265"/>
      <c r="C84" s="265"/>
      <c r="D84" s="265"/>
      <c r="E84" s="265"/>
    </row>
    <row r="85" spans="2:5" s="257" customFormat="1">
      <c r="B85" s="260"/>
      <c r="C85" s="260"/>
      <c r="D85" s="260"/>
      <c r="E85" s="260"/>
    </row>
    <row r="86" spans="2:5" s="257" customFormat="1">
      <c r="B86" s="260"/>
      <c r="C86" s="260"/>
      <c r="D86" s="260"/>
      <c r="E86" s="260"/>
    </row>
    <row r="87" spans="2:5" s="257" customFormat="1">
      <c r="B87" s="260"/>
      <c r="C87" s="260"/>
      <c r="D87" s="260"/>
      <c r="E87" s="260"/>
    </row>
    <row r="88" spans="2:5" s="257" customFormat="1">
      <c r="B88" s="260"/>
      <c r="C88" s="260"/>
      <c r="D88" s="260"/>
      <c r="E88" s="260"/>
    </row>
    <row r="89" spans="2:5" s="257" customFormat="1">
      <c r="B89" s="260"/>
      <c r="C89" s="260"/>
      <c r="D89" s="260"/>
      <c r="E89" s="260"/>
    </row>
    <row r="90" spans="2:5" s="257" customFormat="1">
      <c r="B90" s="260"/>
      <c r="C90" s="260"/>
      <c r="D90" s="260"/>
      <c r="E90" s="260"/>
    </row>
    <row r="91" spans="2:5" s="257" customFormat="1">
      <c r="B91" s="260"/>
      <c r="C91" s="260"/>
      <c r="D91" s="260"/>
      <c r="E91" s="260"/>
    </row>
    <row r="92" spans="2:5" s="257" customFormat="1"/>
    <row r="93" spans="2:5" s="257" customFormat="1"/>
    <row r="94" spans="2:5" s="257" customFormat="1"/>
    <row r="95" spans="2:5" s="257" customFormat="1"/>
    <row r="96" spans="2:5" s="257" customFormat="1"/>
    <row r="97" s="257" customFormat="1"/>
    <row r="98" s="257" customFormat="1"/>
    <row r="99" s="257" customFormat="1"/>
    <row r="100" s="257" customFormat="1"/>
    <row r="101" s="257" customFormat="1"/>
    <row r="102" s="257" customFormat="1"/>
    <row r="103" s="257" customFormat="1"/>
    <row r="104" s="257" customFormat="1"/>
    <row r="105" s="257" customFormat="1"/>
    <row r="106" s="257" customFormat="1"/>
    <row r="107" s="257" customFormat="1"/>
    <row r="108" s="257" customFormat="1"/>
    <row r="109" s="257" customFormat="1"/>
    <row r="110" s="257" customFormat="1"/>
    <row r="111" s="257" customFormat="1"/>
    <row r="112" s="257" customFormat="1"/>
    <row r="113" s="257" customFormat="1"/>
    <row r="114" s="257" customFormat="1"/>
    <row r="115" s="257" customFormat="1"/>
    <row r="116" s="257" customFormat="1"/>
    <row r="117" s="257" customFormat="1"/>
    <row r="118" s="257" customFormat="1"/>
    <row r="119" s="257" customFormat="1"/>
    <row r="120" s="257" customFormat="1"/>
    <row r="121" s="257" customFormat="1"/>
    <row r="122" s="257" customFormat="1"/>
    <row r="123" s="257" customFormat="1"/>
    <row r="124" s="257" customFormat="1"/>
    <row r="125" s="257" customFormat="1"/>
    <row r="126" s="257" customFormat="1"/>
    <row r="127" s="257" customFormat="1"/>
    <row r="128" s="257" customFormat="1"/>
    <row r="129" s="257" customFormat="1"/>
    <row r="130" s="257" customFormat="1"/>
    <row r="131" s="257" customFormat="1"/>
    <row r="132" s="257" customFormat="1"/>
    <row r="133" s="257" customFormat="1"/>
    <row r="134" s="257" customFormat="1"/>
    <row r="135" s="257" customFormat="1"/>
    <row r="136" s="257" customFormat="1"/>
    <row r="137" s="257" customFormat="1"/>
    <row r="138" s="257" customFormat="1"/>
    <row r="139" s="257" customFormat="1"/>
    <row r="140" s="257" customFormat="1"/>
    <row r="141" s="257" customFormat="1"/>
    <row r="142" s="257" customFormat="1"/>
    <row r="143" s="257" customFormat="1"/>
    <row r="144" s="257" customFormat="1"/>
    <row r="145" s="257" customFormat="1"/>
    <row r="146" s="257" customFormat="1"/>
    <row r="147" s="257" customFormat="1"/>
    <row r="148" s="257" customFormat="1"/>
    <row r="149" s="257" customFormat="1"/>
    <row r="150" s="257" customFormat="1"/>
    <row r="151" s="257" customFormat="1"/>
    <row r="152" s="257" customFormat="1"/>
    <row r="153" s="257" customFormat="1"/>
    <row r="154" s="257" customFormat="1"/>
    <row r="155" s="257" customFormat="1"/>
    <row r="156" s="257" customFormat="1"/>
    <row r="157" s="257" customFormat="1"/>
    <row r="158" s="257" customFormat="1"/>
    <row r="159" s="257" customFormat="1"/>
    <row r="160" s="257" customFormat="1"/>
    <row r="161" s="257" customFormat="1"/>
    <row r="162" s="257" customFormat="1"/>
    <row r="163" s="257" customFormat="1"/>
    <row r="164" s="257" customFormat="1"/>
    <row r="165" s="257" customFormat="1"/>
    <row r="166" s="257" customFormat="1"/>
    <row r="167" s="257" customFormat="1"/>
    <row r="168" s="257" customFormat="1"/>
    <row r="169" s="257" customFormat="1"/>
    <row r="170" s="257" customFormat="1"/>
    <row r="171" s="257" customFormat="1"/>
    <row r="172" s="257" customFormat="1"/>
    <row r="173" s="257" customFormat="1"/>
    <row r="174" s="257" customFormat="1"/>
    <row r="175" s="257" customFormat="1"/>
    <row r="176" s="257" customFormat="1"/>
    <row r="177" s="257" customFormat="1"/>
    <row r="178" s="257" customFormat="1"/>
    <row r="179" s="257" customFormat="1"/>
    <row r="180" s="257" customFormat="1"/>
    <row r="181" s="257" customFormat="1"/>
    <row r="182" s="257" customFormat="1"/>
    <row r="183" s="257" customFormat="1"/>
    <row r="184" s="257" customFormat="1"/>
    <row r="185" s="257" customFormat="1"/>
    <row r="186" s="257" customFormat="1"/>
    <row r="187" s="257" customFormat="1"/>
    <row r="188" s="257" customFormat="1"/>
    <row r="189" s="257" customFormat="1"/>
    <row r="190" s="257" customFormat="1"/>
    <row r="191" s="257" customFormat="1"/>
    <row r="192" s="257" customFormat="1"/>
    <row r="193" s="257" customFormat="1"/>
    <row r="194" s="257" customFormat="1"/>
    <row r="195" s="257" customFormat="1"/>
    <row r="196" s="257" customFormat="1"/>
    <row r="197" s="257" customFormat="1"/>
    <row r="198" s="257" customFormat="1"/>
    <row r="199" s="257" customFormat="1"/>
    <row r="200" s="257" customFormat="1"/>
    <row r="201" s="257" customFormat="1"/>
    <row r="202" s="257" customFormat="1"/>
    <row r="203" s="257" customFormat="1"/>
    <row r="204" s="257" customFormat="1"/>
    <row r="205" s="257" customFormat="1"/>
    <row r="206" s="257" customFormat="1"/>
    <row r="207" s="257" customFormat="1"/>
    <row r="208" s="257" customFormat="1"/>
    <row r="209" s="257" customFormat="1"/>
    <row r="210" s="257" customFormat="1"/>
    <row r="211" s="257" customFormat="1"/>
    <row r="212" s="257" customFormat="1"/>
    <row r="213" s="257" customFormat="1"/>
    <row r="214" s="257" customFormat="1"/>
    <row r="215" s="257" customFormat="1"/>
    <row r="216" s="257" customFormat="1"/>
    <row r="217" s="257" customFormat="1"/>
    <row r="218" s="257" customFormat="1"/>
    <row r="219" s="257" customFormat="1"/>
    <row r="220" s="257" customFormat="1"/>
    <row r="221" s="257" customFormat="1"/>
    <row r="222" s="257" customFormat="1"/>
    <row r="223" s="257" customFormat="1"/>
    <row r="224" s="257" customFormat="1"/>
    <row r="225" s="257" customFormat="1"/>
    <row r="226" s="257" customFormat="1"/>
    <row r="227" s="257" customFormat="1"/>
    <row r="228" s="257" customFormat="1"/>
    <row r="229" s="257" customFormat="1"/>
    <row r="230" s="257" customFormat="1"/>
    <row r="231" s="257" customFormat="1"/>
    <row r="232" s="257" customFormat="1"/>
    <row r="233" s="257" customFormat="1"/>
    <row r="234" s="257" customFormat="1"/>
    <row r="235" s="257" customFormat="1"/>
    <row r="236" s="257" customFormat="1"/>
    <row r="237" s="257" customFormat="1"/>
    <row r="238" s="257" customFormat="1"/>
    <row r="239" s="257" customFormat="1"/>
    <row r="240" s="257" customFormat="1"/>
    <row r="241" s="257" customFormat="1"/>
    <row r="242" s="257" customFormat="1"/>
    <row r="243" s="257" customFormat="1"/>
    <row r="244" s="257" customFormat="1"/>
    <row r="245" s="257" customFormat="1"/>
    <row r="246" s="257" customFormat="1"/>
    <row r="247" s="257" customFormat="1"/>
    <row r="248" s="257" customFormat="1"/>
    <row r="249" s="257" customFormat="1"/>
    <row r="250" s="257" customFormat="1"/>
    <row r="251" s="257" customFormat="1"/>
    <row r="252" s="257" customFormat="1"/>
    <row r="253" s="257" customFormat="1"/>
    <row r="254" s="257" customFormat="1"/>
    <row r="255" s="257" customFormat="1"/>
    <row r="256" s="257" customFormat="1"/>
    <row r="257" s="257" customFormat="1"/>
    <row r="258" s="257" customFormat="1"/>
    <row r="259" s="257" customFormat="1"/>
    <row r="260" s="257" customFormat="1"/>
    <row r="261" s="257" customFormat="1"/>
    <row r="262" s="257" customFormat="1"/>
    <row r="263" s="257" customFormat="1"/>
    <row r="264" s="257" customFormat="1"/>
    <row r="265" s="257" customFormat="1"/>
    <row r="266" s="257" customFormat="1"/>
    <row r="267" s="257" customFormat="1"/>
    <row r="268" s="257" customFormat="1"/>
    <row r="269" s="257" customFormat="1"/>
    <row r="270" s="257" customFormat="1"/>
    <row r="271" s="257" customFormat="1"/>
    <row r="272" s="257" customFormat="1"/>
    <row r="273" s="257" customFormat="1"/>
    <row r="274" s="257" customFormat="1"/>
    <row r="275" s="257" customFormat="1"/>
    <row r="276" s="257" customFormat="1"/>
    <row r="277" s="257" customFormat="1"/>
    <row r="278" s="257" customFormat="1"/>
    <row r="279" s="257" customFormat="1"/>
    <row r="280" s="257" customFormat="1"/>
    <row r="281" s="257" customFormat="1"/>
  </sheetData>
  <phoneticPr fontId="28" type="noConversion"/>
  <pageMargins left="1" right="1" top="1" bottom="0.5" header="1" footer="0.25"/>
  <pageSetup fitToHeight="2" orientation="portrait" blackAndWhite="1" horizontalDpi="300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theme="1"/>
    <pageSetUpPr fitToPage="1"/>
  </sheetPr>
  <dimension ref="A1:D43"/>
  <sheetViews>
    <sheetView zoomScale="80" zoomScaleNormal="80" workbookViewId="0"/>
  </sheetViews>
  <sheetFormatPr defaultColWidth="8.77734375" defaultRowHeight="15"/>
  <cols>
    <col min="1" max="1" width="37.21875" style="12" bestFit="1" customWidth="1"/>
    <col min="2" max="3" width="22.44140625" style="12" customWidth="1"/>
    <col min="4" max="4" width="22.88671875" style="12" customWidth="1"/>
    <col min="5" max="16384" width="8.77734375" style="12"/>
  </cols>
  <sheetData>
    <row r="1" spans="1:4" ht="18">
      <c r="A1" s="760" t="str">
        <f>'P1 ADIT 190 &amp; 282'!A1</f>
        <v>Duke Energy Ohio and Duke Energy Kentucky</v>
      </c>
      <c r="B1" s="766"/>
      <c r="C1" s="766"/>
      <c r="D1" s="766"/>
    </row>
    <row r="2" spans="1:4" ht="18">
      <c r="A2" s="760"/>
      <c r="B2" s="766"/>
      <c r="C2" s="766"/>
      <c r="D2" s="766"/>
    </row>
    <row r="3" spans="1:4" ht="18">
      <c r="A3" s="760"/>
      <c r="B3" s="766"/>
      <c r="C3" s="766"/>
      <c r="D3" s="767" t="s">
        <v>547</v>
      </c>
    </row>
    <row r="4" spans="1:4">
      <c r="A4" s="768"/>
      <c r="B4" s="768"/>
      <c r="C4" s="768"/>
      <c r="D4" s="765" t="str">
        <f>"Page 3 of "&amp;Workpaper</f>
        <v>Page 3 of 11</v>
      </c>
    </row>
    <row r="5" spans="1:4">
      <c r="A5" s="768"/>
      <c r="B5" s="768"/>
      <c r="C5" s="768"/>
      <c r="D5" s="767" t="str">
        <f>'DE Ohio &amp; Kentucky'!$J$124</f>
        <v>For the 12 months ended: 12/31/2015</v>
      </c>
    </row>
    <row r="6" spans="1:4">
      <c r="A6" s="768"/>
      <c r="B6" s="768"/>
      <c r="C6" s="768"/>
      <c r="D6" s="767"/>
    </row>
    <row r="7" spans="1:4" ht="15.75">
      <c r="A7" s="769" t="s">
        <v>245</v>
      </c>
      <c r="B7" s="766"/>
      <c r="C7" s="766"/>
      <c r="D7" s="766"/>
    </row>
    <row r="8" spans="1:4">
      <c r="A8" s="768"/>
      <c r="B8" s="768"/>
      <c r="C8" s="768"/>
      <c r="D8" s="768"/>
    </row>
    <row r="9" spans="1:4">
      <c r="B9" s="376"/>
      <c r="C9" s="376"/>
    </row>
    <row r="10" spans="1:4" ht="34.5">
      <c r="A10" s="376"/>
      <c r="B10" s="377" t="s">
        <v>325</v>
      </c>
      <c r="C10" s="378" t="s">
        <v>244</v>
      </c>
      <c r="D10" s="885" t="s">
        <v>703</v>
      </c>
    </row>
    <row r="11" spans="1:4">
      <c r="B11" s="376"/>
      <c r="C11" s="376"/>
      <c r="D11" s="376"/>
    </row>
    <row r="12" spans="1:4" ht="15.75">
      <c r="A12" s="476" t="s">
        <v>211</v>
      </c>
      <c r="B12" s="380"/>
      <c r="C12" s="380"/>
      <c r="D12" s="380"/>
    </row>
    <row r="13" spans="1:4">
      <c r="B13" s="380"/>
      <c r="C13" s="380"/>
      <c r="D13" s="380"/>
    </row>
    <row r="14" spans="1:4">
      <c r="A14" s="12" t="s">
        <v>246</v>
      </c>
      <c r="B14" s="1010"/>
      <c r="C14" s="1011">
        <v>2012790</v>
      </c>
      <c r="D14" s="960">
        <f t="shared" ref="D14:D16" si="0">SUM(B14:C14)</f>
        <v>2012790</v>
      </c>
    </row>
    <row r="15" spans="1:4">
      <c r="A15" s="12" t="s">
        <v>247</v>
      </c>
      <c r="B15" s="1011">
        <v>121217</v>
      </c>
      <c r="C15" s="1010">
        <v>734</v>
      </c>
      <c r="D15" s="380">
        <f t="shared" si="0"/>
        <v>121951</v>
      </c>
    </row>
    <row r="16" spans="1:4" ht="17.25">
      <c r="A16" s="12" t="s">
        <v>248</v>
      </c>
      <c r="B16" s="1012">
        <v>0</v>
      </c>
      <c r="C16" s="1012">
        <v>0</v>
      </c>
      <c r="D16" s="382">
        <f t="shared" si="0"/>
        <v>0</v>
      </c>
    </row>
    <row r="17" spans="1:4" ht="17.25">
      <c r="A17" s="383" t="s">
        <v>17</v>
      </c>
      <c r="B17" s="384">
        <f>SUM(B14:B16)</f>
        <v>121217</v>
      </c>
      <c r="C17" s="384">
        <f>SUM(C14:C16)</f>
        <v>2013524</v>
      </c>
      <c r="D17" s="384">
        <f>SUM(D14:D16)</f>
        <v>2134741</v>
      </c>
    </row>
    <row r="21" spans="1:4" ht="15.75">
      <c r="A21" s="476" t="s">
        <v>212</v>
      </c>
      <c r="B21" s="380"/>
      <c r="C21" s="380"/>
      <c r="D21" s="380"/>
    </row>
    <row r="22" spans="1:4">
      <c r="A22" s="385"/>
      <c r="B22" s="380"/>
      <c r="C22" s="380"/>
      <c r="D22" s="380"/>
    </row>
    <row r="23" spans="1:4" ht="17.25">
      <c r="B23" s="1021">
        <v>0</v>
      </c>
      <c r="C23" s="1021">
        <v>0</v>
      </c>
      <c r="D23" s="386">
        <f>SUM(B23:C23)</f>
        <v>0</v>
      </c>
    </row>
    <row r="25" spans="1:4" ht="15.75">
      <c r="A25" s="381" t="s">
        <v>428</v>
      </c>
    </row>
    <row r="26" spans="1:4" ht="15.75">
      <c r="A26" s="381"/>
    </row>
    <row r="27" spans="1:4" ht="17.25">
      <c r="A27" s="127" t="s">
        <v>763</v>
      </c>
      <c r="B27" s="384">
        <f>B24+B17</f>
        <v>121217</v>
      </c>
      <c r="C27" s="384">
        <f>C24+C17</f>
        <v>2013524</v>
      </c>
      <c r="D27" s="384">
        <f>D24+D17</f>
        <v>2134741</v>
      </c>
    </row>
    <row r="32" spans="1:4">
      <c r="A32" s="12" t="s">
        <v>229</v>
      </c>
    </row>
    <row r="43" spans="2:2">
      <c r="B43" s="67"/>
    </row>
  </sheetData>
  <pageMargins left="1" right="1" top="1" bottom="0.5" header="0.25" footer="0.25"/>
  <pageSetup scale="92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1">
    <tabColor theme="1"/>
    <pageSetUpPr fitToPage="1"/>
  </sheetPr>
  <dimension ref="A1:F49"/>
  <sheetViews>
    <sheetView zoomScale="80" zoomScaleNormal="80" workbookViewId="0">
      <selection activeCell="E50" sqref="E50"/>
    </sheetView>
  </sheetViews>
  <sheetFormatPr defaultColWidth="7.109375" defaultRowHeight="12.75"/>
  <cols>
    <col min="1" max="1" width="53.33203125" style="100" bestFit="1" customWidth="1"/>
    <col min="2" max="2" width="24.88671875" style="100" customWidth="1"/>
    <col min="3" max="3" width="15.21875" style="100" customWidth="1"/>
    <col min="4" max="4" width="13.5546875" style="100" customWidth="1"/>
    <col min="5" max="5" width="14.77734375" style="100" customWidth="1"/>
    <col min="6" max="6" width="5.77734375" style="100" customWidth="1"/>
    <col min="7" max="7" width="13" style="100" customWidth="1"/>
    <col min="8" max="16" width="16.21875" style="100" bestFit="1" customWidth="1"/>
    <col min="17" max="17" width="16.77734375" style="100" bestFit="1" customWidth="1"/>
    <col min="18" max="18" width="7.77734375" style="100" bestFit="1" customWidth="1"/>
    <col min="19" max="19" width="8.21875" style="100" bestFit="1" customWidth="1"/>
    <col min="20" max="20" width="9.88671875" style="100" bestFit="1" customWidth="1"/>
    <col min="21" max="21" width="6.33203125" style="100" customWidth="1"/>
    <col min="22" max="22" width="9.88671875" style="100" bestFit="1" customWidth="1"/>
    <col min="23" max="23" width="6.33203125" style="100" customWidth="1"/>
    <col min="24" max="24" width="9.88671875" style="100" bestFit="1" customWidth="1"/>
    <col min="25" max="26" width="6.33203125" style="100" customWidth="1"/>
    <col min="27" max="27" width="9.88671875" style="100" bestFit="1" customWidth="1"/>
    <col min="28" max="28" width="6.33203125" style="100" customWidth="1"/>
    <col min="29" max="29" width="9.88671875" style="100" bestFit="1" customWidth="1"/>
    <col min="30" max="30" width="6.33203125" style="100" customWidth="1"/>
    <col min="31" max="31" width="9.88671875" style="100" bestFit="1" customWidth="1"/>
    <col min="32" max="32" width="6.33203125" style="100" customWidth="1"/>
    <col min="33" max="33" width="9.88671875" style="100" bestFit="1" customWidth="1"/>
    <col min="34" max="34" width="8.21875" style="100" bestFit="1" customWidth="1"/>
    <col min="35" max="16384" width="7.109375" style="100"/>
  </cols>
  <sheetData>
    <row r="1" spans="1:5" ht="18">
      <c r="A1" s="760" t="str">
        <f>'P1 ADIT 190 &amp; 282'!A1</f>
        <v>Duke Energy Ohio and Duke Energy Kentucky</v>
      </c>
      <c r="B1" s="760"/>
      <c r="C1" s="766"/>
      <c r="D1" s="766"/>
      <c r="E1" s="770"/>
    </row>
    <row r="2" spans="1:5" ht="18">
      <c r="A2" s="760"/>
      <c r="B2" s="760"/>
      <c r="C2" s="766"/>
      <c r="D2" s="766"/>
      <c r="E2" s="771"/>
    </row>
    <row r="3" spans="1:5" ht="15.6" customHeight="1">
      <c r="A3" s="769"/>
      <c r="B3" s="769"/>
      <c r="C3" s="766"/>
      <c r="D3" s="771"/>
      <c r="E3" s="767" t="s">
        <v>547</v>
      </c>
    </row>
    <row r="4" spans="1:5" ht="15.6" customHeight="1">
      <c r="A4" s="769"/>
      <c r="B4" s="769"/>
      <c r="C4" s="766"/>
      <c r="D4" s="771"/>
      <c r="E4" s="765" t="str">
        <f>"Page 4 of "&amp;Workpaper</f>
        <v>Page 4 of 11</v>
      </c>
    </row>
    <row r="5" spans="1:5" ht="15.6" customHeight="1">
      <c r="A5" s="769"/>
      <c r="B5" s="769"/>
      <c r="C5" s="766"/>
      <c r="D5" s="771"/>
      <c r="E5" s="767" t="str">
        <f>'DE Ohio &amp; Kentucky'!$J$124</f>
        <v>For the 12 months ended: 12/31/2015</v>
      </c>
    </row>
    <row r="6" spans="1:5" ht="15.6" customHeight="1">
      <c r="A6" s="769"/>
      <c r="B6" s="769"/>
      <c r="C6" s="766"/>
      <c r="D6" s="767"/>
      <c r="E6" s="771"/>
    </row>
    <row r="7" spans="1:5" ht="15.6" customHeight="1">
      <c r="A7" s="888" t="s">
        <v>725</v>
      </c>
      <c r="B7" s="769"/>
      <c r="C7" s="766"/>
      <c r="D7" s="766"/>
      <c r="E7" s="770"/>
    </row>
    <row r="8" spans="1:5" ht="15.6" customHeight="1">
      <c r="A8" s="769"/>
      <c r="B8" s="769"/>
      <c r="C8" s="766"/>
      <c r="D8" s="766"/>
      <c r="E8" s="771"/>
    </row>
    <row r="9" spans="1:5" ht="15.6" customHeight="1">
      <c r="A9" s="106"/>
      <c r="B9" s="106"/>
      <c r="C9" s="106"/>
      <c r="D9" s="106"/>
    </row>
    <row r="10" spans="1:5" ht="15.6" customHeight="1">
      <c r="A10" s="120"/>
      <c r="B10" s="120"/>
      <c r="C10" s="119"/>
      <c r="D10" s="119"/>
    </row>
    <row r="11" spans="1:5" ht="15.6" customHeight="1">
      <c r="A11" s="119"/>
      <c r="B11" s="889"/>
      <c r="C11" s="121"/>
      <c r="D11" s="122"/>
    </row>
    <row r="12" spans="1:5" ht="22.15" customHeight="1">
      <c r="A12" s="948" t="s">
        <v>582</v>
      </c>
      <c r="B12" s="948" t="s">
        <v>363</v>
      </c>
      <c r="C12" s="123" t="s">
        <v>217</v>
      </c>
      <c r="D12" s="123" t="s">
        <v>218</v>
      </c>
      <c r="E12" s="123" t="s">
        <v>546</v>
      </c>
    </row>
    <row r="13" spans="1:5" ht="15.6" customHeight="1">
      <c r="A13" s="119"/>
      <c r="B13" s="119"/>
      <c r="C13" s="123"/>
      <c r="D13" s="123"/>
    </row>
    <row r="14" spans="1:5" ht="17.100000000000001" customHeight="1">
      <c r="A14" s="923" t="s">
        <v>380</v>
      </c>
      <c r="B14" s="924" t="s">
        <v>753</v>
      </c>
      <c r="C14" s="978">
        <v>826950</v>
      </c>
      <c r="D14" s="978">
        <v>29230</v>
      </c>
      <c r="E14" s="925">
        <f>D14+C14</f>
        <v>856180</v>
      </c>
    </row>
    <row r="15" spans="1:5" ht="17.100000000000001" customHeight="1">
      <c r="A15" s="946" t="s">
        <v>549</v>
      </c>
      <c r="B15" s="936" t="s">
        <v>723</v>
      </c>
      <c r="C15" s="966">
        <v>1102126</v>
      </c>
      <c r="D15" s="966">
        <v>681396</v>
      </c>
      <c r="E15" s="926">
        <f t="shared" ref="E15:E23" si="0">D15+C15</f>
        <v>1783522</v>
      </c>
    </row>
    <row r="16" spans="1:5" ht="17.100000000000001" customHeight="1">
      <c r="A16" s="946" t="s">
        <v>720</v>
      </c>
      <c r="B16" s="936" t="s">
        <v>724</v>
      </c>
      <c r="C16" s="966">
        <v>189107</v>
      </c>
      <c r="D16" s="966"/>
      <c r="E16" s="926">
        <f t="shared" si="0"/>
        <v>189107</v>
      </c>
    </row>
    <row r="17" spans="1:6" ht="17.100000000000001" customHeight="1">
      <c r="A17" s="946" t="s">
        <v>721</v>
      </c>
      <c r="B17" s="936" t="s">
        <v>724</v>
      </c>
      <c r="C17" s="966">
        <v>106857</v>
      </c>
      <c r="D17" s="966"/>
      <c r="E17" s="926">
        <f t="shared" si="0"/>
        <v>106857</v>
      </c>
    </row>
    <row r="18" spans="1:6" ht="17.100000000000001" customHeight="1">
      <c r="A18" s="946" t="s">
        <v>722</v>
      </c>
      <c r="B18" s="936" t="s">
        <v>724</v>
      </c>
      <c r="C18" s="966">
        <v>129000</v>
      </c>
      <c r="D18" s="966"/>
      <c r="E18" s="926">
        <f t="shared" si="0"/>
        <v>129000</v>
      </c>
    </row>
    <row r="19" spans="1:6" ht="17.100000000000001" customHeight="1">
      <c r="A19" s="947"/>
      <c r="B19" s="936"/>
      <c r="C19" s="966"/>
      <c r="D19" s="966"/>
      <c r="E19" s="926"/>
    </row>
    <row r="20" spans="1:6" ht="17.100000000000001" customHeight="1">
      <c r="A20" s="930" t="s">
        <v>550</v>
      </c>
      <c r="B20" s="936" t="s">
        <v>751</v>
      </c>
      <c r="C20" s="979">
        <v>310035</v>
      </c>
      <c r="D20" s="979">
        <v>450293</v>
      </c>
      <c r="E20" s="926">
        <f t="shared" si="0"/>
        <v>760328</v>
      </c>
    </row>
    <row r="21" spans="1:6" ht="17.100000000000001" customHeight="1">
      <c r="A21" s="930" t="s">
        <v>726</v>
      </c>
      <c r="B21" s="936" t="s">
        <v>727</v>
      </c>
      <c r="C21" s="979">
        <v>0</v>
      </c>
      <c r="D21" s="979">
        <v>174305</v>
      </c>
      <c r="E21" s="926">
        <f t="shared" si="0"/>
        <v>174305</v>
      </c>
    </row>
    <row r="22" spans="1:6" ht="17.100000000000001" customHeight="1">
      <c r="A22" s="930" t="s">
        <v>726</v>
      </c>
      <c r="B22" s="936" t="s">
        <v>728</v>
      </c>
      <c r="C22" s="979">
        <v>81370</v>
      </c>
      <c r="D22" s="979">
        <v>75111</v>
      </c>
      <c r="E22" s="926">
        <f t="shared" si="0"/>
        <v>156481</v>
      </c>
    </row>
    <row r="23" spans="1:6" ht="17.100000000000001" customHeight="1">
      <c r="A23" s="930" t="s">
        <v>726</v>
      </c>
      <c r="B23" s="936" t="s">
        <v>729</v>
      </c>
      <c r="C23" s="731">
        <v>25833</v>
      </c>
      <c r="D23" s="731">
        <v>20490</v>
      </c>
      <c r="E23" s="130">
        <f t="shared" si="0"/>
        <v>46323</v>
      </c>
    </row>
    <row r="24" spans="1:6" ht="18" customHeight="1">
      <c r="A24" s="930" t="s">
        <v>730</v>
      </c>
      <c r="B24" s="936"/>
      <c r="C24" s="1026">
        <f>C20-C21-C22-C23</f>
        <v>202832</v>
      </c>
      <c r="D24" s="1026">
        <f>D20-D21-D22-D23</f>
        <v>180387</v>
      </c>
      <c r="E24" s="130">
        <f>E20-E21-E22-E23</f>
        <v>383219</v>
      </c>
    </row>
    <row r="25" spans="1:6" ht="15.6" customHeight="1">
      <c r="A25" s="125"/>
      <c r="B25" s="125"/>
      <c r="C25" s="119"/>
      <c r="D25" s="119"/>
      <c r="E25" s="119"/>
    </row>
    <row r="26" spans="1:6" ht="15.6" customHeight="1">
      <c r="A26" s="887" t="s">
        <v>551</v>
      </c>
      <c r="B26" s="125"/>
      <c r="C26" s="411">
        <f>SUM(C14:C18)+C24</f>
        <v>2556872</v>
      </c>
      <c r="D26" s="411">
        <f t="shared" ref="D26:E26" si="1">SUM(D14:D18)+D24</f>
        <v>891013</v>
      </c>
      <c r="E26" s="411">
        <f t="shared" si="1"/>
        <v>3447885</v>
      </c>
    </row>
    <row r="27" spans="1:6" ht="15.6" customHeight="1">
      <c r="A27" s="886"/>
      <c r="B27" s="125"/>
      <c r="C27" s="119"/>
      <c r="D27" s="119"/>
      <c r="E27" s="119"/>
    </row>
    <row r="28" spans="1:6" ht="15.6" customHeight="1">
      <c r="A28" s="886" t="s">
        <v>250</v>
      </c>
      <c r="B28" s="125"/>
      <c r="C28" s="731">
        <v>0</v>
      </c>
      <c r="D28" s="731">
        <v>0</v>
      </c>
      <c r="E28" s="130">
        <f>D28+C28</f>
        <v>0</v>
      </c>
    </row>
    <row r="29" spans="1:6" ht="15.6" customHeight="1">
      <c r="A29" s="886"/>
      <c r="B29" s="125"/>
      <c r="C29" s="119"/>
      <c r="D29" s="119"/>
      <c r="E29" s="101"/>
      <c r="F29" s="101"/>
    </row>
    <row r="30" spans="1:6" ht="17.25">
      <c r="A30" s="947" t="s">
        <v>762</v>
      </c>
      <c r="B30" s="119"/>
      <c r="C30" s="128">
        <f>C26-C28</f>
        <v>2556872</v>
      </c>
      <c r="D30" s="128">
        <f>D26-D28</f>
        <v>891013</v>
      </c>
      <c r="E30" s="128">
        <f>E26-E28</f>
        <v>3447885</v>
      </c>
    </row>
    <row r="49" spans="1:3">
      <c r="A49" s="306"/>
      <c r="B49" s="306"/>
      <c r="C49" s="374"/>
    </row>
  </sheetData>
  <phoneticPr fontId="36" type="noConversion"/>
  <pageMargins left="1" right="1" top="1" bottom="0.5" header="0.5" footer="0.5"/>
  <pageSetup scale="56" orientation="portrait" blackAndWhite="1" r:id="rId1"/>
  <headerFooter alignWithMargins="0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tabColor theme="1"/>
    <pageSetUpPr fitToPage="1"/>
  </sheetPr>
  <dimension ref="A1:E44"/>
  <sheetViews>
    <sheetView zoomScale="70" zoomScaleNormal="70" workbookViewId="0">
      <selection activeCell="A2" sqref="A2"/>
    </sheetView>
  </sheetViews>
  <sheetFormatPr defaultColWidth="8.77734375" defaultRowHeight="15"/>
  <cols>
    <col min="1" max="1" width="46.21875" style="12" bestFit="1" customWidth="1"/>
    <col min="2" max="2" width="5.77734375" style="12" customWidth="1"/>
    <col min="3" max="3" width="15.5546875" style="12" bestFit="1" customWidth="1"/>
    <col min="4" max="4" width="19.21875" style="12" bestFit="1" customWidth="1"/>
    <col min="5" max="5" width="19.21875" style="12" customWidth="1"/>
    <col min="6" max="6" width="3" style="12" customWidth="1"/>
    <col min="7" max="16384" width="8.77734375" style="12"/>
  </cols>
  <sheetData>
    <row r="1" spans="1:5" ht="18">
      <c r="A1" s="760" t="str">
        <f>'P1 ADIT 190 &amp; 282'!A1</f>
        <v>Duke Energy Ohio and Duke Energy Kentucky</v>
      </c>
      <c r="B1" s="766"/>
      <c r="C1" s="766"/>
      <c r="D1" s="766"/>
      <c r="E1" s="766"/>
    </row>
    <row r="2" spans="1:5" ht="18">
      <c r="A2" s="760"/>
      <c r="B2" s="766"/>
      <c r="C2" s="766"/>
      <c r="D2" s="766"/>
      <c r="E2" s="766"/>
    </row>
    <row r="3" spans="1:5" ht="15.75">
      <c r="A3" s="769"/>
      <c r="B3" s="766"/>
      <c r="C3" s="766"/>
      <c r="D3" s="765"/>
      <c r="E3" s="767" t="s">
        <v>547</v>
      </c>
    </row>
    <row r="4" spans="1:5" ht="15.75">
      <c r="A4" s="769"/>
      <c r="B4" s="766"/>
      <c r="C4" s="766"/>
      <c r="D4" s="765"/>
      <c r="E4" s="765" t="str">
        <f>"Page 5 of "&amp;Workpaper</f>
        <v>Page 5 of 11</v>
      </c>
    </row>
    <row r="5" spans="1:5" ht="15.75">
      <c r="A5" s="769"/>
      <c r="B5" s="766"/>
      <c r="C5" s="766"/>
      <c r="D5" s="765"/>
      <c r="E5" s="767" t="str">
        <f>'DE Ohio &amp; Kentucky'!$J$124</f>
        <v>For the 12 months ended: 12/31/2015</v>
      </c>
    </row>
    <row r="6" spans="1:5" ht="15.75">
      <c r="A6" s="769" t="s">
        <v>206</v>
      </c>
      <c r="B6" s="766"/>
      <c r="C6" s="766"/>
      <c r="D6" s="766"/>
      <c r="E6" s="766"/>
    </row>
    <row r="7" spans="1:5" ht="15.75">
      <c r="A7" s="769"/>
      <c r="B7" s="766"/>
      <c r="C7" s="766"/>
      <c r="D7" s="766"/>
      <c r="E7" s="766"/>
    </row>
    <row r="8" spans="1:5" ht="15.75">
      <c r="A8" s="772"/>
      <c r="B8" s="773"/>
      <c r="C8" s="773"/>
      <c r="D8" s="773"/>
      <c r="E8" s="773"/>
    </row>
    <row r="9" spans="1:5" ht="20.25">
      <c r="A9" s="119"/>
      <c r="B9" s="216"/>
      <c r="C9" s="122"/>
      <c r="D9" s="122"/>
      <c r="E9" s="122"/>
    </row>
    <row r="10" spans="1:5" ht="21" thickBot="1">
      <c r="A10" s="119"/>
      <c r="B10" s="217"/>
      <c r="C10" s="123" t="s">
        <v>217</v>
      </c>
      <c r="D10" s="123" t="s">
        <v>218</v>
      </c>
      <c r="E10" s="123" t="s">
        <v>546</v>
      </c>
    </row>
    <row r="11" spans="1:5" ht="21" thickBot="1">
      <c r="A11" s="775" t="s">
        <v>253</v>
      </c>
      <c r="B11" s="217"/>
      <c r="C11" s="123"/>
      <c r="D11" s="123"/>
      <c r="E11" s="123"/>
    </row>
    <row r="12" spans="1:5" ht="23.25" customHeight="1">
      <c r="A12" s="124" t="s">
        <v>251</v>
      </c>
      <c r="B12" s="218"/>
      <c r="C12" s="218">
        <f>INPUT!C55</f>
        <v>86660274</v>
      </c>
      <c r="D12" s="218">
        <f>INPUT!D55</f>
        <v>20731564</v>
      </c>
      <c r="E12" s="411">
        <f>D12+C12</f>
        <v>107391838</v>
      </c>
    </row>
    <row r="13" spans="1:5">
      <c r="A13" s="125"/>
      <c r="B13" s="219"/>
      <c r="C13" s="219"/>
      <c r="D13" s="219"/>
      <c r="E13" s="119"/>
    </row>
    <row r="14" spans="1:5" ht="33">
      <c r="A14" s="679" t="s">
        <v>814</v>
      </c>
      <c r="B14" s="126"/>
      <c r="C14" s="1023">
        <f>2096024+56677+16982</f>
        <v>2169683</v>
      </c>
      <c r="D14" s="1023">
        <f>748079+13449</f>
        <v>761528</v>
      </c>
      <c r="E14" s="962">
        <f>D14+C14</f>
        <v>2931211</v>
      </c>
    </row>
    <row r="15" spans="1:5" s="959" customFormat="1" ht="39.75" customHeight="1">
      <c r="A15" s="679" t="s">
        <v>813</v>
      </c>
      <c r="B15" s="126"/>
      <c r="C15" s="1023">
        <f>15+17+154310</f>
        <v>154342</v>
      </c>
      <c r="D15" s="1023">
        <v>55339</v>
      </c>
      <c r="E15" s="962">
        <f>D15+C15</f>
        <v>209681</v>
      </c>
    </row>
    <row r="16" spans="1:5" s="959" customFormat="1" ht="21.95" customHeight="1">
      <c r="A16" s="679" t="s">
        <v>780</v>
      </c>
      <c r="B16" s="126"/>
      <c r="C16" s="1023">
        <f>9289+1787</f>
        <v>11076</v>
      </c>
      <c r="D16" s="1023">
        <f>2662+1684</f>
        <v>4346</v>
      </c>
      <c r="E16" s="962">
        <f t="shared" ref="E16:E20" si="0">D16+C16</f>
        <v>15422</v>
      </c>
    </row>
    <row r="17" spans="1:5" s="959" customFormat="1" ht="21.95" customHeight="1">
      <c r="A17" s="679" t="s">
        <v>812</v>
      </c>
      <c r="B17" s="126"/>
      <c r="C17" s="1025">
        <v>0</v>
      </c>
      <c r="D17" s="1023">
        <v>71457</v>
      </c>
      <c r="E17" s="962">
        <f t="shared" si="0"/>
        <v>71457</v>
      </c>
    </row>
    <row r="18" spans="1:5" s="959" customFormat="1" ht="21.95" customHeight="1">
      <c r="A18" s="679" t="s">
        <v>783</v>
      </c>
      <c r="B18" s="126"/>
      <c r="C18" s="1023">
        <v>0</v>
      </c>
      <c r="D18" s="1023">
        <v>0</v>
      </c>
      <c r="E18" s="962">
        <f t="shared" si="0"/>
        <v>0</v>
      </c>
    </row>
    <row r="19" spans="1:5" s="959" customFormat="1" ht="21.95" customHeight="1">
      <c r="A19" s="679" t="s">
        <v>784</v>
      </c>
      <c r="B19" s="126"/>
      <c r="C19" s="1023">
        <v>0</v>
      </c>
      <c r="D19" s="1023">
        <v>0</v>
      </c>
      <c r="E19" s="962">
        <f t="shared" ref="E19" si="1">D19+C19</f>
        <v>0</v>
      </c>
    </row>
    <row r="20" spans="1:5" s="959" customFormat="1" ht="21.95" customHeight="1">
      <c r="A20" s="679" t="s">
        <v>785</v>
      </c>
      <c r="B20" s="126"/>
      <c r="C20" s="1023">
        <v>0</v>
      </c>
      <c r="D20" s="1023">
        <v>590</v>
      </c>
      <c r="E20" s="962">
        <f t="shared" si="0"/>
        <v>590</v>
      </c>
    </row>
    <row r="21" spans="1:5" ht="48">
      <c r="A21" s="132" t="s">
        <v>255</v>
      </c>
      <c r="B21" s="126"/>
      <c r="C21" s="126">
        <v>0</v>
      </c>
      <c r="D21" s="126">
        <v>0</v>
      </c>
      <c r="E21" s="130">
        <f>D21+C21</f>
        <v>0</v>
      </c>
    </row>
    <row r="22" spans="1:5">
      <c r="A22" s="125"/>
      <c r="B22" s="219"/>
      <c r="C22" s="219"/>
      <c r="D22" s="219"/>
      <c r="E22" s="119"/>
    </row>
    <row r="23" spans="1:5" ht="24.75" customHeight="1">
      <c r="A23" s="127" t="s">
        <v>552</v>
      </c>
      <c r="B23" s="220"/>
      <c r="C23" s="220">
        <f>C12-SUM(C14:C21)</f>
        <v>84325173</v>
      </c>
      <c r="D23" s="220">
        <f>D12-SUM(D14:D21)</f>
        <v>19838304</v>
      </c>
      <c r="E23" s="220">
        <f>E12-SUM(E14:E21)</f>
        <v>104163477</v>
      </c>
    </row>
    <row r="24" spans="1:5" ht="14.25" customHeight="1">
      <c r="A24" s="127"/>
      <c r="B24" s="220"/>
      <c r="C24" s="220"/>
      <c r="D24" s="220"/>
      <c r="E24" s="136"/>
    </row>
    <row r="25" spans="1:5" ht="10.5" customHeight="1">
      <c r="A25" s="127"/>
      <c r="B25" s="220"/>
      <c r="C25" s="220"/>
      <c r="D25" s="220"/>
      <c r="E25" s="136"/>
    </row>
    <row r="26" spans="1:5" ht="15.75" thickBot="1">
      <c r="A26" s="125"/>
      <c r="B26" s="219"/>
      <c r="C26" s="219"/>
      <c r="D26" s="219"/>
      <c r="E26" s="119"/>
    </row>
    <row r="27" spans="1:5" ht="16.5" thickBot="1">
      <c r="A27" s="775" t="s">
        <v>254</v>
      </c>
      <c r="B27" s="219"/>
      <c r="C27" s="219"/>
      <c r="D27" s="219"/>
      <c r="E27" s="119"/>
    </row>
    <row r="28" spans="1:5" ht="21" customHeight="1">
      <c r="A28" s="124" t="s">
        <v>252</v>
      </c>
      <c r="B28" s="218"/>
      <c r="C28" s="218">
        <f>INPUT!C51</f>
        <v>31976701</v>
      </c>
      <c r="D28" s="218">
        <f>INPUT!D51</f>
        <v>16183911</v>
      </c>
      <c r="E28" s="411">
        <f>D28+C28</f>
        <v>48160612</v>
      </c>
    </row>
    <row r="29" spans="1:5">
      <c r="A29" s="125"/>
      <c r="B29" s="219"/>
      <c r="C29" s="219"/>
      <c r="D29" s="219"/>
      <c r="E29" s="119"/>
    </row>
    <row r="30" spans="1:5" ht="48">
      <c r="A30" s="132" t="s">
        <v>256</v>
      </c>
      <c r="B30" s="130"/>
      <c r="C30" s="731">
        <v>0</v>
      </c>
      <c r="D30" s="731">
        <v>0</v>
      </c>
      <c r="E30" s="130">
        <f>D30+C30</f>
        <v>0</v>
      </c>
    </row>
    <row r="31" spans="1:5">
      <c r="A31" s="125"/>
      <c r="B31" s="219"/>
      <c r="C31" s="219"/>
      <c r="D31" s="219"/>
      <c r="E31" s="119"/>
    </row>
    <row r="32" spans="1:5" ht="27" customHeight="1">
      <c r="A32" s="127" t="s">
        <v>713</v>
      </c>
      <c r="B32" s="220"/>
      <c r="C32" s="220">
        <f>C28+C30</f>
        <v>31976701</v>
      </c>
      <c r="D32" s="220">
        <f>D28+D30</f>
        <v>16183911</v>
      </c>
      <c r="E32" s="136">
        <f>E28-E30</f>
        <v>48160612</v>
      </c>
    </row>
    <row r="33" spans="1:5" ht="14.25" customHeight="1">
      <c r="A33" s="127"/>
      <c r="B33" s="220"/>
      <c r="C33" s="220"/>
      <c r="D33" s="220"/>
      <c r="E33" s="136"/>
    </row>
    <row r="34" spans="1:5" ht="10.5" customHeight="1">
      <c r="A34" s="127"/>
      <c r="B34" s="220"/>
      <c r="C34" s="220"/>
      <c r="D34" s="220"/>
      <c r="E34" s="136"/>
    </row>
    <row r="35" spans="1:5" ht="15.75" thickBot="1">
      <c r="A35" s="125"/>
      <c r="B35" s="219"/>
      <c r="C35" s="219"/>
      <c r="D35" s="219"/>
      <c r="E35" s="119"/>
    </row>
    <row r="36" spans="1:5" ht="16.5" thickBot="1">
      <c r="A36" s="775" t="s">
        <v>257</v>
      </c>
      <c r="B36" s="219"/>
      <c r="C36" s="219"/>
      <c r="D36" s="219"/>
      <c r="E36" s="119"/>
    </row>
    <row r="37" spans="1:5" ht="21" customHeight="1">
      <c r="A37" s="124" t="s">
        <v>258</v>
      </c>
      <c r="B37" s="218"/>
      <c r="C37" s="218">
        <f>INPUT!C100</f>
        <v>3963527</v>
      </c>
      <c r="D37" s="218">
        <f>INPUT!D100</f>
        <v>562901</v>
      </c>
      <c r="E37" s="411">
        <f>D37+C37</f>
        <v>4526428</v>
      </c>
    </row>
    <row r="38" spans="1:5">
      <c r="A38" s="125"/>
      <c r="B38" s="219"/>
      <c r="C38" s="219"/>
      <c r="D38" s="219"/>
      <c r="E38" s="119"/>
    </row>
    <row r="39" spans="1:5" ht="48">
      <c r="A39" s="132" t="s">
        <v>256</v>
      </c>
      <c r="B39" s="130"/>
      <c r="C39" s="731">
        <v>0</v>
      </c>
      <c r="D39" s="731">
        <v>0</v>
      </c>
      <c r="E39" s="130">
        <f>D39+C39</f>
        <v>0</v>
      </c>
    </row>
    <row r="40" spans="1:5">
      <c r="A40" s="125"/>
      <c r="B40" s="219"/>
      <c r="C40" s="119"/>
      <c r="D40" s="119"/>
      <c r="E40" s="119"/>
    </row>
    <row r="41" spans="1:5" ht="27" customHeight="1">
      <c r="A41" s="127" t="s">
        <v>555</v>
      </c>
      <c r="B41" s="220"/>
      <c r="C41" s="136">
        <f>C37+C39</f>
        <v>3963527</v>
      </c>
      <c r="D41" s="136">
        <f>D37+D39</f>
        <v>562901</v>
      </c>
      <c r="E41" s="136">
        <f>E37-E39</f>
        <v>4526428</v>
      </c>
    </row>
    <row r="42" spans="1:5">
      <c r="A42" s="125"/>
      <c r="B42" s="219"/>
      <c r="C42" s="119"/>
      <c r="D42" s="119"/>
      <c r="E42" s="119"/>
    </row>
    <row r="43" spans="1:5">
      <c r="A43" s="125"/>
      <c r="B43" s="219"/>
      <c r="C43" s="119"/>
      <c r="D43" s="119"/>
      <c r="E43" s="119"/>
    </row>
    <row r="44" spans="1:5" ht="39.75" customHeight="1">
      <c r="A44" s="1037"/>
      <c r="B44" s="1037"/>
      <c r="C44" s="1037"/>
      <c r="D44" s="1037"/>
      <c r="E44" s="469"/>
    </row>
  </sheetData>
  <mergeCells count="1">
    <mergeCell ref="A44:D44"/>
  </mergeCells>
  <phoneticPr fontId="0" type="noConversion"/>
  <pageMargins left="1" right="0.5" top="1" bottom="0.5" header="0.25" footer="0.25"/>
  <pageSetup scale="71" orientation="portrait" blackAndWhite="1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tabColor theme="1"/>
    <pageSetUpPr fitToPage="1"/>
  </sheetPr>
  <dimension ref="A1:D44"/>
  <sheetViews>
    <sheetView zoomScale="80" zoomScaleNormal="80" workbookViewId="0">
      <selection activeCell="A3" sqref="A3"/>
    </sheetView>
  </sheetViews>
  <sheetFormatPr defaultColWidth="8.77734375" defaultRowHeight="15"/>
  <cols>
    <col min="1" max="1" width="21.5546875" style="12" bestFit="1" customWidth="1"/>
    <col min="2" max="2" width="17.21875" style="12" customWidth="1"/>
    <col min="3" max="3" width="19.77734375" style="12" customWidth="1"/>
    <col min="4" max="4" width="17.21875" style="12" customWidth="1"/>
    <col min="5" max="16384" width="8.77734375" style="12"/>
  </cols>
  <sheetData>
    <row r="1" spans="1:4" ht="18">
      <c r="A1" s="129" t="str">
        <f>'P1 ADIT 190 &amp; 282'!A1</f>
        <v>Duke Energy Ohio and Duke Energy Kentucky</v>
      </c>
      <c r="B1" s="118"/>
      <c r="C1" s="118"/>
      <c r="D1" s="118"/>
    </row>
    <row r="2" spans="1:4" ht="18">
      <c r="A2" s="129"/>
      <c r="B2" s="118"/>
      <c r="C2" s="118"/>
      <c r="D2" s="118"/>
    </row>
    <row r="3" spans="1:4" ht="18">
      <c r="A3" s="129"/>
      <c r="B3" s="118"/>
      <c r="C3" s="118"/>
      <c r="D3" s="475" t="s">
        <v>547</v>
      </c>
    </row>
    <row r="4" spans="1:4">
      <c r="D4" s="765" t="str">
        <f>"Page 6 of "&amp;Workpaper</f>
        <v>Page 6 of 11</v>
      </c>
    </row>
    <row r="5" spans="1:4">
      <c r="D5" s="475" t="str">
        <f>'DE Ohio &amp; Kentucky'!$J$124</f>
        <v>For the 12 months ended: 12/31/2015</v>
      </c>
    </row>
    <row r="6" spans="1:4">
      <c r="D6" s="93"/>
    </row>
    <row r="7" spans="1:4" ht="15.75">
      <c r="A7" s="117" t="s">
        <v>391</v>
      </c>
      <c r="B7" s="118"/>
      <c r="C7" s="118"/>
      <c r="D7" s="118"/>
    </row>
    <row r="9" spans="1:4">
      <c r="A9" s="12" t="s">
        <v>181</v>
      </c>
      <c r="B9" s="890" t="s">
        <v>182</v>
      </c>
      <c r="C9" s="890" t="s">
        <v>183</v>
      </c>
    </row>
    <row r="10" spans="1:4">
      <c r="B10" s="376"/>
      <c r="C10" s="376"/>
    </row>
    <row r="11" spans="1:4">
      <c r="A11" s="292"/>
      <c r="B11" s="405" t="s">
        <v>211</v>
      </c>
      <c r="C11" s="405" t="s">
        <v>212</v>
      </c>
      <c r="D11" s="904" t="s">
        <v>708</v>
      </c>
    </row>
    <row r="12" spans="1:4">
      <c r="A12" s="12" t="s">
        <v>392</v>
      </c>
      <c r="B12" s="387">
        <f>DEO!J15</f>
        <v>106439543.80940878</v>
      </c>
      <c r="C12" s="387">
        <f>DEK!J15</f>
        <v>5492333.3358116578</v>
      </c>
      <c r="D12" s="387">
        <f>SUM(B12:C12)</f>
        <v>111931877.14522044</v>
      </c>
    </row>
    <row r="13" spans="1:4" ht="17.25">
      <c r="A13" s="12" t="s">
        <v>393</v>
      </c>
      <c r="B13" s="1024">
        <v>0</v>
      </c>
      <c r="C13" s="1024">
        <v>0.06</v>
      </c>
      <c r="D13" s="379"/>
    </row>
    <row r="14" spans="1:4" ht="6" customHeight="1">
      <c r="B14" s="379" t="s">
        <v>12</v>
      </c>
      <c r="C14" s="379" t="s">
        <v>12</v>
      </c>
      <c r="D14" s="379" t="s">
        <v>12</v>
      </c>
    </row>
    <row r="15" spans="1:4">
      <c r="A15" s="12" t="s">
        <v>394</v>
      </c>
      <c r="B15" s="387">
        <f>ROUND(B13*B12,2)</f>
        <v>0</v>
      </c>
      <c r="C15" s="387">
        <f>ROUND(C13*C12,2)</f>
        <v>329540</v>
      </c>
      <c r="D15" s="387">
        <f>SUM(B15:C15)</f>
        <v>329540</v>
      </c>
    </row>
    <row r="17" spans="1:4">
      <c r="A17" s="12" t="s">
        <v>395</v>
      </c>
      <c r="B17" s="388">
        <f t="shared" ref="B17:C17" si="0">ROUND(B15/B12,4)</f>
        <v>0</v>
      </c>
      <c r="C17" s="388">
        <f t="shared" si="0"/>
        <v>0.06</v>
      </c>
      <c r="D17" s="388">
        <f>ROUND(D15/D12,4)</f>
        <v>2.8999999999999998E-3</v>
      </c>
    </row>
    <row r="44" spans="1:2">
      <c r="A44" s="80"/>
      <c r="B44" s="67"/>
    </row>
  </sheetData>
  <phoneticPr fontId="0" type="noConversion"/>
  <pageMargins left="1" right="0.75" top="1" bottom="0.5" header="1" footer="0.25"/>
  <pageSetup scale="85" orientation="portrait" horizontalDpi="300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theme="1"/>
    <pageSetUpPr fitToPage="1"/>
  </sheetPr>
  <dimension ref="A1:E92"/>
  <sheetViews>
    <sheetView zoomScale="75" zoomScaleNormal="75" workbookViewId="0"/>
  </sheetViews>
  <sheetFormatPr defaultColWidth="7.109375" defaultRowHeight="15"/>
  <cols>
    <col min="1" max="1" width="44" style="134" customWidth="1"/>
    <col min="2" max="3" width="14.6640625" style="134" customWidth="1"/>
    <col min="4" max="4" width="15" style="134" customWidth="1"/>
    <col min="5" max="5" width="11.6640625" style="134" customWidth="1"/>
    <col min="6" max="6" width="16.77734375" style="134" bestFit="1" customWidth="1"/>
    <col min="7" max="7" width="7.77734375" style="134" bestFit="1" customWidth="1"/>
    <col min="8" max="8" width="8.21875" style="134" bestFit="1" customWidth="1"/>
    <col min="9" max="9" width="9.88671875" style="134" bestFit="1" customWidth="1"/>
    <col min="10" max="10" width="6.33203125" style="134" customWidth="1"/>
    <col min="11" max="11" width="9.88671875" style="134" bestFit="1" customWidth="1"/>
    <col min="12" max="12" width="6.33203125" style="134" customWidth="1"/>
    <col min="13" max="13" width="9.88671875" style="134" bestFit="1" customWidth="1"/>
    <col min="14" max="15" width="6.33203125" style="134" customWidth="1"/>
    <col min="16" max="16" width="9.88671875" style="134" bestFit="1" customWidth="1"/>
    <col min="17" max="17" width="6.33203125" style="134" customWidth="1"/>
    <col min="18" max="18" width="9.88671875" style="134" bestFit="1" customWidth="1"/>
    <col min="19" max="19" width="6.33203125" style="134" customWidth="1"/>
    <col min="20" max="20" width="9.88671875" style="134" bestFit="1" customWidth="1"/>
    <col min="21" max="21" width="6.33203125" style="134" customWidth="1"/>
    <col min="22" max="22" width="9.88671875" style="134" bestFit="1" customWidth="1"/>
    <col min="23" max="23" width="8.21875" style="134" bestFit="1" customWidth="1"/>
    <col min="24" max="16384" width="7.109375" style="134"/>
  </cols>
  <sheetData>
    <row r="1" spans="1:4" ht="18">
      <c r="A1" s="129" t="str">
        <f>'P1 ADIT 190 &amp; 282'!A1</f>
        <v>Duke Energy Ohio and Duke Energy Kentucky</v>
      </c>
      <c r="B1" s="118"/>
      <c r="C1" s="118"/>
      <c r="D1" s="118"/>
    </row>
    <row r="2" spans="1:4" ht="18">
      <c r="A2" s="129"/>
      <c r="B2" s="118"/>
      <c r="C2" s="118"/>
      <c r="D2" s="118"/>
    </row>
    <row r="3" spans="1:4" ht="18">
      <c r="A3" s="129"/>
      <c r="B3" s="118"/>
      <c r="C3" s="118"/>
      <c r="D3" s="475" t="s">
        <v>547</v>
      </c>
    </row>
    <row r="4" spans="1:4" ht="15.75">
      <c r="A4" s="117"/>
      <c r="B4" s="118"/>
      <c r="C4" s="118"/>
      <c r="D4" s="765" t="str">
        <f>"Page 7 of "&amp;Workpaper</f>
        <v>Page 7 of 11</v>
      </c>
    </row>
    <row r="5" spans="1:4" ht="15.75">
      <c r="A5" s="117"/>
      <c r="B5" s="118"/>
      <c r="C5" s="118"/>
      <c r="D5" s="475" t="str">
        <f>'DE Ohio &amp; Kentucky'!$J$124</f>
        <v>For the 12 months ended: 12/31/2015</v>
      </c>
    </row>
    <row r="6" spans="1:4" ht="15.75">
      <c r="A6" s="117"/>
      <c r="B6" s="118"/>
      <c r="C6" s="118"/>
      <c r="D6" s="92"/>
    </row>
    <row r="7" spans="1:4" ht="15.75">
      <c r="A7" s="117" t="s">
        <v>390</v>
      </c>
      <c r="B7" s="118"/>
      <c r="C7" s="118"/>
      <c r="D7" s="118"/>
    </row>
    <row r="8" spans="1:4" ht="15.75">
      <c r="A8" s="117"/>
      <c r="B8" s="118"/>
      <c r="C8" s="118"/>
      <c r="D8" s="118"/>
    </row>
    <row r="9" spans="1:4">
      <c r="A9" s="106"/>
      <c r="B9" s="106"/>
      <c r="C9" s="106"/>
      <c r="D9" s="106"/>
    </row>
    <row r="10" spans="1:4">
      <c r="A10" s="119"/>
      <c r="B10" s="122"/>
      <c r="C10" s="122"/>
      <c r="D10" s="122"/>
    </row>
    <row r="11" spans="1:4" ht="20.25">
      <c r="A11" s="119"/>
      <c r="B11" s="123" t="s">
        <v>217</v>
      </c>
      <c r="C11" s="123" t="s">
        <v>218</v>
      </c>
      <c r="D11" s="123" t="s">
        <v>546</v>
      </c>
    </row>
    <row r="12" spans="1:4" ht="20.25">
      <c r="A12" s="119"/>
      <c r="B12" s="123"/>
      <c r="C12" s="123"/>
      <c r="D12" s="123"/>
    </row>
    <row r="13" spans="1:4">
      <c r="A13" s="134" t="s">
        <v>677</v>
      </c>
      <c r="B13" s="1013">
        <v>0</v>
      </c>
      <c r="C13" s="1013">
        <f>5838602+10592322</f>
        <v>16430924</v>
      </c>
      <c r="D13" s="218">
        <f>+B13+C13</f>
        <v>16430924</v>
      </c>
    </row>
    <row r="14" spans="1:4">
      <c r="A14" s="124" t="s">
        <v>263</v>
      </c>
      <c r="B14" s="1014">
        <v>0</v>
      </c>
      <c r="C14" s="1014">
        <v>0</v>
      </c>
      <c r="D14" s="477">
        <f>C14+B14</f>
        <v>0</v>
      </c>
    </row>
    <row r="15" spans="1:4">
      <c r="A15" s="124" t="s">
        <v>261</v>
      </c>
      <c r="B15" s="1014">
        <v>0</v>
      </c>
      <c r="C15" s="1014">
        <v>0</v>
      </c>
      <c r="D15" s="477">
        <f t="shared" ref="D15:D16" si="0">C15+B15</f>
        <v>0</v>
      </c>
    </row>
    <row r="16" spans="1:4" ht="17.25">
      <c r="A16" s="124" t="s">
        <v>262</v>
      </c>
      <c r="B16" s="731">
        <v>0</v>
      </c>
      <c r="C16" s="731">
        <v>0</v>
      </c>
      <c r="D16" s="130">
        <f t="shared" si="0"/>
        <v>0</v>
      </c>
    </row>
    <row r="17" spans="1:5">
      <c r="A17" s="125"/>
      <c r="B17" s="119"/>
      <c r="C17" s="119"/>
      <c r="D17" s="119"/>
      <c r="E17" s="119"/>
    </row>
    <row r="18" spans="1:5" ht="33.6" customHeight="1">
      <c r="A18" s="478" t="s">
        <v>553</v>
      </c>
      <c r="B18" s="777">
        <f>SUM(B13:B17)</f>
        <v>0</v>
      </c>
      <c r="C18" s="777">
        <f>SUM(C13:C17)</f>
        <v>16430924</v>
      </c>
      <c r="D18" s="777">
        <f>SUM(D13:D17)</f>
        <v>16430924</v>
      </c>
      <c r="E18" s="133"/>
    </row>
    <row r="19" spans="1:5">
      <c r="A19" s="119"/>
      <c r="B19" s="135"/>
      <c r="C19" s="135"/>
      <c r="D19" s="135"/>
    </row>
    <row r="57" spans="2:4">
      <c r="B57" s="726"/>
      <c r="C57" s="726"/>
      <c r="D57" s="724"/>
    </row>
    <row r="58" spans="2:4">
      <c r="B58" s="727"/>
      <c r="C58" s="727"/>
      <c r="D58" s="724"/>
    </row>
    <row r="59" spans="2:4">
      <c r="B59" s="726"/>
      <c r="C59" s="726"/>
      <c r="D59" s="724"/>
    </row>
    <row r="60" spans="2:4">
      <c r="B60" s="726"/>
      <c r="C60" s="726"/>
      <c r="D60" s="724"/>
    </row>
    <row r="61" spans="2:4">
      <c r="B61" s="726"/>
      <c r="C61" s="726"/>
      <c r="D61" s="724"/>
    </row>
    <row r="62" spans="2:4">
      <c r="B62" s="726"/>
      <c r="C62" s="726"/>
      <c r="D62" s="724"/>
    </row>
    <row r="63" spans="2:4">
      <c r="B63" s="726"/>
      <c r="C63" s="726"/>
      <c r="D63" s="724"/>
    </row>
    <row r="64" spans="2:4">
      <c r="B64" s="726"/>
      <c r="C64" s="726"/>
      <c r="D64" s="724"/>
    </row>
    <row r="65" spans="2:4">
      <c r="B65" s="726"/>
      <c r="C65" s="726"/>
      <c r="D65" s="724"/>
    </row>
    <row r="66" spans="2:4">
      <c r="B66" s="726"/>
      <c r="C66" s="726"/>
      <c r="D66" s="724"/>
    </row>
    <row r="67" spans="2:4">
      <c r="B67" s="726"/>
      <c r="C67" s="726"/>
      <c r="D67" s="724"/>
    </row>
    <row r="68" spans="2:4">
      <c r="B68" s="726"/>
      <c r="C68" s="726"/>
      <c r="D68" s="724"/>
    </row>
    <row r="69" spans="2:4">
      <c r="B69" s="726"/>
      <c r="C69" s="726"/>
      <c r="D69" s="724"/>
    </row>
    <row r="70" spans="2:4">
      <c r="B70" s="726"/>
      <c r="C70" s="726"/>
      <c r="D70" s="724"/>
    </row>
    <row r="71" spans="2:4">
      <c r="B71" s="726"/>
      <c r="C71" s="726"/>
      <c r="D71" s="724"/>
    </row>
    <row r="72" spans="2:4">
      <c r="B72" s="726"/>
      <c r="C72" s="726"/>
      <c r="D72" s="724"/>
    </row>
    <row r="73" spans="2:4">
      <c r="B73" s="726"/>
      <c r="C73" s="726"/>
      <c r="D73" s="724"/>
    </row>
    <row r="74" spans="2:4">
      <c r="B74" s="726"/>
      <c r="C74" s="726"/>
      <c r="D74" s="724"/>
    </row>
    <row r="75" spans="2:4">
      <c r="B75" s="726"/>
      <c r="C75" s="726"/>
      <c r="D75" s="724"/>
    </row>
    <row r="76" spans="2:4">
      <c r="B76" s="726"/>
      <c r="C76" s="726"/>
      <c r="D76" s="724"/>
    </row>
    <row r="77" spans="2:4">
      <c r="B77" s="726"/>
      <c r="C77" s="726"/>
      <c r="D77" s="724"/>
    </row>
    <row r="78" spans="2:4">
      <c r="B78" s="726"/>
      <c r="C78" s="725"/>
    </row>
    <row r="79" spans="2:4">
      <c r="B79" s="726"/>
      <c r="C79" s="725"/>
    </row>
    <row r="80" spans="2:4">
      <c r="B80" s="726"/>
      <c r="C80" s="725"/>
    </row>
    <row r="81" spans="2:3">
      <c r="B81" s="726"/>
      <c r="C81" s="725"/>
    </row>
    <row r="82" spans="2:3">
      <c r="B82" s="726"/>
      <c r="C82" s="725"/>
    </row>
    <row r="83" spans="2:3">
      <c r="B83" s="726"/>
      <c r="C83" s="725"/>
    </row>
    <row r="84" spans="2:3">
      <c r="B84" s="726"/>
      <c r="C84" s="725"/>
    </row>
    <row r="85" spans="2:3">
      <c r="B85" s="726"/>
      <c r="C85" s="725"/>
    </row>
    <row r="86" spans="2:3">
      <c r="B86" s="726"/>
      <c r="C86" s="725"/>
    </row>
    <row r="87" spans="2:3">
      <c r="B87" s="726"/>
      <c r="C87" s="725"/>
    </row>
    <row r="88" spans="2:3">
      <c r="B88" s="726"/>
      <c r="C88" s="725"/>
    </row>
    <row r="89" spans="2:3">
      <c r="B89" s="725"/>
      <c r="C89" s="725"/>
    </row>
    <row r="90" spans="2:3">
      <c r="B90" s="725"/>
      <c r="C90" s="725"/>
    </row>
    <row r="91" spans="2:3">
      <c r="B91" s="725"/>
      <c r="C91" s="725"/>
    </row>
    <row r="92" spans="2:3">
      <c r="B92" s="725"/>
      <c r="C92" s="725"/>
    </row>
  </sheetData>
  <pageMargins left="1" right="1" top="1" bottom="0.5" header="0.5" footer="0.5"/>
  <pageSetup scale="79" orientation="portrait" blackAndWhite="1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0" enableFormatConditionsCalculation="0">
    <tabColor theme="1"/>
    <pageSetUpPr fitToPage="1"/>
  </sheetPr>
  <dimension ref="A1:H78"/>
  <sheetViews>
    <sheetView zoomScale="80" zoomScaleNormal="80" workbookViewId="0">
      <selection activeCell="A2" sqref="A2"/>
    </sheetView>
  </sheetViews>
  <sheetFormatPr defaultColWidth="7.109375" defaultRowHeight="15"/>
  <cols>
    <col min="1" max="1" width="58.21875" style="119" customWidth="1"/>
    <col min="2" max="2" width="1.6640625" style="119" customWidth="1"/>
    <col min="3" max="3" width="14.5546875" style="219" customWidth="1"/>
    <col min="4" max="4" width="2" style="219" customWidth="1"/>
    <col min="5" max="5" width="15.109375" style="219" customWidth="1"/>
    <col min="6" max="6" width="14.21875" style="119" customWidth="1"/>
    <col min="7" max="7" width="7.109375" style="119"/>
    <col min="8" max="8" width="7.109375" style="219"/>
    <col min="9" max="16384" width="7.109375" style="119"/>
  </cols>
  <sheetData>
    <row r="1" spans="1:8" s="106" customFormat="1" ht="15.75">
      <c r="A1" s="117" t="str">
        <f>'P1 ADIT 190 &amp; 282'!A1</f>
        <v>Duke Energy Ohio and Duke Energy Kentucky</v>
      </c>
      <c r="B1" s="117"/>
      <c r="C1" s="279"/>
      <c r="D1" s="279"/>
      <c r="E1" s="279"/>
      <c r="F1" s="118"/>
      <c r="G1" s="92"/>
      <c r="H1" s="396"/>
    </row>
    <row r="2" spans="1:8" s="106" customFormat="1" ht="15.75">
      <c r="A2" s="117"/>
      <c r="B2" s="117"/>
      <c r="C2" s="279"/>
      <c r="D2" s="279"/>
      <c r="E2" s="279"/>
      <c r="F2" s="118"/>
      <c r="G2" s="92"/>
      <c r="H2" s="396"/>
    </row>
    <row r="3" spans="1:8" s="106" customFormat="1" ht="15.75">
      <c r="A3" s="117"/>
      <c r="B3" s="117"/>
      <c r="C3" s="279"/>
      <c r="D3" s="279"/>
      <c r="E3" s="279"/>
      <c r="F3" s="475" t="s">
        <v>547</v>
      </c>
      <c r="H3" s="396"/>
    </row>
    <row r="4" spans="1:8" s="106" customFormat="1" ht="15.75">
      <c r="A4" s="117"/>
      <c r="B4" s="117"/>
      <c r="C4" s="279"/>
      <c r="D4" s="279"/>
      <c r="E4" s="279"/>
      <c r="F4" s="765" t="str">
        <f>"Page 8 of "&amp;Workpaper</f>
        <v>Page 8 of 11</v>
      </c>
      <c r="H4" s="396"/>
    </row>
    <row r="5" spans="1:8" s="106" customFormat="1" ht="15.75">
      <c r="A5" s="117"/>
      <c r="B5" s="117"/>
      <c r="C5" s="279"/>
      <c r="D5" s="279"/>
      <c r="E5" s="279"/>
      <c r="F5" s="475" t="str">
        <f>'DE Ohio &amp; Kentucky'!$J$124</f>
        <v>For the 12 months ended: 12/31/2015</v>
      </c>
      <c r="H5" s="396"/>
    </row>
    <row r="6" spans="1:8" s="106" customFormat="1" ht="15.75">
      <c r="A6" s="117"/>
      <c r="B6" s="117"/>
      <c r="C6" s="279"/>
      <c r="D6" s="279"/>
      <c r="E6" s="279"/>
      <c r="F6" s="475"/>
      <c r="H6" s="396"/>
    </row>
    <row r="7" spans="1:8" s="106" customFormat="1" ht="15.75">
      <c r="A7" s="117" t="s">
        <v>140</v>
      </c>
      <c r="B7" s="117"/>
      <c r="C7" s="279"/>
      <c r="D7" s="279"/>
      <c r="E7" s="279"/>
      <c r="F7" s="118"/>
      <c r="H7" s="396"/>
    </row>
    <row r="8" spans="1:8" s="106" customFormat="1" ht="15.75">
      <c r="A8" s="117"/>
      <c r="B8" s="117"/>
      <c r="C8" s="279"/>
      <c r="D8" s="279"/>
      <c r="E8" s="279"/>
      <c r="F8" s="118"/>
      <c r="H8" s="396"/>
    </row>
    <row r="9" spans="1:8" s="106" customFormat="1">
      <c r="C9" s="396"/>
      <c r="D9" s="396"/>
      <c r="E9" s="396"/>
      <c r="H9" s="396"/>
    </row>
    <row r="11" spans="1:8" ht="15.75">
      <c r="A11" s="120"/>
      <c r="B11" s="120"/>
    </row>
    <row r="12" spans="1:8" ht="20.25">
      <c r="C12" s="216" t="s">
        <v>137</v>
      </c>
      <c r="D12" s="216"/>
      <c r="E12" s="216"/>
      <c r="F12" s="122"/>
      <c r="G12" s="397"/>
    </row>
    <row r="13" spans="1:8" ht="20.25">
      <c r="C13" s="217" t="s">
        <v>217</v>
      </c>
      <c r="D13" s="217"/>
      <c r="E13" s="217" t="s">
        <v>218</v>
      </c>
      <c r="F13" s="123" t="s">
        <v>546</v>
      </c>
      <c r="G13" s="398"/>
    </row>
    <row r="14" spans="1:8">
      <c r="A14" s="124" t="s">
        <v>138</v>
      </c>
      <c r="B14" s="399"/>
      <c r="C14" s="716">
        <v>11196664</v>
      </c>
      <c r="D14" s="716"/>
      <c r="E14" s="716">
        <v>662565</v>
      </c>
      <c r="F14" s="411">
        <f>E14+C14</f>
        <v>11859229</v>
      </c>
    </row>
    <row r="15" spans="1:8">
      <c r="C15" s="717"/>
      <c r="D15" s="717"/>
      <c r="E15" s="717"/>
    </row>
    <row r="16" spans="1:8">
      <c r="A16" s="119" t="s">
        <v>310</v>
      </c>
      <c r="C16" s="941">
        <v>75742</v>
      </c>
      <c r="D16" s="941"/>
      <c r="E16" s="941">
        <v>10259</v>
      </c>
      <c r="F16" s="479">
        <f>E16+C16</f>
        <v>86001</v>
      </c>
    </row>
    <row r="17" spans="1:7">
      <c r="C17" s="717"/>
      <c r="D17" s="717"/>
      <c r="E17" s="717"/>
    </row>
    <row r="18" spans="1:7">
      <c r="A18" s="119" t="s">
        <v>139</v>
      </c>
      <c r="C18" s="718">
        <v>1693862</v>
      </c>
      <c r="D18" s="718"/>
      <c r="E18" s="718">
        <v>171283</v>
      </c>
      <c r="F18" s="479">
        <f>E18+C18</f>
        <v>1865145</v>
      </c>
    </row>
    <row r="19" spans="1:7" ht="17.25">
      <c r="A19" s="119" t="s">
        <v>632</v>
      </c>
      <c r="C19" s="719">
        <v>0.05</v>
      </c>
      <c r="D19" s="720"/>
      <c r="E19" s="719">
        <v>0.05</v>
      </c>
      <c r="F19" s="480">
        <v>0.05</v>
      </c>
    </row>
    <row r="20" spans="1:7" ht="17.25">
      <c r="A20" s="400" t="s">
        <v>752</v>
      </c>
      <c r="B20" s="400"/>
      <c r="C20" s="403">
        <f>ROUND(C18*C19,0)+C16</f>
        <v>160435</v>
      </c>
      <c r="D20" s="403"/>
      <c r="E20" s="403">
        <f>ROUND(E18*E19,0)+E16</f>
        <v>18823</v>
      </c>
      <c r="F20" s="401">
        <f>ROUND(F18*F19,0)+F16</f>
        <v>179258</v>
      </c>
    </row>
    <row r="21" spans="1:7">
      <c r="C21" s="402"/>
      <c r="D21" s="402"/>
      <c r="E21" s="402"/>
      <c r="F21" s="481"/>
    </row>
    <row r="22" spans="1:7" ht="17.25">
      <c r="A22" s="119" t="s">
        <v>8</v>
      </c>
      <c r="C22" s="721">
        <v>0</v>
      </c>
      <c r="D22" s="721"/>
      <c r="E22" s="721">
        <v>0</v>
      </c>
      <c r="F22" s="509">
        <f>E22+C22</f>
        <v>0</v>
      </c>
    </row>
    <row r="23" spans="1:7" ht="17.25">
      <c r="A23" s="399" t="s">
        <v>754</v>
      </c>
      <c r="C23" s="403">
        <f>C22+C20</f>
        <v>160435</v>
      </c>
      <c r="D23" s="403"/>
      <c r="E23" s="403">
        <f>E22+E20</f>
        <v>18823</v>
      </c>
      <c r="F23" s="401">
        <f>F22+F20</f>
        <v>179258</v>
      </c>
    </row>
    <row r="24" spans="1:7">
      <c r="C24" s="402"/>
      <c r="D24" s="402"/>
      <c r="E24" s="402"/>
      <c r="F24" s="135"/>
    </row>
    <row r="26" spans="1:7" ht="15.75">
      <c r="A26" s="120"/>
      <c r="B26" s="120"/>
    </row>
    <row r="27" spans="1:7" ht="20.25">
      <c r="C27" s="216" t="s">
        <v>136</v>
      </c>
      <c r="D27" s="216"/>
      <c r="E27" s="547"/>
      <c r="F27" s="122"/>
      <c r="G27" s="397"/>
    </row>
    <row r="28" spans="1:7" ht="20.25">
      <c r="C28" s="217" t="s">
        <v>217</v>
      </c>
      <c r="D28" s="217"/>
      <c r="E28" s="217" t="s">
        <v>218</v>
      </c>
      <c r="F28" s="123" t="s">
        <v>546</v>
      </c>
      <c r="G28" s="398"/>
    </row>
    <row r="29" spans="1:7">
      <c r="A29" s="937" t="s">
        <v>731</v>
      </c>
      <c r="B29" s="124"/>
      <c r="C29" s="714">
        <f>-14907352+11472571</f>
        <v>-3434781</v>
      </c>
      <c r="D29" s="714"/>
      <c r="E29" s="714">
        <f>1398992+7862797</f>
        <v>9261789</v>
      </c>
      <c r="F29" s="411">
        <f>E29+C29</f>
        <v>5827008</v>
      </c>
    </row>
    <row r="30" spans="1:7" ht="17.25">
      <c r="A30" s="937"/>
      <c r="B30" s="124"/>
      <c r="C30" s="403"/>
      <c r="D30" s="403"/>
      <c r="E30" s="403"/>
      <c r="F30" s="401"/>
    </row>
    <row r="31" spans="1:7" ht="17.25">
      <c r="A31" s="937" t="s">
        <v>732</v>
      </c>
      <c r="B31" s="399"/>
      <c r="C31" s="721">
        <v>-14907352</v>
      </c>
      <c r="D31" s="721"/>
      <c r="E31" s="721">
        <v>1398992</v>
      </c>
      <c r="F31" s="482">
        <f>E31+C31</f>
        <v>-13508360</v>
      </c>
    </row>
    <row r="32" spans="1:7" ht="17.25">
      <c r="A32" s="928" t="s">
        <v>733</v>
      </c>
      <c r="B32" s="399"/>
      <c r="C32" s="403">
        <f>C29-C31</f>
        <v>11472571</v>
      </c>
      <c r="D32" s="403"/>
      <c r="E32" s="403">
        <f>E29-E31</f>
        <v>7862797</v>
      </c>
      <c r="F32" s="403">
        <f>F29-F31</f>
        <v>19335368</v>
      </c>
    </row>
    <row r="33" spans="1:8">
      <c r="A33" s="929"/>
      <c r="B33" s="399"/>
      <c r="C33" s="718"/>
      <c r="D33" s="718"/>
      <c r="E33" s="718"/>
      <c r="F33" s="477"/>
    </row>
    <row r="34" spans="1:8">
      <c r="A34" s="938" t="s">
        <v>746</v>
      </c>
      <c r="B34" s="399"/>
      <c r="C34" s="718"/>
      <c r="D34" s="718"/>
      <c r="E34" s="718"/>
      <c r="F34" s="477"/>
    </row>
    <row r="35" spans="1:8">
      <c r="A35" s="934" t="s">
        <v>734</v>
      </c>
      <c r="B35" s="399"/>
      <c r="C35" s="714">
        <v>490017</v>
      </c>
      <c r="D35" s="714"/>
      <c r="E35" s="714">
        <v>0</v>
      </c>
      <c r="F35" s="477">
        <f t="shared" ref="F35:F47" si="0">E35+C35</f>
        <v>490017</v>
      </c>
    </row>
    <row r="36" spans="1:8">
      <c r="A36" s="934" t="s">
        <v>735</v>
      </c>
      <c r="B36" s="399"/>
      <c r="C36" s="941">
        <v>-4172587</v>
      </c>
      <c r="D36" s="941"/>
      <c r="E36" s="941">
        <v>0</v>
      </c>
      <c r="F36" s="477">
        <f t="shared" si="0"/>
        <v>-4172587</v>
      </c>
    </row>
    <row r="37" spans="1:8">
      <c r="A37" s="934" t="s">
        <v>736</v>
      </c>
      <c r="B37" s="399"/>
      <c r="C37" s="941">
        <v>-63428</v>
      </c>
      <c r="D37" s="941"/>
      <c r="E37" s="941">
        <v>0</v>
      </c>
      <c r="F37" s="477">
        <f t="shared" si="0"/>
        <v>-63428</v>
      </c>
    </row>
    <row r="38" spans="1:8">
      <c r="A38" s="934" t="s">
        <v>737</v>
      </c>
      <c r="C38" s="941">
        <v>-169120</v>
      </c>
      <c r="D38" s="941"/>
      <c r="E38" s="941">
        <v>0</v>
      </c>
      <c r="F38" s="477">
        <f t="shared" si="0"/>
        <v>-169120</v>
      </c>
    </row>
    <row r="39" spans="1:8" ht="15.6" customHeight="1">
      <c r="A39" s="934" t="s">
        <v>738</v>
      </c>
      <c r="C39" s="941">
        <v>130179</v>
      </c>
      <c r="D39" s="941"/>
      <c r="E39" s="941">
        <f>2768+26310</f>
        <v>29078</v>
      </c>
      <c r="F39" s="477">
        <f t="shared" si="0"/>
        <v>159257</v>
      </c>
    </row>
    <row r="40" spans="1:8">
      <c r="A40" s="934" t="s">
        <v>739</v>
      </c>
      <c r="C40" s="941">
        <v>12881610</v>
      </c>
      <c r="D40" s="941"/>
      <c r="E40" s="941">
        <v>0</v>
      </c>
      <c r="F40" s="477">
        <f t="shared" si="0"/>
        <v>12881610</v>
      </c>
    </row>
    <row r="41" spans="1:8">
      <c r="A41" s="934" t="s">
        <v>740</v>
      </c>
      <c r="C41" s="941">
        <v>0</v>
      </c>
      <c r="D41" s="941"/>
      <c r="E41" s="941"/>
      <c r="F41" s="477">
        <f t="shared" si="0"/>
        <v>0</v>
      </c>
    </row>
    <row r="42" spans="1:8">
      <c r="A42" s="934" t="s">
        <v>748</v>
      </c>
      <c r="C42" s="941">
        <v>1651151</v>
      </c>
      <c r="D42" s="941"/>
      <c r="E42" s="941">
        <v>0</v>
      </c>
      <c r="F42" s="477">
        <f t="shared" si="0"/>
        <v>1651151</v>
      </c>
    </row>
    <row r="43" spans="1:8">
      <c r="A43" s="934" t="s">
        <v>741</v>
      </c>
      <c r="C43" s="941">
        <v>0</v>
      </c>
      <c r="D43" s="941"/>
      <c r="E43" s="941">
        <v>0</v>
      </c>
      <c r="F43" s="477">
        <f t="shared" si="0"/>
        <v>0</v>
      </c>
    </row>
    <row r="44" spans="1:8">
      <c r="A44" s="934" t="s">
        <v>742</v>
      </c>
      <c r="C44" s="941">
        <v>142576</v>
      </c>
      <c r="D44" s="941"/>
      <c r="E44" s="941">
        <v>71263</v>
      </c>
      <c r="F44" s="477">
        <f t="shared" si="0"/>
        <v>213839</v>
      </c>
    </row>
    <row r="45" spans="1:8">
      <c r="A45" s="934" t="s">
        <v>743</v>
      </c>
      <c r="C45" s="941">
        <v>0</v>
      </c>
      <c r="D45" s="941"/>
      <c r="E45" s="941">
        <v>7721522</v>
      </c>
      <c r="F45" s="477">
        <f t="shared" si="0"/>
        <v>7721522</v>
      </c>
      <c r="G45" s="404"/>
    </row>
    <row r="46" spans="1:8">
      <c r="A46" s="934" t="s">
        <v>782</v>
      </c>
      <c r="C46" s="941">
        <v>0</v>
      </c>
      <c r="D46" s="941"/>
      <c r="E46" s="941">
        <v>0</v>
      </c>
      <c r="F46" s="477">
        <f t="shared" si="0"/>
        <v>0</v>
      </c>
      <c r="G46" s="404"/>
    </row>
    <row r="47" spans="1:8" ht="17.25">
      <c r="A47" s="934" t="s">
        <v>744</v>
      </c>
      <c r="B47" s="399"/>
      <c r="C47" s="933">
        <v>-203507</v>
      </c>
      <c r="D47" s="933"/>
      <c r="E47" s="933">
        <v>0</v>
      </c>
      <c r="F47" s="482">
        <f t="shared" si="0"/>
        <v>-203507</v>
      </c>
      <c r="G47" s="484"/>
      <c r="H47" s="486"/>
    </row>
    <row r="48" spans="1:8" ht="17.25">
      <c r="A48" s="938" t="s">
        <v>747</v>
      </c>
      <c r="B48" s="399"/>
      <c r="C48" s="403">
        <f>SUM(C35:C47)</f>
        <v>10686891</v>
      </c>
      <c r="D48" s="403"/>
      <c r="E48" s="403">
        <f t="shared" ref="E48:F48" si="1">SUM(E35:E47)</f>
        <v>7821863</v>
      </c>
      <c r="F48" s="403">
        <f t="shared" si="1"/>
        <v>18508754</v>
      </c>
      <c r="G48" s="484"/>
      <c r="H48" s="486"/>
    </row>
    <row r="49" spans="1:8" s="483" customFormat="1">
      <c r="A49" s="929"/>
      <c r="B49" s="399"/>
      <c r="C49" s="486"/>
      <c r="D49" s="486"/>
      <c r="E49" s="486"/>
      <c r="G49" s="484"/>
      <c r="H49" s="486"/>
    </row>
    <row r="50" spans="1:8" ht="17.25">
      <c r="A50" s="932" t="s">
        <v>745</v>
      </c>
      <c r="B50" s="219"/>
      <c r="C50" s="403">
        <f>C32-C48</f>
        <v>785680</v>
      </c>
      <c r="D50" s="931"/>
      <c r="E50" s="403">
        <f>E32-E48</f>
        <v>40934</v>
      </c>
      <c r="F50" s="403">
        <f>F32-F48</f>
        <v>826614</v>
      </c>
      <c r="G50" s="219"/>
    </row>
    <row r="51" spans="1:8" ht="20.25">
      <c r="A51" s="219"/>
      <c r="B51" s="219"/>
      <c r="C51" s="217"/>
      <c r="D51" s="217"/>
      <c r="E51" s="217"/>
      <c r="F51" s="217"/>
      <c r="G51" s="219"/>
    </row>
    <row r="52" spans="1:8">
      <c r="A52" s="548"/>
      <c r="B52" s="548"/>
      <c r="C52" s="549"/>
      <c r="D52" s="549"/>
      <c r="E52" s="549"/>
      <c r="F52" s="477"/>
      <c r="G52" s="219"/>
    </row>
    <row r="53" spans="1:8">
      <c r="A53" s="548"/>
      <c r="B53" s="548"/>
      <c r="C53" s="549"/>
      <c r="D53" s="549"/>
      <c r="E53" s="549"/>
      <c r="F53" s="477"/>
      <c r="G53" s="219"/>
    </row>
    <row r="54" spans="1:8">
      <c r="A54" s="548"/>
      <c r="B54" s="548"/>
      <c r="C54" s="549"/>
      <c r="D54" s="549"/>
      <c r="E54" s="549"/>
      <c r="F54" s="477"/>
      <c r="G54" s="219"/>
    </row>
    <row r="55" spans="1:8">
      <c r="A55" s="548"/>
      <c r="B55" s="548"/>
      <c r="C55" s="549"/>
      <c r="D55" s="549"/>
      <c r="E55" s="549"/>
      <c r="F55" s="477"/>
      <c r="G55" s="219"/>
    </row>
    <row r="56" spans="1:8">
      <c r="A56" s="548"/>
      <c r="B56" s="548"/>
      <c r="C56" s="549"/>
      <c r="D56" s="549"/>
      <c r="E56" s="549"/>
      <c r="F56" s="477"/>
      <c r="G56" s="219"/>
    </row>
    <row r="57" spans="1:8">
      <c r="A57" s="548"/>
      <c r="B57" s="548"/>
      <c r="C57" s="549"/>
      <c r="D57" s="549"/>
      <c r="E57" s="549"/>
      <c r="F57" s="477"/>
      <c r="G57" s="219"/>
    </row>
    <row r="58" spans="1:8">
      <c r="A58" s="548"/>
      <c r="B58" s="548"/>
      <c r="C58" s="549"/>
      <c r="D58" s="549"/>
      <c r="E58" s="549"/>
      <c r="F58" s="477"/>
      <c r="G58" s="219"/>
    </row>
    <row r="59" spans="1:8">
      <c r="A59" s="219"/>
      <c r="B59" s="219"/>
      <c r="C59" s="549"/>
      <c r="D59" s="549"/>
      <c r="E59" s="550"/>
      <c r="F59" s="550"/>
      <c r="G59" s="219"/>
    </row>
    <row r="60" spans="1:8" ht="15.75">
      <c r="A60" s="551"/>
      <c r="B60" s="548"/>
      <c r="C60" s="552"/>
      <c r="D60" s="552"/>
      <c r="E60" s="552"/>
      <c r="F60" s="552"/>
      <c r="G60" s="219"/>
    </row>
    <row r="61" spans="1:8">
      <c r="A61" s="548"/>
      <c r="B61" s="548"/>
      <c r="C61" s="550"/>
      <c r="D61" s="550"/>
      <c r="E61" s="550"/>
      <c r="F61" s="550"/>
      <c r="G61" s="219"/>
    </row>
    <row r="62" spans="1:8">
      <c r="A62" s="548"/>
      <c r="B62" s="548"/>
      <c r="C62" s="549"/>
      <c r="D62" s="549"/>
      <c r="E62" s="549"/>
      <c r="F62" s="477"/>
      <c r="G62" s="219"/>
    </row>
    <row r="63" spans="1:8" ht="17.25">
      <c r="A63" s="548"/>
      <c r="B63" s="548"/>
      <c r="C63" s="553"/>
      <c r="D63" s="553"/>
      <c r="E63" s="553"/>
      <c r="F63" s="482"/>
      <c r="G63" s="219"/>
    </row>
    <row r="64" spans="1:8">
      <c r="A64" s="548"/>
      <c r="B64" s="548"/>
      <c r="C64" s="554"/>
      <c r="D64" s="554"/>
      <c r="E64" s="554"/>
      <c r="F64" s="554"/>
      <c r="G64" s="219"/>
    </row>
    <row r="65" spans="1:7">
      <c r="A65" s="219"/>
      <c r="B65" s="219"/>
      <c r="C65" s="554"/>
      <c r="D65" s="554"/>
      <c r="E65" s="554"/>
      <c r="F65" s="554"/>
      <c r="G65" s="219"/>
    </row>
    <row r="66" spans="1:7">
      <c r="A66" s="219"/>
      <c r="B66" s="219"/>
      <c r="C66" s="554"/>
      <c r="D66" s="554"/>
      <c r="E66" s="554"/>
      <c r="F66" s="554"/>
      <c r="G66" s="219"/>
    </row>
    <row r="67" spans="1:7">
      <c r="A67" s="219"/>
      <c r="B67" s="219"/>
      <c r="E67" s="554"/>
      <c r="F67" s="554"/>
      <c r="G67" s="219"/>
    </row>
    <row r="68" spans="1:7">
      <c r="A68" s="548"/>
      <c r="B68" s="548"/>
      <c r="C68" s="549"/>
      <c r="D68" s="549"/>
      <c r="E68" s="549"/>
      <c r="F68" s="477"/>
      <c r="G68" s="219"/>
    </row>
    <row r="69" spans="1:7">
      <c r="A69" s="548"/>
      <c r="B69" s="548"/>
      <c r="C69" s="549"/>
      <c r="D69" s="549"/>
      <c r="E69" s="549"/>
      <c r="F69" s="477"/>
      <c r="G69" s="219"/>
    </row>
    <row r="70" spans="1:7">
      <c r="A70" s="548"/>
      <c r="B70" s="548"/>
      <c r="C70" s="554"/>
      <c r="D70" s="549"/>
      <c r="E70" s="554"/>
      <c r="F70" s="477"/>
      <c r="G70" s="219"/>
    </row>
    <row r="71" spans="1:7">
      <c r="A71" s="548"/>
      <c r="B71" s="548"/>
      <c r="C71" s="549"/>
      <c r="D71" s="549"/>
      <c r="E71" s="549"/>
      <c r="F71" s="477"/>
      <c r="G71" s="219"/>
    </row>
    <row r="72" spans="1:7">
      <c r="A72" s="548"/>
      <c r="B72" s="548"/>
      <c r="C72" s="549"/>
      <c r="D72" s="549"/>
      <c r="E72" s="549"/>
      <c r="F72" s="477"/>
      <c r="G72" s="219"/>
    </row>
    <row r="73" spans="1:7">
      <c r="A73" s="548"/>
      <c r="B73" s="548"/>
      <c r="C73" s="549"/>
      <c r="D73" s="549"/>
      <c r="E73" s="549"/>
      <c r="F73" s="477"/>
      <c r="G73" s="219"/>
    </row>
    <row r="74" spans="1:7" ht="17.25">
      <c r="A74" s="548"/>
      <c r="B74" s="548"/>
      <c r="C74" s="555"/>
      <c r="D74" s="555"/>
      <c r="E74" s="555"/>
      <c r="F74" s="482"/>
      <c r="G74" s="219"/>
    </row>
    <row r="75" spans="1:7">
      <c r="A75" s="548"/>
      <c r="B75" s="548"/>
      <c r="C75" s="552"/>
      <c r="D75" s="552"/>
      <c r="E75" s="552"/>
      <c r="F75" s="552"/>
      <c r="G75" s="219"/>
    </row>
    <row r="76" spans="1:7">
      <c r="A76" s="219"/>
      <c r="B76" s="219"/>
      <c r="F76" s="219"/>
      <c r="G76" s="219"/>
    </row>
    <row r="77" spans="1:7">
      <c r="A77" s="219"/>
      <c r="B77" s="219"/>
      <c r="F77" s="219"/>
      <c r="G77" s="219"/>
    </row>
    <row r="78" spans="1:7">
      <c r="A78" s="219"/>
      <c r="B78" s="219"/>
      <c r="C78" s="552"/>
      <c r="F78" s="219"/>
      <c r="G78" s="219"/>
    </row>
  </sheetData>
  <phoneticPr fontId="36" type="noConversion"/>
  <pageMargins left="1" right="1" top="1" bottom="1" header="0.5" footer="0.5"/>
  <pageSetup scale="65" orientation="portrait" blackAndWhite="1" r:id="rId1"/>
  <headerFooter alignWithMargins="0"/>
  <legacy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1"/>
    <pageSetUpPr fitToPage="1"/>
  </sheetPr>
  <dimension ref="A1:K56"/>
  <sheetViews>
    <sheetView zoomScale="80" zoomScaleNormal="80" workbookViewId="0">
      <pane xSplit="1" ySplit="13" topLeftCell="B14" activePane="bottomRight" state="frozen"/>
      <selection pane="topRight" activeCell="B1" sqref="B1"/>
      <selection pane="bottomLeft" activeCell="A14" sqref="A14"/>
      <selection pane="bottomRight" activeCell="H13" sqref="H13"/>
    </sheetView>
  </sheetViews>
  <sheetFormatPr defaultRowHeight="14.25"/>
  <cols>
    <col min="1" max="1" width="57" style="267" customWidth="1"/>
    <col min="2" max="2" width="16" style="267" bestFit="1" customWidth="1"/>
    <col min="3" max="3" width="5.77734375" style="268" customWidth="1"/>
    <col min="4" max="4" width="15" style="267" customWidth="1"/>
    <col min="5" max="5" width="2.77734375" style="267" customWidth="1"/>
    <col min="6" max="6" width="16.77734375" style="267" bestFit="1" customWidth="1"/>
    <col min="7" max="7" width="2.77734375" style="267" customWidth="1"/>
    <col min="8" max="8" width="16" style="267" bestFit="1" customWidth="1"/>
    <col min="9" max="9" width="5.77734375" style="267" customWidth="1"/>
    <col min="10" max="10" width="5.44140625" style="267" customWidth="1"/>
    <col min="11" max="250" width="8.77734375" style="267"/>
    <col min="251" max="251" width="54.6640625" style="267" customWidth="1"/>
    <col min="252" max="252" width="13.77734375" style="267" customWidth="1"/>
    <col min="253" max="253" width="0" style="267" hidden="1" customWidth="1"/>
    <col min="254" max="254" width="6.6640625" style="267" customWidth="1"/>
    <col min="255" max="255" width="15" style="267" customWidth="1"/>
    <col min="256" max="256" width="3.6640625" style="267" bestFit="1" customWidth="1"/>
    <col min="257" max="257" width="15.44140625" style="267" bestFit="1" customWidth="1"/>
    <col min="258" max="258" width="3.77734375" style="267" customWidth="1"/>
    <col min="259" max="259" width="11.21875" style="267" bestFit="1" customWidth="1"/>
    <col min="260" max="260" width="3.6640625" style="267" customWidth="1"/>
    <col min="261" max="261" width="13.5546875" style="267" customWidth="1"/>
    <col min="262" max="262" width="1" style="267" customWidth="1"/>
    <col min="263" max="263" width="14.21875" style="267" bestFit="1" customWidth="1"/>
    <col min="264" max="264" width="3.33203125" style="267" customWidth="1"/>
    <col min="265" max="265" width="20.44140625" style="267" customWidth="1"/>
    <col min="266" max="506" width="8.77734375" style="267"/>
    <col min="507" max="507" width="54.6640625" style="267" customWidth="1"/>
    <col min="508" max="508" width="13.77734375" style="267" customWidth="1"/>
    <col min="509" max="509" width="0" style="267" hidden="1" customWidth="1"/>
    <col min="510" max="510" width="6.6640625" style="267" customWidth="1"/>
    <col min="511" max="511" width="15" style="267" customWidth="1"/>
    <col min="512" max="512" width="3.6640625" style="267" bestFit="1" customWidth="1"/>
    <col min="513" max="513" width="15.44140625" style="267" bestFit="1" customWidth="1"/>
    <col min="514" max="514" width="3.77734375" style="267" customWidth="1"/>
    <col min="515" max="515" width="11.21875" style="267" bestFit="1" customWidth="1"/>
    <col min="516" max="516" width="3.6640625" style="267" customWidth="1"/>
    <col min="517" max="517" width="13.5546875" style="267" customWidth="1"/>
    <col min="518" max="518" width="1" style="267" customWidth="1"/>
    <col min="519" max="519" width="14.21875" style="267" bestFit="1" customWidth="1"/>
    <col min="520" max="520" width="3.33203125" style="267" customWidth="1"/>
    <col min="521" max="521" width="20.44140625" style="267" customWidth="1"/>
    <col min="522" max="762" width="8.77734375" style="267"/>
    <col min="763" max="763" width="54.6640625" style="267" customWidth="1"/>
    <col min="764" max="764" width="13.77734375" style="267" customWidth="1"/>
    <col min="765" max="765" width="0" style="267" hidden="1" customWidth="1"/>
    <col min="766" max="766" width="6.6640625" style="267" customWidth="1"/>
    <col min="767" max="767" width="15" style="267" customWidth="1"/>
    <col min="768" max="768" width="3.6640625" style="267" bestFit="1" customWidth="1"/>
    <col min="769" max="769" width="15.44140625" style="267" bestFit="1" customWidth="1"/>
    <col min="770" max="770" width="3.77734375" style="267" customWidth="1"/>
    <col min="771" max="771" width="11.21875" style="267" bestFit="1" customWidth="1"/>
    <col min="772" max="772" width="3.6640625" style="267" customWidth="1"/>
    <col min="773" max="773" width="13.5546875" style="267" customWidth="1"/>
    <col min="774" max="774" width="1" style="267" customWidth="1"/>
    <col min="775" max="775" width="14.21875" style="267" bestFit="1" customWidth="1"/>
    <col min="776" max="776" width="3.33203125" style="267" customWidth="1"/>
    <col min="777" max="777" width="20.44140625" style="267" customWidth="1"/>
    <col min="778" max="1018" width="8.77734375" style="267"/>
    <col min="1019" max="1019" width="54.6640625" style="267" customWidth="1"/>
    <col min="1020" max="1020" width="13.77734375" style="267" customWidth="1"/>
    <col min="1021" max="1021" width="0" style="267" hidden="1" customWidth="1"/>
    <col min="1022" max="1022" width="6.6640625" style="267" customWidth="1"/>
    <col min="1023" max="1023" width="15" style="267" customWidth="1"/>
    <col min="1024" max="1024" width="3.6640625" style="267" bestFit="1" customWidth="1"/>
    <col min="1025" max="1025" width="15.44140625" style="267" bestFit="1" customWidth="1"/>
    <col min="1026" max="1026" width="3.77734375" style="267" customWidth="1"/>
    <col min="1027" max="1027" width="11.21875" style="267" bestFit="1" customWidth="1"/>
    <col min="1028" max="1028" width="3.6640625" style="267" customWidth="1"/>
    <col min="1029" max="1029" width="13.5546875" style="267" customWidth="1"/>
    <col min="1030" max="1030" width="1" style="267" customWidth="1"/>
    <col min="1031" max="1031" width="14.21875" style="267" bestFit="1" customWidth="1"/>
    <col min="1032" max="1032" width="3.33203125" style="267" customWidth="1"/>
    <col min="1033" max="1033" width="20.44140625" style="267" customWidth="1"/>
    <col min="1034" max="1274" width="8.77734375" style="267"/>
    <col min="1275" max="1275" width="54.6640625" style="267" customWidth="1"/>
    <col min="1276" max="1276" width="13.77734375" style="267" customWidth="1"/>
    <col min="1277" max="1277" width="0" style="267" hidden="1" customWidth="1"/>
    <col min="1278" max="1278" width="6.6640625" style="267" customWidth="1"/>
    <col min="1279" max="1279" width="15" style="267" customWidth="1"/>
    <col min="1280" max="1280" width="3.6640625" style="267" bestFit="1" customWidth="1"/>
    <col min="1281" max="1281" width="15.44140625" style="267" bestFit="1" customWidth="1"/>
    <col min="1282" max="1282" width="3.77734375" style="267" customWidth="1"/>
    <col min="1283" max="1283" width="11.21875" style="267" bestFit="1" customWidth="1"/>
    <col min="1284" max="1284" width="3.6640625" style="267" customWidth="1"/>
    <col min="1285" max="1285" width="13.5546875" style="267" customWidth="1"/>
    <col min="1286" max="1286" width="1" style="267" customWidth="1"/>
    <col min="1287" max="1287" width="14.21875" style="267" bestFit="1" customWidth="1"/>
    <col min="1288" max="1288" width="3.33203125" style="267" customWidth="1"/>
    <col min="1289" max="1289" width="20.44140625" style="267" customWidth="1"/>
    <col min="1290" max="1530" width="8.77734375" style="267"/>
    <col min="1531" max="1531" width="54.6640625" style="267" customWidth="1"/>
    <col min="1532" max="1532" width="13.77734375" style="267" customWidth="1"/>
    <col min="1533" max="1533" width="0" style="267" hidden="1" customWidth="1"/>
    <col min="1534" max="1534" width="6.6640625" style="267" customWidth="1"/>
    <col min="1535" max="1535" width="15" style="267" customWidth="1"/>
    <col min="1536" max="1536" width="3.6640625" style="267" bestFit="1" customWidth="1"/>
    <col min="1537" max="1537" width="15.44140625" style="267" bestFit="1" customWidth="1"/>
    <col min="1538" max="1538" width="3.77734375" style="267" customWidth="1"/>
    <col min="1539" max="1539" width="11.21875" style="267" bestFit="1" customWidth="1"/>
    <col min="1540" max="1540" width="3.6640625" style="267" customWidth="1"/>
    <col min="1541" max="1541" width="13.5546875" style="267" customWidth="1"/>
    <col min="1542" max="1542" width="1" style="267" customWidth="1"/>
    <col min="1543" max="1543" width="14.21875" style="267" bestFit="1" customWidth="1"/>
    <col min="1544" max="1544" width="3.33203125" style="267" customWidth="1"/>
    <col min="1545" max="1545" width="20.44140625" style="267" customWidth="1"/>
    <col min="1546" max="1786" width="8.77734375" style="267"/>
    <col min="1787" max="1787" width="54.6640625" style="267" customWidth="1"/>
    <col min="1788" max="1788" width="13.77734375" style="267" customWidth="1"/>
    <col min="1789" max="1789" width="0" style="267" hidden="1" customWidth="1"/>
    <col min="1790" max="1790" width="6.6640625" style="267" customWidth="1"/>
    <col min="1791" max="1791" width="15" style="267" customWidth="1"/>
    <col min="1792" max="1792" width="3.6640625" style="267" bestFit="1" customWidth="1"/>
    <col min="1793" max="1793" width="15.44140625" style="267" bestFit="1" customWidth="1"/>
    <col min="1794" max="1794" width="3.77734375" style="267" customWidth="1"/>
    <col min="1795" max="1795" width="11.21875" style="267" bestFit="1" customWidth="1"/>
    <col min="1796" max="1796" width="3.6640625" style="267" customWidth="1"/>
    <col min="1797" max="1797" width="13.5546875" style="267" customWidth="1"/>
    <col min="1798" max="1798" width="1" style="267" customWidth="1"/>
    <col min="1799" max="1799" width="14.21875" style="267" bestFit="1" customWidth="1"/>
    <col min="1800" max="1800" width="3.33203125" style="267" customWidth="1"/>
    <col min="1801" max="1801" width="20.44140625" style="267" customWidth="1"/>
    <col min="1802" max="2042" width="8.77734375" style="267"/>
    <col min="2043" max="2043" width="54.6640625" style="267" customWidth="1"/>
    <col min="2044" max="2044" width="13.77734375" style="267" customWidth="1"/>
    <col min="2045" max="2045" width="0" style="267" hidden="1" customWidth="1"/>
    <col min="2046" max="2046" width="6.6640625" style="267" customWidth="1"/>
    <col min="2047" max="2047" width="15" style="267" customWidth="1"/>
    <col min="2048" max="2048" width="3.6640625" style="267" bestFit="1" customWidth="1"/>
    <col min="2049" max="2049" width="15.44140625" style="267" bestFit="1" customWidth="1"/>
    <col min="2050" max="2050" width="3.77734375" style="267" customWidth="1"/>
    <col min="2051" max="2051" width="11.21875" style="267" bestFit="1" customWidth="1"/>
    <col min="2052" max="2052" width="3.6640625" style="267" customWidth="1"/>
    <col min="2053" max="2053" width="13.5546875" style="267" customWidth="1"/>
    <col min="2054" max="2054" width="1" style="267" customWidth="1"/>
    <col min="2055" max="2055" width="14.21875" style="267" bestFit="1" customWidth="1"/>
    <col min="2056" max="2056" width="3.33203125" style="267" customWidth="1"/>
    <col min="2057" max="2057" width="20.44140625" style="267" customWidth="1"/>
    <col min="2058" max="2298" width="8.77734375" style="267"/>
    <col min="2299" max="2299" width="54.6640625" style="267" customWidth="1"/>
    <col min="2300" max="2300" width="13.77734375" style="267" customWidth="1"/>
    <col min="2301" max="2301" width="0" style="267" hidden="1" customWidth="1"/>
    <col min="2302" max="2302" width="6.6640625" style="267" customWidth="1"/>
    <col min="2303" max="2303" width="15" style="267" customWidth="1"/>
    <col min="2304" max="2304" width="3.6640625" style="267" bestFit="1" customWidth="1"/>
    <col min="2305" max="2305" width="15.44140625" style="267" bestFit="1" customWidth="1"/>
    <col min="2306" max="2306" width="3.77734375" style="267" customWidth="1"/>
    <col min="2307" max="2307" width="11.21875" style="267" bestFit="1" customWidth="1"/>
    <col min="2308" max="2308" width="3.6640625" style="267" customWidth="1"/>
    <col min="2309" max="2309" width="13.5546875" style="267" customWidth="1"/>
    <col min="2310" max="2310" width="1" style="267" customWidth="1"/>
    <col min="2311" max="2311" width="14.21875" style="267" bestFit="1" customWidth="1"/>
    <col min="2312" max="2312" width="3.33203125" style="267" customWidth="1"/>
    <col min="2313" max="2313" width="20.44140625" style="267" customWidth="1"/>
    <col min="2314" max="2554" width="8.77734375" style="267"/>
    <col min="2555" max="2555" width="54.6640625" style="267" customWidth="1"/>
    <col min="2556" max="2556" width="13.77734375" style="267" customWidth="1"/>
    <col min="2557" max="2557" width="0" style="267" hidden="1" customWidth="1"/>
    <col min="2558" max="2558" width="6.6640625" style="267" customWidth="1"/>
    <col min="2559" max="2559" width="15" style="267" customWidth="1"/>
    <col min="2560" max="2560" width="3.6640625" style="267" bestFit="1" customWidth="1"/>
    <col min="2561" max="2561" width="15.44140625" style="267" bestFit="1" customWidth="1"/>
    <col min="2562" max="2562" width="3.77734375" style="267" customWidth="1"/>
    <col min="2563" max="2563" width="11.21875" style="267" bestFit="1" customWidth="1"/>
    <col min="2564" max="2564" width="3.6640625" style="267" customWidth="1"/>
    <col min="2565" max="2565" width="13.5546875" style="267" customWidth="1"/>
    <col min="2566" max="2566" width="1" style="267" customWidth="1"/>
    <col min="2567" max="2567" width="14.21875" style="267" bestFit="1" customWidth="1"/>
    <col min="2568" max="2568" width="3.33203125" style="267" customWidth="1"/>
    <col min="2569" max="2569" width="20.44140625" style="267" customWidth="1"/>
    <col min="2570" max="2810" width="8.77734375" style="267"/>
    <col min="2811" max="2811" width="54.6640625" style="267" customWidth="1"/>
    <col min="2812" max="2812" width="13.77734375" style="267" customWidth="1"/>
    <col min="2813" max="2813" width="0" style="267" hidden="1" customWidth="1"/>
    <col min="2814" max="2814" width="6.6640625" style="267" customWidth="1"/>
    <col min="2815" max="2815" width="15" style="267" customWidth="1"/>
    <col min="2816" max="2816" width="3.6640625" style="267" bestFit="1" customWidth="1"/>
    <col min="2817" max="2817" width="15.44140625" style="267" bestFit="1" customWidth="1"/>
    <col min="2818" max="2818" width="3.77734375" style="267" customWidth="1"/>
    <col min="2819" max="2819" width="11.21875" style="267" bestFit="1" customWidth="1"/>
    <col min="2820" max="2820" width="3.6640625" style="267" customWidth="1"/>
    <col min="2821" max="2821" width="13.5546875" style="267" customWidth="1"/>
    <col min="2822" max="2822" width="1" style="267" customWidth="1"/>
    <col min="2823" max="2823" width="14.21875" style="267" bestFit="1" customWidth="1"/>
    <col min="2824" max="2824" width="3.33203125" style="267" customWidth="1"/>
    <col min="2825" max="2825" width="20.44140625" style="267" customWidth="1"/>
    <col min="2826" max="3066" width="8.77734375" style="267"/>
    <col min="3067" max="3067" width="54.6640625" style="267" customWidth="1"/>
    <col min="3068" max="3068" width="13.77734375" style="267" customWidth="1"/>
    <col min="3069" max="3069" width="0" style="267" hidden="1" customWidth="1"/>
    <col min="3070" max="3070" width="6.6640625" style="267" customWidth="1"/>
    <col min="3071" max="3071" width="15" style="267" customWidth="1"/>
    <col min="3072" max="3072" width="3.6640625" style="267" bestFit="1" customWidth="1"/>
    <col min="3073" max="3073" width="15.44140625" style="267" bestFit="1" customWidth="1"/>
    <col min="3074" max="3074" width="3.77734375" style="267" customWidth="1"/>
    <col min="3075" max="3075" width="11.21875" style="267" bestFit="1" customWidth="1"/>
    <col min="3076" max="3076" width="3.6640625" style="267" customWidth="1"/>
    <col min="3077" max="3077" width="13.5546875" style="267" customWidth="1"/>
    <col min="3078" max="3078" width="1" style="267" customWidth="1"/>
    <col min="3079" max="3079" width="14.21875" style="267" bestFit="1" customWidth="1"/>
    <col min="3080" max="3080" width="3.33203125" style="267" customWidth="1"/>
    <col min="3081" max="3081" width="20.44140625" style="267" customWidth="1"/>
    <col min="3082" max="3322" width="8.77734375" style="267"/>
    <col min="3323" max="3323" width="54.6640625" style="267" customWidth="1"/>
    <col min="3324" max="3324" width="13.77734375" style="267" customWidth="1"/>
    <col min="3325" max="3325" width="0" style="267" hidden="1" customWidth="1"/>
    <col min="3326" max="3326" width="6.6640625" style="267" customWidth="1"/>
    <col min="3327" max="3327" width="15" style="267" customWidth="1"/>
    <col min="3328" max="3328" width="3.6640625" style="267" bestFit="1" customWidth="1"/>
    <col min="3329" max="3329" width="15.44140625" style="267" bestFit="1" customWidth="1"/>
    <col min="3330" max="3330" width="3.77734375" style="267" customWidth="1"/>
    <col min="3331" max="3331" width="11.21875" style="267" bestFit="1" customWidth="1"/>
    <col min="3332" max="3332" width="3.6640625" style="267" customWidth="1"/>
    <col min="3333" max="3333" width="13.5546875" style="267" customWidth="1"/>
    <col min="3334" max="3334" width="1" style="267" customWidth="1"/>
    <col min="3335" max="3335" width="14.21875" style="267" bestFit="1" customWidth="1"/>
    <col min="3336" max="3336" width="3.33203125" style="267" customWidth="1"/>
    <col min="3337" max="3337" width="20.44140625" style="267" customWidth="1"/>
    <col min="3338" max="3578" width="8.77734375" style="267"/>
    <col min="3579" max="3579" width="54.6640625" style="267" customWidth="1"/>
    <col min="3580" max="3580" width="13.77734375" style="267" customWidth="1"/>
    <col min="3581" max="3581" width="0" style="267" hidden="1" customWidth="1"/>
    <col min="3582" max="3582" width="6.6640625" style="267" customWidth="1"/>
    <col min="3583" max="3583" width="15" style="267" customWidth="1"/>
    <col min="3584" max="3584" width="3.6640625" style="267" bestFit="1" customWidth="1"/>
    <col min="3585" max="3585" width="15.44140625" style="267" bestFit="1" customWidth="1"/>
    <col min="3586" max="3586" width="3.77734375" style="267" customWidth="1"/>
    <col min="3587" max="3587" width="11.21875" style="267" bestFit="1" customWidth="1"/>
    <col min="3588" max="3588" width="3.6640625" style="267" customWidth="1"/>
    <col min="3589" max="3589" width="13.5546875" style="267" customWidth="1"/>
    <col min="3590" max="3590" width="1" style="267" customWidth="1"/>
    <col min="3591" max="3591" width="14.21875" style="267" bestFit="1" customWidth="1"/>
    <col min="3592" max="3592" width="3.33203125" style="267" customWidth="1"/>
    <col min="3593" max="3593" width="20.44140625" style="267" customWidth="1"/>
    <col min="3594" max="3834" width="8.77734375" style="267"/>
    <col min="3835" max="3835" width="54.6640625" style="267" customWidth="1"/>
    <col min="3836" max="3836" width="13.77734375" style="267" customWidth="1"/>
    <col min="3837" max="3837" width="0" style="267" hidden="1" customWidth="1"/>
    <col min="3838" max="3838" width="6.6640625" style="267" customWidth="1"/>
    <col min="3839" max="3839" width="15" style="267" customWidth="1"/>
    <col min="3840" max="3840" width="3.6640625" style="267" bestFit="1" customWidth="1"/>
    <col min="3841" max="3841" width="15.44140625" style="267" bestFit="1" customWidth="1"/>
    <col min="3842" max="3842" width="3.77734375" style="267" customWidth="1"/>
    <col min="3843" max="3843" width="11.21875" style="267" bestFit="1" customWidth="1"/>
    <col min="3844" max="3844" width="3.6640625" style="267" customWidth="1"/>
    <col min="3845" max="3845" width="13.5546875" style="267" customWidth="1"/>
    <col min="3846" max="3846" width="1" style="267" customWidth="1"/>
    <col min="3847" max="3847" width="14.21875" style="267" bestFit="1" customWidth="1"/>
    <col min="3848" max="3848" width="3.33203125" style="267" customWidth="1"/>
    <col min="3849" max="3849" width="20.44140625" style="267" customWidth="1"/>
    <col min="3850" max="4090" width="8.77734375" style="267"/>
    <col min="4091" max="4091" width="54.6640625" style="267" customWidth="1"/>
    <col min="4092" max="4092" width="13.77734375" style="267" customWidth="1"/>
    <col min="4093" max="4093" width="0" style="267" hidden="1" customWidth="1"/>
    <col min="4094" max="4094" width="6.6640625" style="267" customWidth="1"/>
    <col min="4095" max="4095" width="15" style="267" customWidth="1"/>
    <col min="4096" max="4096" width="3.6640625" style="267" bestFit="1" customWidth="1"/>
    <col min="4097" max="4097" width="15.44140625" style="267" bestFit="1" customWidth="1"/>
    <col min="4098" max="4098" width="3.77734375" style="267" customWidth="1"/>
    <col min="4099" max="4099" width="11.21875" style="267" bestFit="1" customWidth="1"/>
    <col min="4100" max="4100" width="3.6640625" style="267" customWidth="1"/>
    <col min="4101" max="4101" width="13.5546875" style="267" customWidth="1"/>
    <col min="4102" max="4102" width="1" style="267" customWidth="1"/>
    <col min="4103" max="4103" width="14.21875" style="267" bestFit="1" customWidth="1"/>
    <col min="4104" max="4104" width="3.33203125" style="267" customWidth="1"/>
    <col min="4105" max="4105" width="20.44140625" style="267" customWidth="1"/>
    <col min="4106" max="4346" width="8.77734375" style="267"/>
    <col min="4347" max="4347" width="54.6640625" style="267" customWidth="1"/>
    <col min="4348" max="4348" width="13.77734375" style="267" customWidth="1"/>
    <col min="4349" max="4349" width="0" style="267" hidden="1" customWidth="1"/>
    <col min="4350" max="4350" width="6.6640625" style="267" customWidth="1"/>
    <col min="4351" max="4351" width="15" style="267" customWidth="1"/>
    <col min="4352" max="4352" width="3.6640625" style="267" bestFit="1" customWidth="1"/>
    <col min="4353" max="4353" width="15.44140625" style="267" bestFit="1" customWidth="1"/>
    <col min="4354" max="4354" width="3.77734375" style="267" customWidth="1"/>
    <col min="4355" max="4355" width="11.21875" style="267" bestFit="1" customWidth="1"/>
    <col min="4356" max="4356" width="3.6640625" style="267" customWidth="1"/>
    <col min="4357" max="4357" width="13.5546875" style="267" customWidth="1"/>
    <col min="4358" max="4358" width="1" style="267" customWidth="1"/>
    <col min="4359" max="4359" width="14.21875" style="267" bestFit="1" customWidth="1"/>
    <col min="4360" max="4360" width="3.33203125" style="267" customWidth="1"/>
    <col min="4361" max="4361" width="20.44140625" style="267" customWidth="1"/>
    <col min="4362" max="4602" width="8.77734375" style="267"/>
    <col min="4603" max="4603" width="54.6640625" style="267" customWidth="1"/>
    <col min="4604" max="4604" width="13.77734375" style="267" customWidth="1"/>
    <col min="4605" max="4605" width="0" style="267" hidden="1" customWidth="1"/>
    <col min="4606" max="4606" width="6.6640625" style="267" customWidth="1"/>
    <col min="4607" max="4607" width="15" style="267" customWidth="1"/>
    <col min="4608" max="4608" width="3.6640625" style="267" bestFit="1" customWidth="1"/>
    <col min="4609" max="4609" width="15.44140625" style="267" bestFit="1" customWidth="1"/>
    <col min="4610" max="4610" width="3.77734375" style="267" customWidth="1"/>
    <col min="4611" max="4611" width="11.21875" style="267" bestFit="1" customWidth="1"/>
    <col min="4612" max="4612" width="3.6640625" style="267" customWidth="1"/>
    <col min="4613" max="4613" width="13.5546875" style="267" customWidth="1"/>
    <col min="4614" max="4614" width="1" style="267" customWidth="1"/>
    <col min="4615" max="4615" width="14.21875" style="267" bestFit="1" customWidth="1"/>
    <col min="4616" max="4616" width="3.33203125" style="267" customWidth="1"/>
    <col min="4617" max="4617" width="20.44140625" style="267" customWidth="1"/>
    <col min="4618" max="4858" width="8.77734375" style="267"/>
    <col min="4859" max="4859" width="54.6640625" style="267" customWidth="1"/>
    <col min="4860" max="4860" width="13.77734375" style="267" customWidth="1"/>
    <col min="4861" max="4861" width="0" style="267" hidden="1" customWidth="1"/>
    <col min="4862" max="4862" width="6.6640625" style="267" customWidth="1"/>
    <col min="4863" max="4863" width="15" style="267" customWidth="1"/>
    <col min="4864" max="4864" width="3.6640625" style="267" bestFit="1" customWidth="1"/>
    <col min="4865" max="4865" width="15.44140625" style="267" bestFit="1" customWidth="1"/>
    <col min="4866" max="4866" width="3.77734375" style="267" customWidth="1"/>
    <col min="4867" max="4867" width="11.21875" style="267" bestFit="1" customWidth="1"/>
    <col min="4868" max="4868" width="3.6640625" style="267" customWidth="1"/>
    <col min="4869" max="4869" width="13.5546875" style="267" customWidth="1"/>
    <col min="4870" max="4870" width="1" style="267" customWidth="1"/>
    <col min="4871" max="4871" width="14.21875" style="267" bestFit="1" customWidth="1"/>
    <col min="4872" max="4872" width="3.33203125" style="267" customWidth="1"/>
    <col min="4873" max="4873" width="20.44140625" style="267" customWidth="1"/>
    <col min="4874" max="5114" width="8.77734375" style="267"/>
    <col min="5115" max="5115" width="54.6640625" style="267" customWidth="1"/>
    <col min="5116" max="5116" width="13.77734375" style="267" customWidth="1"/>
    <col min="5117" max="5117" width="0" style="267" hidden="1" customWidth="1"/>
    <col min="5118" max="5118" width="6.6640625" style="267" customWidth="1"/>
    <col min="5119" max="5119" width="15" style="267" customWidth="1"/>
    <col min="5120" max="5120" width="3.6640625" style="267" bestFit="1" customWidth="1"/>
    <col min="5121" max="5121" width="15.44140625" style="267" bestFit="1" customWidth="1"/>
    <col min="5122" max="5122" width="3.77734375" style="267" customWidth="1"/>
    <col min="5123" max="5123" width="11.21875" style="267" bestFit="1" customWidth="1"/>
    <col min="5124" max="5124" width="3.6640625" style="267" customWidth="1"/>
    <col min="5125" max="5125" width="13.5546875" style="267" customWidth="1"/>
    <col min="5126" max="5126" width="1" style="267" customWidth="1"/>
    <col min="5127" max="5127" width="14.21875" style="267" bestFit="1" customWidth="1"/>
    <col min="5128" max="5128" width="3.33203125" style="267" customWidth="1"/>
    <col min="5129" max="5129" width="20.44140625" style="267" customWidth="1"/>
    <col min="5130" max="5370" width="8.77734375" style="267"/>
    <col min="5371" max="5371" width="54.6640625" style="267" customWidth="1"/>
    <col min="5372" max="5372" width="13.77734375" style="267" customWidth="1"/>
    <col min="5373" max="5373" width="0" style="267" hidden="1" customWidth="1"/>
    <col min="5374" max="5374" width="6.6640625" style="267" customWidth="1"/>
    <col min="5375" max="5375" width="15" style="267" customWidth="1"/>
    <col min="5376" max="5376" width="3.6640625" style="267" bestFit="1" customWidth="1"/>
    <col min="5377" max="5377" width="15.44140625" style="267" bestFit="1" customWidth="1"/>
    <col min="5378" max="5378" width="3.77734375" style="267" customWidth="1"/>
    <col min="5379" max="5379" width="11.21875" style="267" bestFit="1" customWidth="1"/>
    <col min="5380" max="5380" width="3.6640625" style="267" customWidth="1"/>
    <col min="5381" max="5381" width="13.5546875" style="267" customWidth="1"/>
    <col min="5382" max="5382" width="1" style="267" customWidth="1"/>
    <col min="5383" max="5383" width="14.21875" style="267" bestFit="1" customWidth="1"/>
    <col min="5384" max="5384" width="3.33203125" style="267" customWidth="1"/>
    <col min="5385" max="5385" width="20.44140625" style="267" customWidth="1"/>
    <col min="5386" max="5626" width="8.77734375" style="267"/>
    <col min="5627" max="5627" width="54.6640625" style="267" customWidth="1"/>
    <col min="5628" max="5628" width="13.77734375" style="267" customWidth="1"/>
    <col min="5629" max="5629" width="0" style="267" hidden="1" customWidth="1"/>
    <col min="5630" max="5630" width="6.6640625" style="267" customWidth="1"/>
    <col min="5631" max="5631" width="15" style="267" customWidth="1"/>
    <col min="5632" max="5632" width="3.6640625" style="267" bestFit="1" customWidth="1"/>
    <col min="5633" max="5633" width="15.44140625" style="267" bestFit="1" customWidth="1"/>
    <col min="5634" max="5634" width="3.77734375" style="267" customWidth="1"/>
    <col min="5635" max="5635" width="11.21875" style="267" bestFit="1" customWidth="1"/>
    <col min="5636" max="5636" width="3.6640625" style="267" customWidth="1"/>
    <col min="5637" max="5637" width="13.5546875" style="267" customWidth="1"/>
    <col min="5638" max="5638" width="1" style="267" customWidth="1"/>
    <col min="5639" max="5639" width="14.21875" style="267" bestFit="1" customWidth="1"/>
    <col min="5640" max="5640" width="3.33203125" style="267" customWidth="1"/>
    <col min="5641" max="5641" width="20.44140625" style="267" customWidth="1"/>
    <col min="5642" max="5882" width="8.77734375" style="267"/>
    <col min="5883" max="5883" width="54.6640625" style="267" customWidth="1"/>
    <col min="5884" max="5884" width="13.77734375" style="267" customWidth="1"/>
    <col min="5885" max="5885" width="0" style="267" hidden="1" customWidth="1"/>
    <col min="5886" max="5886" width="6.6640625" style="267" customWidth="1"/>
    <col min="5887" max="5887" width="15" style="267" customWidth="1"/>
    <col min="5888" max="5888" width="3.6640625" style="267" bestFit="1" customWidth="1"/>
    <col min="5889" max="5889" width="15.44140625" style="267" bestFit="1" customWidth="1"/>
    <col min="5890" max="5890" width="3.77734375" style="267" customWidth="1"/>
    <col min="5891" max="5891" width="11.21875" style="267" bestFit="1" customWidth="1"/>
    <col min="5892" max="5892" width="3.6640625" style="267" customWidth="1"/>
    <col min="5893" max="5893" width="13.5546875" style="267" customWidth="1"/>
    <col min="5894" max="5894" width="1" style="267" customWidth="1"/>
    <col min="5895" max="5895" width="14.21875" style="267" bestFit="1" customWidth="1"/>
    <col min="5896" max="5896" width="3.33203125" style="267" customWidth="1"/>
    <col min="5897" max="5897" width="20.44140625" style="267" customWidth="1"/>
    <col min="5898" max="6138" width="8.77734375" style="267"/>
    <col min="6139" max="6139" width="54.6640625" style="267" customWidth="1"/>
    <col min="6140" max="6140" width="13.77734375" style="267" customWidth="1"/>
    <col min="6141" max="6141" width="0" style="267" hidden="1" customWidth="1"/>
    <col min="6142" max="6142" width="6.6640625" style="267" customWidth="1"/>
    <col min="6143" max="6143" width="15" style="267" customWidth="1"/>
    <col min="6144" max="6144" width="3.6640625" style="267" bestFit="1" customWidth="1"/>
    <col min="6145" max="6145" width="15.44140625" style="267" bestFit="1" customWidth="1"/>
    <col min="6146" max="6146" width="3.77734375" style="267" customWidth="1"/>
    <col min="6147" max="6147" width="11.21875" style="267" bestFit="1" customWidth="1"/>
    <col min="6148" max="6148" width="3.6640625" style="267" customWidth="1"/>
    <col min="6149" max="6149" width="13.5546875" style="267" customWidth="1"/>
    <col min="6150" max="6150" width="1" style="267" customWidth="1"/>
    <col min="6151" max="6151" width="14.21875" style="267" bestFit="1" customWidth="1"/>
    <col min="6152" max="6152" width="3.33203125" style="267" customWidth="1"/>
    <col min="6153" max="6153" width="20.44140625" style="267" customWidth="1"/>
    <col min="6154" max="6394" width="8.77734375" style="267"/>
    <col min="6395" max="6395" width="54.6640625" style="267" customWidth="1"/>
    <col min="6396" max="6396" width="13.77734375" style="267" customWidth="1"/>
    <col min="6397" max="6397" width="0" style="267" hidden="1" customWidth="1"/>
    <col min="6398" max="6398" width="6.6640625" style="267" customWidth="1"/>
    <col min="6399" max="6399" width="15" style="267" customWidth="1"/>
    <col min="6400" max="6400" width="3.6640625" style="267" bestFit="1" customWidth="1"/>
    <col min="6401" max="6401" width="15.44140625" style="267" bestFit="1" customWidth="1"/>
    <col min="6402" max="6402" width="3.77734375" style="267" customWidth="1"/>
    <col min="6403" max="6403" width="11.21875" style="267" bestFit="1" customWidth="1"/>
    <col min="6404" max="6404" width="3.6640625" style="267" customWidth="1"/>
    <col min="6405" max="6405" width="13.5546875" style="267" customWidth="1"/>
    <col min="6406" max="6406" width="1" style="267" customWidth="1"/>
    <col min="6407" max="6407" width="14.21875" style="267" bestFit="1" customWidth="1"/>
    <col min="6408" max="6408" width="3.33203125" style="267" customWidth="1"/>
    <col min="6409" max="6409" width="20.44140625" style="267" customWidth="1"/>
    <col min="6410" max="6650" width="8.77734375" style="267"/>
    <col min="6651" max="6651" width="54.6640625" style="267" customWidth="1"/>
    <col min="6652" max="6652" width="13.77734375" style="267" customWidth="1"/>
    <col min="6653" max="6653" width="0" style="267" hidden="1" customWidth="1"/>
    <col min="6654" max="6654" width="6.6640625" style="267" customWidth="1"/>
    <col min="6655" max="6655" width="15" style="267" customWidth="1"/>
    <col min="6656" max="6656" width="3.6640625" style="267" bestFit="1" customWidth="1"/>
    <col min="6657" max="6657" width="15.44140625" style="267" bestFit="1" customWidth="1"/>
    <col min="6658" max="6658" width="3.77734375" style="267" customWidth="1"/>
    <col min="6659" max="6659" width="11.21875" style="267" bestFit="1" customWidth="1"/>
    <col min="6660" max="6660" width="3.6640625" style="267" customWidth="1"/>
    <col min="6661" max="6661" width="13.5546875" style="267" customWidth="1"/>
    <col min="6662" max="6662" width="1" style="267" customWidth="1"/>
    <col min="6663" max="6663" width="14.21875" style="267" bestFit="1" customWidth="1"/>
    <col min="6664" max="6664" width="3.33203125" style="267" customWidth="1"/>
    <col min="6665" max="6665" width="20.44140625" style="267" customWidth="1"/>
    <col min="6666" max="6906" width="8.77734375" style="267"/>
    <col min="6907" max="6907" width="54.6640625" style="267" customWidth="1"/>
    <col min="6908" max="6908" width="13.77734375" style="267" customWidth="1"/>
    <col min="6909" max="6909" width="0" style="267" hidden="1" customWidth="1"/>
    <col min="6910" max="6910" width="6.6640625" style="267" customWidth="1"/>
    <col min="6911" max="6911" width="15" style="267" customWidth="1"/>
    <col min="6912" max="6912" width="3.6640625" style="267" bestFit="1" customWidth="1"/>
    <col min="6913" max="6913" width="15.44140625" style="267" bestFit="1" customWidth="1"/>
    <col min="6914" max="6914" width="3.77734375" style="267" customWidth="1"/>
    <col min="6915" max="6915" width="11.21875" style="267" bestFit="1" customWidth="1"/>
    <col min="6916" max="6916" width="3.6640625" style="267" customWidth="1"/>
    <col min="6917" max="6917" width="13.5546875" style="267" customWidth="1"/>
    <col min="6918" max="6918" width="1" style="267" customWidth="1"/>
    <col min="6919" max="6919" width="14.21875" style="267" bestFit="1" customWidth="1"/>
    <col min="6920" max="6920" width="3.33203125" style="267" customWidth="1"/>
    <col min="6921" max="6921" width="20.44140625" style="267" customWidth="1"/>
    <col min="6922" max="7162" width="8.77734375" style="267"/>
    <col min="7163" max="7163" width="54.6640625" style="267" customWidth="1"/>
    <col min="7164" max="7164" width="13.77734375" style="267" customWidth="1"/>
    <col min="7165" max="7165" width="0" style="267" hidden="1" customWidth="1"/>
    <col min="7166" max="7166" width="6.6640625" style="267" customWidth="1"/>
    <col min="7167" max="7167" width="15" style="267" customWidth="1"/>
    <col min="7168" max="7168" width="3.6640625" style="267" bestFit="1" customWidth="1"/>
    <col min="7169" max="7169" width="15.44140625" style="267" bestFit="1" customWidth="1"/>
    <col min="7170" max="7170" width="3.77734375" style="267" customWidth="1"/>
    <col min="7171" max="7171" width="11.21875" style="267" bestFit="1" customWidth="1"/>
    <col min="7172" max="7172" width="3.6640625" style="267" customWidth="1"/>
    <col min="7173" max="7173" width="13.5546875" style="267" customWidth="1"/>
    <col min="7174" max="7174" width="1" style="267" customWidth="1"/>
    <col min="7175" max="7175" width="14.21875" style="267" bestFit="1" customWidth="1"/>
    <col min="7176" max="7176" width="3.33203125" style="267" customWidth="1"/>
    <col min="7177" max="7177" width="20.44140625" style="267" customWidth="1"/>
    <col min="7178" max="7418" width="8.77734375" style="267"/>
    <col min="7419" max="7419" width="54.6640625" style="267" customWidth="1"/>
    <col min="7420" max="7420" width="13.77734375" style="267" customWidth="1"/>
    <col min="7421" max="7421" width="0" style="267" hidden="1" customWidth="1"/>
    <col min="7422" max="7422" width="6.6640625" style="267" customWidth="1"/>
    <col min="7423" max="7423" width="15" style="267" customWidth="1"/>
    <col min="7424" max="7424" width="3.6640625" style="267" bestFit="1" customWidth="1"/>
    <col min="7425" max="7425" width="15.44140625" style="267" bestFit="1" customWidth="1"/>
    <col min="7426" max="7426" width="3.77734375" style="267" customWidth="1"/>
    <col min="7427" max="7427" width="11.21875" style="267" bestFit="1" customWidth="1"/>
    <col min="7428" max="7428" width="3.6640625" style="267" customWidth="1"/>
    <col min="7429" max="7429" width="13.5546875" style="267" customWidth="1"/>
    <col min="7430" max="7430" width="1" style="267" customWidth="1"/>
    <col min="7431" max="7431" width="14.21875" style="267" bestFit="1" customWidth="1"/>
    <col min="7432" max="7432" width="3.33203125" style="267" customWidth="1"/>
    <col min="7433" max="7433" width="20.44140625" style="267" customWidth="1"/>
    <col min="7434" max="7674" width="8.77734375" style="267"/>
    <col min="7675" max="7675" width="54.6640625" style="267" customWidth="1"/>
    <col min="7676" max="7676" width="13.77734375" style="267" customWidth="1"/>
    <col min="7677" max="7677" width="0" style="267" hidden="1" customWidth="1"/>
    <col min="7678" max="7678" width="6.6640625" style="267" customWidth="1"/>
    <col min="7679" max="7679" width="15" style="267" customWidth="1"/>
    <col min="7680" max="7680" width="3.6640625" style="267" bestFit="1" customWidth="1"/>
    <col min="7681" max="7681" width="15.44140625" style="267" bestFit="1" customWidth="1"/>
    <col min="7682" max="7682" width="3.77734375" style="267" customWidth="1"/>
    <col min="7683" max="7683" width="11.21875" style="267" bestFit="1" customWidth="1"/>
    <col min="7684" max="7684" width="3.6640625" style="267" customWidth="1"/>
    <col min="7685" max="7685" width="13.5546875" style="267" customWidth="1"/>
    <col min="7686" max="7686" width="1" style="267" customWidth="1"/>
    <col min="7687" max="7687" width="14.21875" style="267" bestFit="1" customWidth="1"/>
    <col min="7688" max="7688" width="3.33203125" style="267" customWidth="1"/>
    <col min="7689" max="7689" width="20.44140625" style="267" customWidth="1"/>
    <col min="7690" max="7930" width="8.77734375" style="267"/>
    <col min="7931" max="7931" width="54.6640625" style="267" customWidth="1"/>
    <col min="7932" max="7932" width="13.77734375" style="267" customWidth="1"/>
    <col min="7933" max="7933" width="0" style="267" hidden="1" customWidth="1"/>
    <col min="7934" max="7934" width="6.6640625" style="267" customWidth="1"/>
    <col min="7935" max="7935" width="15" style="267" customWidth="1"/>
    <col min="7936" max="7936" width="3.6640625" style="267" bestFit="1" customWidth="1"/>
    <col min="7937" max="7937" width="15.44140625" style="267" bestFit="1" customWidth="1"/>
    <col min="7938" max="7938" width="3.77734375" style="267" customWidth="1"/>
    <col min="7939" max="7939" width="11.21875" style="267" bestFit="1" customWidth="1"/>
    <col min="7940" max="7940" width="3.6640625" style="267" customWidth="1"/>
    <col min="7941" max="7941" width="13.5546875" style="267" customWidth="1"/>
    <col min="7942" max="7942" width="1" style="267" customWidth="1"/>
    <col min="7943" max="7943" width="14.21875" style="267" bestFit="1" customWidth="1"/>
    <col min="7944" max="7944" width="3.33203125" style="267" customWidth="1"/>
    <col min="7945" max="7945" width="20.44140625" style="267" customWidth="1"/>
    <col min="7946" max="8186" width="8.77734375" style="267"/>
    <col min="8187" max="8187" width="54.6640625" style="267" customWidth="1"/>
    <col min="8188" max="8188" width="13.77734375" style="267" customWidth="1"/>
    <col min="8189" max="8189" width="0" style="267" hidden="1" customWidth="1"/>
    <col min="8190" max="8190" width="6.6640625" style="267" customWidth="1"/>
    <col min="8191" max="8191" width="15" style="267" customWidth="1"/>
    <col min="8192" max="8192" width="3.6640625" style="267" bestFit="1" customWidth="1"/>
    <col min="8193" max="8193" width="15.44140625" style="267" bestFit="1" customWidth="1"/>
    <col min="8194" max="8194" width="3.77734375" style="267" customWidth="1"/>
    <col min="8195" max="8195" width="11.21875" style="267" bestFit="1" customWidth="1"/>
    <col min="8196" max="8196" width="3.6640625" style="267" customWidth="1"/>
    <col min="8197" max="8197" width="13.5546875" style="267" customWidth="1"/>
    <col min="8198" max="8198" width="1" style="267" customWidth="1"/>
    <col min="8199" max="8199" width="14.21875" style="267" bestFit="1" customWidth="1"/>
    <col min="8200" max="8200" width="3.33203125" style="267" customWidth="1"/>
    <col min="8201" max="8201" width="20.44140625" style="267" customWidth="1"/>
    <col min="8202" max="8442" width="8.77734375" style="267"/>
    <col min="8443" max="8443" width="54.6640625" style="267" customWidth="1"/>
    <col min="8444" max="8444" width="13.77734375" style="267" customWidth="1"/>
    <col min="8445" max="8445" width="0" style="267" hidden="1" customWidth="1"/>
    <col min="8446" max="8446" width="6.6640625" style="267" customWidth="1"/>
    <col min="8447" max="8447" width="15" style="267" customWidth="1"/>
    <col min="8448" max="8448" width="3.6640625" style="267" bestFit="1" customWidth="1"/>
    <col min="8449" max="8449" width="15.44140625" style="267" bestFit="1" customWidth="1"/>
    <col min="8450" max="8450" width="3.77734375" style="267" customWidth="1"/>
    <col min="8451" max="8451" width="11.21875" style="267" bestFit="1" customWidth="1"/>
    <col min="8452" max="8452" width="3.6640625" style="267" customWidth="1"/>
    <col min="8453" max="8453" width="13.5546875" style="267" customWidth="1"/>
    <col min="8454" max="8454" width="1" style="267" customWidth="1"/>
    <col min="8455" max="8455" width="14.21875" style="267" bestFit="1" customWidth="1"/>
    <col min="8456" max="8456" width="3.33203125" style="267" customWidth="1"/>
    <col min="8457" max="8457" width="20.44140625" style="267" customWidth="1"/>
    <col min="8458" max="8698" width="8.77734375" style="267"/>
    <col min="8699" max="8699" width="54.6640625" style="267" customWidth="1"/>
    <col min="8700" max="8700" width="13.77734375" style="267" customWidth="1"/>
    <col min="8701" max="8701" width="0" style="267" hidden="1" customWidth="1"/>
    <col min="8702" max="8702" width="6.6640625" style="267" customWidth="1"/>
    <col min="8703" max="8703" width="15" style="267" customWidth="1"/>
    <col min="8704" max="8704" width="3.6640625" style="267" bestFit="1" customWidth="1"/>
    <col min="8705" max="8705" width="15.44140625" style="267" bestFit="1" customWidth="1"/>
    <col min="8706" max="8706" width="3.77734375" style="267" customWidth="1"/>
    <col min="8707" max="8707" width="11.21875" style="267" bestFit="1" customWidth="1"/>
    <col min="8708" max="8708" width="3.6640625" style="267" customWidth="1"/>
    <col min="8709" max="8709" width="13.5546875" style="267" customWidth="1"/>
    <col min="8710" max="8710" width="1" style="267" customWidth="1"/>
    <col min="8711" max="8711" width="14.21875" style="267" bestFit="1" customWidth="1"/>
    <col min="8712" max="8712" width="3.33203125" style="267" customWidth="1"/>
    <col min="8713" max="8713" width="20.44140625" style="267" customWidth="1"/>
    <col min="8714" max="8954" width="8.77734375" style="267"/>
    <col min="8955" max="8955" width="54.6640625" style="267" customWidth="1"/>
    <col min="8956" max="8956" width="13.77734375" style="267" customWidth="1"/>
    <col min="8957" max="8957" width="0" style="267" hidden="1" customWidth="1"/>
    <col min="8958" max="8958" width="6.6640625" style="267" customWidth="1"/>
    <col min="8959" max="8959" width="15" style="267" customWidth="1"/>
    <col min="8960" max="8960" width="3.6640625" style="267" bestFit="1" customWidth="1"/>
    <col min="8961" max="8961" width="15.44140625" style="267" bestFit="1" customWidth="1"/>
    <col min="8962" max="8962" width="3.77734375" style="267" customWidth="1"/>
    <col min="8963" max="8963" width="11.21875" style="267" bestFit="1" customWidth="1"/>
    <col min="8964" max="8964" width="3.6640625" style="267" customWidth="1"/>
    <col min="8965" max="8965" width="13.5546875" style="267" customWidth="1"/>
    <col min="8966" max="8966" width="1" style="267" customWidth="1"/>
    <col min="8967" max="8967" width="14.21875" style="267" bestFit="1" customWidth="1"/>
    <col min="8968" max="8968" width="3.33203125" style="267" customWidth="1"/>
    <col min="8969" max="8969" width="20.44140625" style="267" customWidth="1"/>
    <col min="8970" max="9210" width="8.77734375" style="267"/>
    <col min="9211" max="9211" width="54.6640625" style="267" customWidth="1"/>
    <col min="9212" max="9212" width="13.77734375" style="267" customWidth="1"/>
    <col min="9213" max="9213" width="0" style="267" hidden="1" customWidth="1"/>
    <col min="9214" max="9214" width="6.6640625" style="267" customWidth="1"/>
    <col min="9215" max="9215" width="15" style="267" customWidth="1"/>
    <col min="9216" max="9216" width="3.6640625" style="267" bestFit="1" customWidth="1"/>
    <col min="9217" max="9217" width="15.44140625" style="267" bestFit="1" customWidth="1"/>
    <col min="9218" max="9218" width="3.77734375" style="267" customWidth="1"/>
    <col min="9219" max="9219" width="11.21875" style="267" bestFit="1" customWidth="1"/>
    <col min="9220" max="9220" width="3.6640625" style="267" customWidth="1"/>
    <col min="9221" max="9221" width="13.5546875" style="267" customWidth="1"/>
    <col min="9222" max="9222" width="1" style="267" customWidth="1"/>
    <col min="9223" max="9223" width="14.21875" style="267" bestFit="1" customWidth="1"/>
    <col min="9224" max="9224" width="3.33203125" style="267" customWidth="1"/>
    <col min="9225" max="9225" width="20.44140625" style="267" customWidth="1"/>
    <col min="9226" max="9466" width="8.77734375" style="267"/>
    <col min="9467" max="9467" width="54.6640625" style="267" customWidth="1"/>
    <col min="9468" max="9468" width="13.77734375" style="267" customWidth="1"/>
    <col min="9469" max="9469" width="0" style="267" hidden="1" customWidth="1"/>
    <col min="9470" max="9470" width="6.6640625" style="267" customWidth="1"/>
    <col min="9471" max="9471" width="15" style="267" customWidth="1"/>
    <col min="9472" max="9472" width="3.6640625" style="267" bestFit="1" customWidth="1"/>
    <col min="9473" max="9473" width="15.44140625" style="267" bestFit="1" customWidth="1"/>
    <col min="9474" max="9474" width="3.77734375" style="267" customWidth="1"/>
    <col min="9475" max="9475" width="11.21875" style="267" bestFit="1" customWidth="1"/>
    <col min="9476" max="9476" width="3.6640625" style="267" customWidth="1"/>
    <col min="9477" max="9477" width="13.5546875" style="267" customWidth="1"/>
    <col min="9478" max="9478" width="1" style="267" customWidth="1"/>
    <col min="9479" max="9479" width="14.21875" style="267" bestFit="1" customWidth="1"/>
    <col min="9480" max="9480" width="3.33203125" style="267" customWidth="1"/>
    <col min="9481" max="9481" width="20.44140625" style="267" customWidth="1"/>
    <col min="9482" max="9722" width="8.77734375" style="267"/>
    <col min="9723" max="9723" width="54.6640625" style="267" customWidth="1"/>
    <col min="9724" max="9724" width="13.77734375" style="267" customWidth="1"/>
    <col min="9725" max="9725" width="0" style="267" hidden="1" customWidth="1"/>
    <col min="9726" max="9726" width="6.6640625" style="267" customWidth="1"/>
    <col min="9727" max="9727" width="15" style="267" customWidth="1"/>
    <col min="9728" max="9728" width="3.6640625" style="267" bestFit="1" customWidth="1"/>
    <col min="9729" max="9729" width="15.44140625" style="267" bestFit="1" customWidth="1"/>
    <col min="9730" max="9730" width="3.77734375" style="267" customWidth="1"/>
    <col min="9731" max="9731" width="11.21875" style="267" bestFit="1" customWidth="1"/>
    <col min="9732" max="9732" width="3.6640625" style="267" customWidth="1"/>
    <col min="9733" max="9733" width="13.5546875" style="267" customWidth="1"/>
    <col min="9734" max="9734" width="1" style="267" customWidth="1"/>
    <col min="9735" max="9735" width="14.21875" style="267" bestFit="1" customWidth="1"/>
    <col min="9736" max="9736" width="3.33203125" style="267" customWidth="1"/>
    <col min="9737" max="9737" width="20.44140625" style="267" customWidth="1"/>
    <col min="9738" max="9978" width="8.77734375" style="267"/>
    <col min="9979" max="9979" width="54.6640625" style="267" customWidth="1"/>
    <col min="9980" max="9980" width="13.77734375" style="267" customWidth="1"/>
    <col min="9981" max="9981" width="0" style="267" hidden="1" customWidth="1"/>
    <col min="9982" max="9982" width="6.6640625" style="267" customWidth="1"/>
    <col min="9983" max="9983" width="15" style="267" customWidth="1"/>
    <col min="9984" max="9984" width="3.6640625" style="267" bestFit="1" customWidth="1"/>
    <col min="9985" max="9985" width="15.44140625" style="267" bestFit="1" customWidth="1"/>
    <col min="9986" max="9986" width="3.77734375" style="267" customWidth="1"/>
    <col min="9987" max="9987" width="11.21875" style="267" bestFit="1" customWidth="1"/>
    <col min="9988" max="9988" width="3.6640625" style="267" customWidth="1"/>
    <col min="9989" max="9989" width="13.5546875" style="267" customWidth="1"/>
    <col min="9990" max="9990" width="1" style="267" customWidth="1"/>
    <col min="9991" max="9991" width="14.21875" style="267" bestFit="1" customWidth="1"/>
    <col min="9992" max="9992" width="3.33203125" style="267" customWidth="1"/>
    <col min="9993" max="9993" width="20.44140625" style="267" customWidth="1"/>
    <col min="9994" max="10234" width="8.77734375" style="267"/>
    <col min="10235" max="10235" width="54.6640625" style="267" customWidth="1"/>
    <col min="10236" max="10236" width="13.77734375" style="267" customWidth="1"/>
    <col min="10237" max="10237" width="0" style="267" hidden="1" customWidth="1"/>
    <col min="10238" max="10238" width="6.6640625" style="267" customWidth="1"/>
    <col min="10239" max="10239" width="15" style="267" customWidth="1"/>
    <col min="10240" max="10240" width="3.6640625" style="267" bestFit="1" customWidth="1"/>
    <col min="10241" max="10241" width="15.44140625" style="267" bestFit="1" customWidth="1"/>
    <col min="10242" max="10242" width="3.77734375" style="267" customWidth="1"/>
    <col min="10243" max="10243" width="11.21875" style="267" bestFit="1" customWidth="1"/>
    <col min="10244" max="10244" width="3.6640625" style="267" customWidth="1"/>
    <col min="10245" max="10245" width="13.5546875" style="267" customWidth="1"/>
    <col min="10246" max="10246" width="1" style="267" customWidth="1"/>
    <col min="10247" max="10247" width="14.21875" style="267" bestFit="1" customWidth="1"/>
    <col min="10248" max="10248" width="3.33203125" style="267" customWidth="1"/>
    <col min="10249" max="10249" width="20.44140625" style="267" customWidth="1"/>
    <col min="10250" max="10490" width="8.77734375" style="267"/>
    <col min="10491" max="10491" width="54.6640625" style="267" customWidth="1"/>
    <col min="10492" max="10492" width="13.77734375" style="267" customWidth="1"/>
    <col min="10493" max="10493" width="0" style="267" hidden="1" customWidth="1"/>
    <col min="10494" max="10494" width="6.6640625" style="267" customWidth="1"/>
    <col min="10495" max="10495" width="15" style="267" customWidth="1"/>
    <col min="10496" max="10496" width="3.6640625" style="267" bestFit="1" customWidth="1"/>
    <col min="10497" max="10497" width="15.44140625" style="267" bestFit="1" customWidth="1"/>
    <col min="10498" max="10498" width="3.77734375" style="267" customWidth="1"/>
    <col min="10499" max="10499" width="11.21875" style="267" bestFit="1" customWidth="1"/>
    <col min="10500" max="10500" width="3.6640625" style="267" customWidth="1"/>
    <col min="10501" max="10501" width="13.5546875" style="267" customWidth="1"/>
    <col min="10502" max="10502" width="1" style="267" customWidth="1"/>
    <col min="10503" max="10503" width="14.21875" style="267" bestFit="1" customWidth="1"/>
    <col min="10504" max="10504" width="3.33203125" style="267" customWidth="1"/>
    <col min="10505" max="10505" width="20.44140625" style="267" customWidth="1"/>
    <col min="10506" max="10746" width="8.77734375" style="267"/>
    <col min="10747" max="10747" width="54.6640625" style="267" customWidth="1"/>
    <col min="10748" max="10748" width="13.77734375" style="267" customWidth="1"/>
    <col min="10749" max="10749" width="0" style="267" hidden="1" customWidth="1"/>
    <col min="10750" max="10750" width="6.6640625" style="267" customWidth="1"/>
    <col min="10751" max="10751" width="15" style="267" customWidth="1"/>
    <col min="10752" max="10752" width="3.6640625" style="267" bestFit="1" customWidth="1"/>
    <col min="10753" max="10753" width="15.44140625" style="267" bestFit="1" customWidth="1"/>
    <col min="10754" max="10754" width="3.77734375" style="267" customWidth="1"/>
    <col min="10755" max="10755" width="11.21875" style="267" bestFit="1" customWidth="1"/>
    <col min="10756" max="10756" width="3.6640625" style="267" customWidth="1"/>
    <col min="10757" max="10757" width="13.5546875" style="267" customWidth="1"/>
    <col min="10758" max="10758" width="1" style="267" customWidth="1"/>
    <col min="10759" max="10759" width="14.21875" style="267" bestFit="1" customWidth="1"/>
    <col min="10760" max="10760" width="3.33203125" style="267" customWidth="1"/>
    <col min="10761" max="10761" width="20.44140625" style="267" customWidth="1"/>
    <col min="10762" max="11002" width="8.77734375" style="267"/>
    <col min="11003" max="11003" width="54.6640625" style="267" customWidth="1"/>
    <col min="11004" max="11004" width="13.77734375" style="267" customWidth="1"/>
    <col min="11005" max="11005" width="0" style="267" hidden="1" customWidth="1"/>
    <col min="11006" max="11006" width="6.6640625" style="267" customWidth="1"/>
    <col min="11007" max="11007" width="15" style="267" customWidth="1"/>
    <col min="11008" max="11008" width="3.6640625" style="267" bestFit="1" customWidth="1"/>
    <col min="11009" max="11009" width="15.44140625" style="267" bestFit="1" customWidth="1"/>
    <col min="11010" max="11010" width="3.77734375" style="267" customWidth="1"/>
    <col min="11011" max="11011" width="11.21875" style="267" bestFit="1" customWidth="1"/>
    <col min="11012" max="11012" width="3.6640625" style="267" customWidth="1"/>
    <col min="11013" max="11013" width="13.5546875" style="267" customWidth="1"/>
    <col min="11014" max="11014" width="1" style="267" customWidth="1"/>
    <col min="11015" max="11015" width="14.21875" style="267" bestFit="1" customWidth="1"/>
    <col min="11016" max="11016" width="3.33203125" style="267" customWidth="1"/>
    <col min="11017" max="11017" width="20.44140625" style="267" customWidth="1"/>
    <col min="11018" max="11258" width="8.77734375" style="267"/>
    <col min="11259" max="11259" width="54.6640625" style="267" customWidth="1"/>
    <col min="11260" max="11260" width="13.77734375" style="267" customWidth="1"/>
    <col min="11261" max="11261" width="0" style="267" hidden="1" customWidth="1"/>
    <col min="11262" max="11262" width="6.6640625" style="267" customWidth="1"/>
    <col min="11263" max="11263" width="15" style="267" customWidth="1"/>
    <col min="11264" max="11264" width="3.6640625" style="267" bestFit="1" customWidth="1"/>
    <col min="11265" max="11265" width="15.44140625" style="267" bestFit="1" customWidth="1"/>
    <col min="11266" max="11266" width="3.77734375" style="267" customWidth="1"/>
    <col min="11267" max="11267" width="11.21875" style="267" bestFit="1" customWidth="1"/>
    <col min="11268" max="11268" width="3.6640625" style="267" customWidth="1"/>
    <col min="11269" max="11269" width="13.5546875" style="267" customWidth="1"/>
    <col min="11270" max="11270" width="1" style="267" customWidth="1"/>
    <col min="11271" max="11271" width="14.21875" style="267" bestFit="1" customWidth="1"/>
    <col min="11272" max="11272" width="3.33203125" style="267" customWidth="1"/>
    <col min="11273" max="11273" width="20.44140625" style="267" customWidth="1"/>
    <col min="11274" max="11514" width="8.77734375" style="267"/>
    <col min="11515" max="11515" width="54.6640625" style="267" customWidth="1"/>
    <col min="11516" max="11516" width="13.77734375" style="267" customWidth="1"/>
    <col min="11517" max="11517" width="0" style="267" hidden="1" customWidth="1"/>
    <col min="11518" max="11518" width="6.6640625" style="267" customWidth="1"/>
    <col min="11519" max="11519" width="15" style="267" customWidth="1"/>
    <col min="11520" max="11520" width="3.6640625" style="267" bestFit="1" customWidth="1"/>
    <col min="11521" max="11521" width="15.44140625" style="267" bestFit="1" customWidth="1"/>
    <col min="11522" max="11522" width="3.77734375" style="267" customWidth="1"/>
    <col min="11523" max="11523" width="11.21875" style="267" bestFit="1" customWidth="1"/>
    <col min="11524" max="11524" width="3.6640625" style="267" customWidth="1"/>
    <col min="11525" max="11525" width="13.5546875" style="267" customWidth="1"/>
    <col min="11526" max="11526" width="1" style="267" customWidth="1"/>
    <col min="11527" max="11527" width="14.21875" style="267" bestFit="1" customWidth="1"/>
    <col min="11528" max="11528" width="3.33203125" style="267" customWidth="1"/>
    <col min="11529" max="11529" width="20.44140625" style="267" customWidth="1"/>
    <col min="11530" max="11770" width="8.77734375" style="267"/>
    <col min="11771" max="11771" width="54.6640625" style="267" customWidth="1"/>
    <col min="11772" max="11772" width="13.77734375" style="267" customWidth="1"/>
    <col min="11773" max="11773" width="0" style="267" hidden="1" customWidth="1"/>
    <col min="11774" max="11774" width="6.6640625" style="267" customWidth="1"/>
    <col min="11775" max="11775" width="15" style="267" customWidth="1"/>
    <col min="11776" max="11776" width="3.6640625" style="267" bestFit="1" customWidth="1"/>
    <col min="11777" max="11777" width="15.44140625" style="267" bestFit="1" customWidth="1"/>
    <col min="11778" max="11778" width="3.77734375" style="267" customWidth="1"/>
    <col min="11779" max="11779" width="11.21875" style="267" bestFit="1" customWidth="1"/>
    <col min="11780" max="11780" width="3.6640625" style="267" customWidth="1"/>
    <col min="11781" max="11781" width="13.5546875" style="267" customWidth="1"/>
    <col min="11782" max="11782" width="1" style="267" customWidth="1"/>
    <col min="11783" max="11783" width="14.21875" style="267" bestFit="1" customWidth="1"/>
    <col min="11784" max="11784" width="3.33203125" style="267" customWidth="1"/>
    <col min="11785" max="11785" width="20.44140625" style="267" customWidth="1"/>
    <col min="11786" max="12026" width="8.77734375" style="267"/>
    <col min="12027" max="12027" width="54.6640625" style="267" customWidth="1"/>
    <col min="12028" max="12028" width="13.77734375" style="267" customWidth="1"/>
    <col min="12029" max="12029" width="0" style="267" hidden="1" customWidth="1"/>
    <col min="12030" max="12030" width="6.6640625" style="267" customWidth="1"/>
    <col min="12031" max="12031" width="15" style="267" customWidth="1"/>
    <col min="12032" max="12032" width="3.6640625" style="267" bestFit="1" customWidth="1"/>
    <col min="12033" max="12033" width="15.44140625" style="267" bestFit="1" customWidth="1"/>
    <col min="12034" max="12034" width="3.77734375" style="267" customWidth="1"/>
    <col min="12035" max="12035" width="11.21875" style="267" bestFit="1" customWidth="1"/>
    <col min="12036" max="12036" width="3.6640625" style="267" customWidth="1"/>
    <col min="12037" max="12037" width="13.5546875" style="267" customWidth="1"/>
    <col min="12038" max="12038" width="1" style="267" customWidth="1"/>
    <col min="12039" max="12039" width="14.21875" style="267" bestFit="1" customWidth="1"/>
    <col min="12040" max="12040" width="3.33203125" style="267" customWidth="1"/>
    <col min="12041" max="12041" width="20.44140625" style="267" customWidth="1"/>
    <col min="12042" max="12282" width="8.77734375" style="267"/>
    <col min="12283" max="12283" width="54.6640625" style="267" customWidth="1"/>
    <col min="12284" max="12284" width="13.77734375" style="267" customWidth="1"/>
    <col min="12285" max="12285" width="0" style="267" hidden="1" customWidth="1"/>
    <col min="12286" max="12286" width="6.6640625" style="267" customWidth="1"/>
    <col min="12287" max="12287" width="15" style="267" customWidth="1"/>
    <col min="12288" max="12288" width="3.6640625" style="267" bestFit="1" customWidth="1"/>
    <col min="12289" max="12289" width="15.44140625" style="267" bestFit="1" customWidth="1"/>
    <col min="12290" max="12290" width="3.77734375" style="267" customWidth="1"/>
    <col min="12291" max="12291" width="11.21875" style="267" bestFit="1" customWidth="1"/>
    <col min="12292" max="12292" width="3.6640625" style="267" customWidth="1"/>
    <col min="12293" max="12293" width="13.5546875" style="267" customWidth="1"/>
    <col min="12294" max="12294" width="1" style="267" customWidth="1"/>
    <col min="12295" max="12295" width="14.21875" style="267" bestFit="1" customWidth="1"/>
    <col min="12296" max="12296" width="3.33203125" style="267" customWidth="1"/>
    <col min="12297" max="12297" width="20.44140625" style="267" customWidth="1"/>
    <col min="12298" max="12538" width="8.77734375" style="267"/>
    <col min="12539" max="12539" width="54.6640625" style="267" customWidth="1"/>
    <col min="12540" max="12540" width="13.77734375" style="267" customWidth="1"/>
    <col min="12541" max="12541" width="0" style="267" hidden="1" customWidth="1"/>
    <col min="12542" max="12542" width="6.6640625" style="267" customWidth="1"/>
    <col min="12543" max="12543" width="15" style="267" customWidth="1"/>
    <col min="12544" max="12544" width="3.6640625" style="267" bestFit="1" customWidth="1"/>
    <col min="12545" max="12545" width="15.44140625" style="267" bestFit="1" customWidth="1"/>
    <col min="12546" max="12546" width="3.77734375" style="267" customWidth="1"/>
    <col min="12547" max="12547" width="11.21875" style="267" bestFit="1" customWidth="1"/>
    <col min="12548" max="12548" width="3.6640625" style="267" customWidth="1"/>
    <col min="12549" max="12549" width="13.5546875" style="267" customWidth="1"/>
    <col min="12550" max="12550" width="1" style="267" customWidth="1"/>
    <col min="12551" max="12551" width="14.21875" style="267" bestFit="1" customWidth="1"/>
    <col min="12552" max="12552" width="3.33203125" style="267" customWidth="1"/>
    <col min="12553" max="12553" width="20.44140625" style="267" customWidth="1"/>
    <col min="12554" max="12794" width="8.77734375" style="267"/>
    <col min="12795" max="12795" width="54.6640625" style="267" customWidth="1"/>
    <col min="12796" max="12796" width="13.77734375" style="267" customWidth="1"/>
    <col min="12797" max="12797" width="0" style="267" hidden="1" customWidth="1"/>
    <col min="12798" max="12798" width="6.6640625" style="267" customWidth="1"/>
    <col min="12799" max="12799" width="15" style="267" customWidth="1"/>
    <col min="12800" max="12800" width="3.6640625" style="267" bestFit="1" customWidth="1"/>
    <col min="12801" max="12801" width="15.44140625" style="267" bestFit="1" customWidth="1"/>
    <col min="12802" max="12802" width="3.77734375" style="267" customWidth="1"/>
    <col min="12803" max="12803" width="11.21875" style="267" bestFit="1" customWidth="1"/>
    <col min="12804" max="12804" width="3.6640625" style="267" customWidth="1"/>
    <col min="12805" max="12805" width="13.5546875" style="267" customWidth="1"/>
    <col min="12806" max="12806" width="1" style="267" customWidth="1"/>
    <col min="12807" max="12807" width="14.21875" style="267" bestFit="1" customWidth="1"/>
    <col min="12808" max="12808" width="3.33203125" style="267" customWidth="1"/>
    <col min="12809" max="12809" width="20.44140625" style="267" customWidth="1"/>
    <col min="12810" max="13050" width="8.77734375" style="267"/>
    <col min="13051" max="13051" width="54.6640625" style="267" customWidth="1"/>
    <col min="13052" max="13052" width="13.77734375" style="267" customWidth="1"/>
    <col min="13053" max="13053" width="0" style="267" hidden="1" customWidth="1"/>
    <col min="13054" max="13054" width="6.6640625" style="267" customWidth="1"/>
    <col min="13055" max="13055" width="15" style="267" customWidth="1"/>
    <col min="13056" max="13056" width="3.6640625" style="267" bestFit="1" customWidth="1"/>
    <col min="13057" max="13057" width="15.44140625" style="267" bestFit="1" customWidth="1"/>
    <col min="13058" max="13058" width="3.77734375" style="267" customWidth="1"/>
    <col min="13059" max="13059" width="11.21875" style="267" bestFit="1" customWidth="1"/>
    <col min="13060" max="13060" width="3.6640625" style="267" customWidth="1"/>
    <col min="13061" max="13061" width="13.5546875" style="267" customWidth="1"/>
    <col min="13062" max="13062" width="1" style="267" customWidth="1"/>
    <col min="13063" max="13063" width="14.21875" style="267" bestFit="1" customWidth="1"/>
    <col min="13064" max="13064" width="3.33203125" style="267" customWidth="1"/>
    <col min="13065" max="13065" width="20.44140625" style="267" customWidth="1"/>
    <col min="13066" max="13306" width="8.77734375" style="267"/>
    <col min="13307" max="13307" width="54.6640625" style="267" customWidth="1"/>
    <col min="13308" max="13308" width="13.77734375" style="267" customWidth="1"/>
    <col min="13309" max="13309" width="0" style="267" hidden="1" customWidth="1"/>
    <col min="13310" max="13310" width="6.6640625" style="267" customWidth="1"/>
    <col min="13311" max="13311" width="15" style="267" customWidth="1"/>
    <col min="13312" max="13312" width="3.6640625" style="267" bestFit="1" customWidth="1"/>
    <col min="13313" max="13313" width="15.44140625" style="267" bestFit="1" customWidth="1"/>
    <col min="13314" max="13314" width="3.77734375" style="267" customWidth="1"/>
    <col min="13315" max="13315" width="11.21875" style="267" bestFit="1" customWidth="1"/>
    <col min="13316" max="13316" width="3.6640625" style="267" customWidth="1"/>
    <col min="13317" max="13317" width="13.5546875" style="267" customWidth="1"/>
    <col min="13318" max="13318" width="1" style="267" customWidth="1"/>
    <col min="13319" max="13319" width="14.21875" style="267" bestFit="1" customWidth="1"/>
    <col min="13320" max="13320" width="3.33203125" style="267" customWidth="1"/>
    <col min="13321" max="13321" width="20.44140625" style="267" customWidth="1"/>
    <col min="13322" max="13562" width="8.77734375" style="267"/>
    <col min="13563" max="13563" width="54.6640625" style="267" customWidth="1"/>
    <col min="13564" max="13564" width="13.77734375" style="267" customWidth="1"/>
    <col min="13565" max="13565" width="0" style="267" hidden="1" customWidth="1"/>
    <col min="13566" max="13566" width="6.6640625" style="267" customWidth="1"/>
    <col min="13567" max="13567" width="15" style="267" customWidth="1"/>
    <col min="13568" max="13568" width="3.6640625" style="267" bestFit="1" customWidth="1"/>
    <col min="13569" max="13569" width="15.44140625" style="267" bestFit="1" customWidth="1"/>
    <col min="13570" max="13570" width="3.77734375" style="267" customWidth="1"/>
    <col min="13571" max="13571" width="11.21875" style="267" bestFit="1" customWidth="1"/>
    <col min="13572" max="13572" width="3.6640625" style="267" customWidth="1"/>
    <col min="13573" max="13573" width="13.5546875" style="267" customWidth="1"/>
    <col min="13574" max="13574" width="1" style="267" customWidth="1"/>
    <col min="13575" max="13575" width="14.21875" style="267" bestFit="1" customWidth="1"/>
    <col min="13576" max="13576" width="3.33203125" style="267" customWidth="1"/>
    <col min="13577" max="13577" width="20.44140625" style="267" customWidth="1"/>
    <col min="13578" max="13818" width="8.77734375" style="267"/>
    <col min="13819" max="13819" width="54.6640625" style="267" customWidth="1"/>
    <col min="13820" max="13820" width="13.77734375" style="267" customWidth="1"/>
    <col min="13821" max="13821" width="0" style="267" hidden="1" customWidth="1"/>
    <col min="13822" max="13822" width="6.6640625" style="267" customWidth="1"/>
    <col min="13823" max="13823" width="15" style="267" customWidth="1"/>
    <col min="13824" max="13824" width="3.6640625" style="267" bestFit="1" customWidth="1"/>
    <col min="13825" max="13825" width="15.44140625" style="267" bestFit="1" customWidth="1"/>
    <col min="13826" max="13826" width="3.77734375" style="267" customWidth="1"/>
    <col min="13827" max="13827" width="11.21875" style="267" bestFit="1" customWidth="1"/>
    <col min="13828" max="13828" width="3.6640625" style="267" customWidth="1"/>
    <col min="13829" max="13829" width="13.5546875" style="267" customWidth="1"/>
    <col min="13830" max="13830" width="1" style="267" customWidth="1"/>
    <col min="13831" max="13831" width="14.21875" style="267" bestFit="1" customWidth="1"/>
    <col min="13832" max="13832" width="3.33203125" style="267" customWidth="1"/>
    <col min="13833" max="13833" width="20.44140625" style="267" customWidth="1"/>
    <col min="13834" max="14074" width="8.77734375" style="267"/>
    <col min="14075" max="14075" width="54.6640625" style="267" customWidth="1"/>
    <col min="14076" max="14076" width="13.77734375" style="267" customWidth="1"/>
    <col min="14077" max="14077" width="0" style="267" hidden="1" customWidth="1"/>
    <col min="14078" max="14078" width="6.6640625" style="267" customWidth="1"/>
    <col min="14079" max="14079" width="15" style="267" customWidth="1"/>
    <col min="14080" max="14080" width="3.6640625" style="267" bestFit="1" customWidth="1"/>
    <col min="14081" max="14081" width="15.44140625" style="267" bestFit="1" customWidth="1"/>
    <col min="14082" max="14082" width="3.77734375" style="267" customWidth="1"/>
    <col min="14083" max="14083" width="11.21875" style="267" bestFit="1" customWidth="1"/>
    <col min="14084" max="14084" width="3.6640625" style="267" customWidth="1"/>
    <col min="14085" max="14085" width="13.5546875" style="267" customWidth="1"/>
    <col min="14086" max="14086" width="1" style="267" customWidth="1"/>
    <col min="14087" max="14087" width="14.21875" style="267" bestFit="1" customWidth="1"/>
    <col min="14088" max="14088" width="3.33203125" style="267" customWidth="1"/>
    <col min="14089" max="14089" width="20.44140625" style="267" customWidth="1"/>
    <col min="14090" max="14330" width="8.77734375" style="267"/>
    <col min="14331" max="14331" width="54.6640625" style="267" customWidth="1"/>
    <col min="14332" max="14332" width="13.77734375" style="267" customWidth="1"/>
    <col min="14333" max="14333" width="0" style="267" hidden="1" customWidth="1"/>
    <col min="14334" max="14334" width="6.6640625" style="267" customWidth="1"/>
    <col min="14335" max="14335" width="15" style="267" customWidth="1"/>
    <col min="14336" max="14336" width="3.6640625" style="267" bestFit="1" customWidth="1"/>
    <col min="14337" max="14337" width="15.44140625" style="267" bestFit="1" customWidth="1"/>
    <col min="14338" max="14338" width="3.77734375" style="267" customWidth="1"/>
    <col min="14339" max="14339" width="11.21875" style="267" bestFit="1" customWidth="1"/>
    <col min="14340" max="14340" width="3.6640625" style="267" customWidth="1"/>
    <col min="14341" max="14341" width="13.5546875" style="267" customWidth="1"/>
    <col min="14342" max="14342" width="1" style="267" customWidth="1"/>
    <col min="14343" max="14343" width="14.21875" style="267" bestFit="1" customWidth="1"/>
    <col min="14344" max="14344" width="3.33203125" style="267" customWidth="1"/>
    <col min="14345" max="14345" width="20.44140625" style="267" customWidth="1"/>
    <col min="14346" max="14586" width="8.77734375" style="267"/>
    <col min="14587" max="14587" width="54.6640625" style="267" customWidth="1"/>
    <col min="14588" max="14588" width="13.77734375" style="267" customWidth="1"/>
    <col min="14589" max="14589" width="0" style="267" hidden="1" customWidth="1"/>
    <col min="14590" max="14590" width="6.6640625" style="267" customWidth="1"/>
    <col min="14591" max="14591" width="15" style="267" customWidth="1"/>
    <col min="14592" max="14592" width="3.6640625" style="267" bestFit="1" customWidth="1"/>
    <col min="14593" max="14593" width="15.44140625" style="267" bestFit="1" customWidth="1"/>
    <col min="14594" max="14594" width="3.77734375" style="267" customWidth="1"/>
    <col min="14595" max="14595" width="11.21875" style="267" bestFit="1" customWidth="1"/>
    <col min="14596" max="14596" width="3.6640625" style="267" customWidth="1"/>
    <col min="14597" max="14597" width="13.5546875" style="267" customWidth="1"/>
    <col min="14598" max="14598" width="1" style="267" customWidth="1"/>
    <col min="14599" max="14599" width="14.21875" style="267" bestFit="1" customWidth="1"/>
    <col min="14600" max="14600" width="3.33203125" style="267" customWidth="1"/>
    <col min="14601" max="14601" width="20.44140625" style="267" customWidth="1"/>
    <col min="14602" max="14842" width="8.77734375" style="267"/>
    <col min="14843" max="14843" width="54.6640625" style="267" customWidth="1"/>
    <col min="14844" max="14844" width="13.77734375" style="267" customWidth="1"/>
    <col min="14845" max="14845" width="0" style="267" hidden="1" customWidth="1"/>
    <col min="14846" max="14846" width="6.6640625" style="267" customWidth="1"/>
    <col min="14847" max="14847" width="15" style="267" customWidth="1"/>
    <col min="14848" max="14848" width="3.6640625" style="267" bestFit="1" customWidth="1"/>
    <col min="14849" max="14849" width="15.44140625" style="267" bestFit="1" customWidth="1"/>
    <col min="14850" max="14850" width="3.77734375" style="267" customWidth="1"/>
    <col min="14851" max="14851" width="11.21875" style="267" bestFit="1" customWidth="1"/>
    <col min="14852" max="14852" width="3.6640625" style="267" customWidth="1"/>
    <col min="14853" max="14853" width="13.5546875" style="267" customWidth="1"/>
    <col min="14854" max="14854" width="1" style="267" customWidth="1"/>
    <col min="14855" max="14855" width="14.21875" style="267" bestFit="1" customWidth="1"/>
    <col min="14856" max="14856" width="3.33203125" style="267" customWidth="1"/>
    <col min="14857" max="14857" width="20.44140625" style="267" customWidth="1"/>
    <col min="14858" max="15098" width="8.77734375" style="267"/>
    <col min="15099" max="15099" width="54.6640625" style="267" customWidth="1"/>
    <col min="15100" max="15100" width="13.77734375" style="267" customWidth="1"/>
    <col min="15101" max="15101" width="0" style="267" hidden="1" customWidth="1"/>
    <col min="15102" max="15102" width="6.6640625" style="267" customWidth="1"/>
    <col min="15103" max="15103" width="15" style="267" customWidth="1"/>
    <col min="15104" max="15104" width="3.6640625" style="267" bestFit="1" customWidth="1"/>
    <col min="15105" max="15105" width="15.44140625" style="267" bestFit="1" customWidth="1"/>
    <col min="15106" max="15106" width="3.77734375" style="267" customWidth="1"/>
    <col min="15107" max="15107" width="11.21875" style="267" bestFit="1" customWidth="1"/>
    <col min="15108" max="15108" width="3.6640625" style="267" customWidth="1"/>
    <col min="15109" max="15109" width="13.5546875" style="267" customWidth="1"/>
    <col min="15110" max="15110" width="1" style="267" customWidth="1"/>
    <col min="15111" max="15111" width="14.21875" style="267" bestFit="1" customWidth="1"/>
    <col min="15112" max="15112" width="3.33203125" style="267" customWidth="1"/>
    <col min="15113" max="15113" width="20.44140625" style="267" customWidth="1"/>
    <col min="15114" max="15354" width="8.77734375" style="267"/>
    <col min="15355" max="15355" width="54.6640625" style="267" customWidth="1"/>
    <col min="15356" max="15356" width="13.77734375" style="267" customWidth="1"/>
    <col min="15357" max="15357" width="0" style="267" hidden="1" customWidth="1"/>
    <col min="15358" max="15358" width="6.6640625" style="267" customWidth="1"/>
    <col min="15359" max="15359" width="15" style="267" customWidth="1"/>
    <col min="15360" max="15360" width="3.6640625" style="267" bestFit="1" customWidth="1"/>
    <col min="15361" max="15361" width="15.44140625" style="267" bestFit="1" customWidth="1"/>
    <col min="15362" max="15362" width="3.77734375" style="267" customWidth="1"/>
    <col min="15363" max="15363" width="11.21875" style="267" bestFit="1" customWidth="1"/>
    <col min="15364" max="15364" width="3.6640625" style="267" customWidth="1"/>
    <col min="15365" max="15365" width="13.5546875" style="267" customWidth="1"/>
    <col min="15366" max="15366" width="1" style="267" customWidth="1"/>
    <col min="15367" max="15367" width="14.21875" style="267" bestFit="1" customWidth="1"/>
    <col min="15368" max="15368" width="3.33203125" style="267" customWidth="1"/>
    <col min="15369" max="15369" width="20.44140625" style="267" customWidth="1"/>
    <col min="15370" max="15610" width="8.77734375" style="267"/>
    <col min="15611" max="15611" width="54.6640625" style="267" customWidth="1"/>
    <col min="15612" max="15612" width="13.77734375" style="267" customWidth="1"/>
    <col min="15613" max="15613" width="0" style="267" hidden="1" customWidth="1"/>
    <col min="15614" max="15614" width="6.6640625" style="267" customWidth="1"/>
    <col min="15615" max="15615" width="15" style="267" customWidth="1"/>
    <col min="15616" max="15616" width="3.6640625" style="267" bestFit="1" customWidth="1"/>
    <col min="15617" max="15617" width="15.44140625" style="267" bestFit="1" customWidth="1"/>
    <col min="15618" max="15618" width="3.77734375" style="267" customWidth="1"/>
    <col min="15619" max="15619" width="11.21875" style="267" bestFit="1" customWidth="1"/>
    <col min="15620" max="15620" width="3.6640625" style="267" customWidth="1"/>
    <col min="15621" max="15621" width="13.5546875" style="267" customWidth="1"/>
    <col min="15622" max="15622" width="1" style="267" customWidth="1"/>
    <col min="15623" max="15623" width="14.21875" style="267" bestFit="1" customWidth="1"/>
    <col min="15624" max="15624" width="3.33203125" style="267" customWidth="1"/>
    <col min="15625" max="15625" width="20.44140625" style="267" customWidth="1"/>
    <col min="15626" max="15866" width="8.77734375" style="267"/>
    <col min="15867" max="15867" width="54.6640625" style="267" customWidth="1"/>
    <col min="15868" max="15868" width="13.77734375" style="267" customWidth="1"/>
    <col min="15869" max="15869" width="0" style="267" hidden="1" customWidth="1"/>
    <col min="15870" max="15870" width="6.6640625" style="267" customWidth="1"/>
    <col min="15871" max="15871" width="15" style="267" customWidth="1"/>
    <col min="15872" max="15872" width="3.6640625" style="267" bestFit="1" customWidth="1"/>
    <col min="15873" max="15873" width="15.44140625" style="267" bestFit="1" customWidth="1"/>
    <col min="15874" max="15874" width="3.77734375" style="267" customWidth="1"/>
    <col min="15875" max="15875" width="11.21875" style="267" bestFit="1" customWidth="1"/>
    <col min="15876" max="15876" width="3.6640625" style="267" customWidth="1"/>
    <col min="15877" max="15877" width="13.5546875" style="267" customWidth="1"/>
    <col min="15878" max="15878" width="1" style="267" customWidth="1"/>
    <col min="15879" max="15879" width="14.21875" style="267" bestFit="1" customWidth="1"/>
    <col min="15880" max="15880" width="3.33203125" style="267" customWidth="1"/>
    <col min="15881" max="15881" width="20.44140625" style="267" customWidth="1"/>
    <col min="15882" max="16122" width="8.77734375" style="267"/>
    <col min="16123" max="16123" width="54.6640625" style="267" customWidth="1"/>
    <col min="16124" max="16124" width="13.77734375" style="267" customWidth="1"/>
    <col min="16125" max="16125" width="0" style="267" hidden="1" customWidth="1"/>
    <col min="16126" max="16126" width="6.6640625" style="267" customWidth="1"/>
    <col min="16127" max="16127" width="15" style="267" customWidth="1"/>
    <col min="16128" max="16128" width="3.6640625" style="267" bestFit="1" customWidth="1"/>
    <col min="16129" max="16129" width="15.44140625" style="267" bestFit="1" customWidth="1"/>
    <col min="16130" max="16130" width="3.77734375" style="267" customWidth="1"/>
    <col min="16131" max="16131" width="11.21875" style="267" bestFit="1" customWidth="1"/>
    <col min="16132" max="16132" width="3.6640625" style="267" customWidth="1"/>
    <col min="16133" max="16133" width="13.5546875" style="267" customWidth="1"/>
    <col min="16134" max="16134" width="1" style="267" customWidth="1"/>
    <col min="16135" max="16135" width="14.21875" style="267" bestFit="1" customWidth="1"/>
    <col min="16136" max="16136" width="3.33203125" style="267" customWidth="1"/>
    <col min="16137" max="16137" width="20.44140625" style="267" customWidth="1"/>
    <col min="16138" max="16376" width="8.77734375" style="267"/>
    <col min="16377" max="16384" width="8.77734375" style="267" customWidth="1"/>
  </cols>
  <sheetData>
    <row r="1" spans="1:11" s="505" customFormat="1" ht="20.25">
      <c r="A1" s="589" t="str">
        <f>'P1 ADIT 190 &amp; 282'!A1</f>
        <v>Duke Energy Ohio and Duke Energy Kentucky</v>
      </c>
      <c r="B1" s="589"/>
      <c r="C1" s="589"/>
      <c r="D1" s="589"/>
      <c r="E1" s="589"/>
      <c r="F1" s="589"/>
      <c r="G1" s="589"/>
      <c r="H1" s="589"/>
      <c r="I1" s="589"/>
    </row>
    <row r="2" spans="1:11" s="505" customFormat="1" ht="15">
      <c r="A2" s="1038"/>
      <c r="B2" s="1038"/>
      <c r="C2" s="1038"/>
      <c r="D2" s="1038"/>
      <c r="E2" s="1038"/>
      <c r="F2" s="1038"/>
      <c r="G2" s="1038"/>
      <c r="H2" s="1038"/>
      <c r="I2" s="1038"/>
    </row>
    <row r="3" spans="1:11" s="505" customFormat="1" ht="15">
      <c r="A3" s="757"/>
      <c r="B3" s="757"/>
      <c r="C3" s="757"/>
      <c r="D3" s="757"/>
      <c r="E3" s="757"/>
      <c r="F3" s="757"/>
      <c r="G3" s="757"/>
      <c r="H3" s="757"/>
      <c r="I3" s="556" t="s">
        <v>547</v>
      </c>
    </row>
    <row r="4" spans="1:11" s="505" customFormat="1" ht="15">
      <c r="A4" s="757"/>
      <c r="B4" s="757"/>
      <c r="C4" s="757"/>
      <c r="D4" s="757"/>
      <c r="E4" s="757"/>
      <c r="F4" s="757"/>
      <c r="G4" s="757"/>
      <c r="H4" s="757"/>
      <c r="I4" s="774" t="str">
        <f>"Page 9 of "&amp;Workpaper</f>
        <v>Page 9 of 11</v>
      </c>
    </row>
    <row r="5" spans="1:11" ht="15">
      <c r="D5" s="270"/>
      <c r="I5" s="556" t="str">
        <f>'DE Ohio &amp; Kentucky'!$J$124</f>
        <v>For the 12 months ended: 12/31/2015</v>
      </c>
    </row>
    <row r="6" spans="1:11">
      <c r="A6" s="542" t="s">
        <v>9</v>
      </c>
      <c r="B6" s="542"/>
      <c r="C6" s="542"/>
      <c r="D6" s="542"/>
      <c r="E6" s="542"/>
      <c r="F6" s="542"/>
      <c r="G6" s="542"/>
      <c r="H6" s="542"/>
      <c r="I6" s="542"/>
    </row>
    <row r="7" spans="1:11">
      <c r="A7" s="542" t="s">
        <v>10</v>
      </c>
      <c r="B7" s="542"/>
      <c r="C7" s="542"/>
      <c r="D7" s="542"/>
      <c r="E7" s="542"/>
      <c r="F7" s="542"/>
      <c r="G7" s="542"/>
      <c r="H7" s="542"/>
      <c r="I7" s="542"/>
    </row>
    <row r="8" spans="1:11">
      <c r="A8" s="543" t="s">
        <v>844</v>
      </c>
      <c r="B8" s="543"/>
      <c r="C8" s="543"/>
      <c r="D8" s="543"/>
      <c r="E8" s="543"/>
      <c r="F8" s="543"/>
      <c r="G8" s="543"/>
      <c r="H8" s="543"/>
      <c r="I8" s="543"/>
    </row>
    <row r="9" spans="1:11">
      <c r="A9" s="544" t="s">
        <v>313</v>
      </c>
      <c r="B9" s="544"/>
      <c r="C9" s="544"/>
      <c r="D9" s="544"/>
      <c r="E9" s="544"/>
      <c r="F9" s="544"/>
      <c r="G9" s="544"/>
      <c r="H9" s="544"/>
      <c r="I9" s="544"/>
    </row>
    <row r="10" spans="1:11">
      <c r="A10" s="269"/>
      <c r="B10" s="269"/>
      <c r="C10" s="269"/>
      <c r="D10" s="269"/>
      <c r="E10" s="269"/>
      <c r="F10" s="269"/>
      <c r="G10" s="269"/>
      <c r="H10" s="269"/>
      <c r="I10" s="269"/>
    </row>
    <row r="11" spans="1:11" ht="15">
      <c r="A11" s="901"/>
      <c r="B11" s="995" t="s">
        <v>815</v>
      </c>
      <c r="C11" s="990"/>
      <c r="D11" s="990"/>
      <c r="E11" s="993"/>
      <c r="F11" s="994"/>
      <c r="G11" s="994"/>
      <c r="H11" s="995" t="s">
        <v>816</v>
      </c>
      <c r="I11" s="990"/>
      <c r="J11" s="993"/>
      <c r="K11" s="990"/>
    </row>
    <row r="12" spans="1:11" ht="15">
      <c r="A12" s="901"/>
      <c r="B12" s="995" t="s">
        <v>818</v>
      </c>
      <c r="C12" s="994"/>
      <c r="D12" s="993" t="s">
        <v>817</v>
      </c>
      <c r="F12" s="997" t="s">
        <v>817</v>
      </c>
      <c r="G12" s="994"/>
      <c r="H12" s="995" t="s">
        <v>10</v>
      </c>
      <c r="I12" s="990"/>
      <c r="J12" s="993"/>
      <c r="K12" s="994"/>
    </row>
    <row r="13" spans="1:11" ht="15">
      <c r="A13" s="901"/>
      <c r="B13" s="996" t="s">
        <v>819</v>
      </c>
      <c r="C13" s="991" t="s">
        <v>820</v>
      </c>
      <c r="D13" s="991" t="s">
        <v>314</v>
      </c>
      <c r="F13" s="992" t="s">
        <v>849</v>
      </c>
      <c r="G13" s="994"/>
      <c r="H13" s="996" t="s">
        <v>819</v>
      </c>
      <c r="I13" s="1004" t="s">
        <v>820</v>
      </c>
      <c r="J13" s="994"/>
    </row>
    <row r="14" spans="1:11">
      <c r="A14" s="901"/>
      <c r="B14" s="901"/>
      <c r="C14" s="902"/>
      <c r="D14" s="901" t="s">
        <v>12</v>
      </c>
      <c r="E14" s="901"/>
      <c r="F14" s="901"/>
      <c r="G14" s="901"/>
      <c r="H14" s="901"/>
      <c r="I14" s="901"/>
    </row>
    <row r="15" spans="1:11">
      <c r="A15" s="901" t="s">
        <v>316</v>
      </c>
      <c r="B15" s="901"/>
      <c r="C15" s="902"/>
      <c r="D15" s="901"/>
      <c r="E15" s="901"/>
      <c r="F15" s="901"/>
      <c r="G15" s="901"/>
      <c r="H15" s="901"/>
      <c r="I15" s="901"/>
    </row>
    <row r="16" spans="1:11">
      <c r="A16" s="901"/>
      <c r="B16" s="557"/>
      <c r="C16" s="902"/>
      <c r="D16" s="557"/>
      <c r="E16" s="901"/>
      <c r="F16" s="901"/>
      <c r="G16" s="901"/>
      <c r="H16" s="901"/>
      <c r="I16" s="901"/>
      <c r="J16" s="901"/>
    </row>
    <row r="17" spans="1:10">
      <c r="A17" s="985" t="s">
        <v>667</v>
      </c>
      <c r="B17" s="557">
        <v>105618013</v>
      </c>
      <c r="C17" s="902"/>
      <c r="D17" s="901"/>
      <c r="E17" s="901"/>
      <c r="F17" s="901"/>
      <c r="G17" s="901"/>
      <c r="H17" s="903">
        <f>B17-D17-F17</f>
        <v>105618013</v>
      </c>
      <c r="I17" s="901"/>
      <c r="J17" s="901"/>
    </row>
    <row r="18" spans="1:10" ht="15">
      <c r="A18" s="984"/>
      <c r="B18" s="901"/>
      <c r="C18" s="902"/>
      <c r="D18" s="901"/>
      <c r="E18" s="901"/>
      <c r="F18" s="901"/>
      <c r="G18" s="901"/>
      <c r="H18" s="901"/>
      <c r="I18" s="901"/>
      <c r="J18" s="901"/>
    </row>
    <row r="19" spans="1:10">
      <c r="A19" s="985" t="s">
        <v>317</v>
      </c>
      <c r="B19" s="557"/>
      <c r="C19" s="559"/>
      <c r="D19" s="557"/>
      <c r="E19" s="558"/>
      <c r="F19" s="557"/>
      <c r="G19" s="557"/>
      <c r="H19" s="557"/>
      <c r="I19" s="558"/>
      <c r="J19" s="901"/>
    </row>
    <row r="20" spans="1:10">
      <c r="A20" s="985" t="s">
        <v>821</v>
      </c>
      <c r="B20" s="560">
        <v>1466915671</v>
      </c>
      <c r="C20" s="559"/>
      <c r="D20" s="560"/>
      <c r="E20" s="561"/>
      <c r="F20" s="560"/>
      <c r="G20" s="560"/>
      <c r="H20" s="571">
        <f>B20-D20-F20</f>
        <v>1466915671</v>
      </c>
      <c r="I20" s="561"/>
      <c r="J20" s="901"/>
    </row>
    <row r="21" spans="1:10" s="901" customFormat="1">
      <c r="A21" s="985" t="s">
        <v>848</v>
      </c>
      <c r="B21" s="560">
        <v>25000000</v>
      </c>
      <c r="C21" s="559"/>
      <c r="D21" s="560"/>
      <c r="E21" s="561"/>
      <c r="F21" s="560"/>
      <c r="G21" s="560"/>
      <c r="H21" s="571">
        <f>B21-D21-F21</f>
        <v>25000000</v>
      </c>
      <c r="I21" s="561"/>
    </row>
    <row r="22" spans="1:10">
      <c r="A22" s="985" t="s">
        <v>822</v>
      </c>
      <c r="B22" s="560">
        <v>-5247799</v>
      </c>
      <c r="C22" s="559"/>
      <c r="D22" s="560"/>
      <c r="E22" s="561"/>
      <c r="F22" s="560"/>
      <c r="G22" s="560"/>
      <c r="H22" s="571">
        <f>B22-D22-F22</f>
        <v>-5247799</v>
      </c>
      <c r="I22" s="561"/>
      <c r="J22" s="901"/>
    </row>
    <row r="23" spans="1:10">
      <c r="A23" s="985" t="s">
        <v>823</v>
      </c>
      <c r="B23" s="562">
        <v>321501</v>
      </c>
      <c r="C23" s="559"/>
      <c r="D23" s="562"/>
      <c r="E23" s="561"/>
      <c r="F23" s="562"/>
      <c r="G23" s="563"/>
      <c r="H23" s="982">
        <f>B23-D23-F23</f>
        <v>321501</v>
      </c>
      <c r="I23" s="561"/>
      <c r="J23" s="901"/>
    </row>
    <row r="24" spans="1:10" s="270" customFormat="1" ht="15">
      <c r="A24" s="986" t="s">
        <v>668</v>
      </c>
      <c r="B24" s="564">
        <f>SUM(B19:B23)</f>
        <v>1486989373</v>
      </c>
      <c r="C24" s="271">
        <f>B24/B49</f>
        <v>0.34730053028977587</v>
      </c>
      <c r="D24" s="998">
        <f>SUM(D19:D23)</f>
        <v>0</v>
      </c>
      <c r="E24" s="998"/>
      <c r="F24" s="998">
        <f>SUM(F19:F23)</f>
        <v>0</v>
      </c>
      <c r="G24" s="564"/>
      <c r="H24" s="564">
        <f>SUM(H19:H23)</f>
        <v>1486989373</v>
      </c>
      <c r="I24" s="271">
        <f>H24/H49</f>
        <v>0.44113038878102606</v>
      </c>
      <c r="J24" s="271"/>
    </row>
    <row r="25" spans="1:10">
      <c r="A25" s="985"/>
      <c r="B25" s="565"/>
      <c r="C25" s="566"/>
      <c r="D25" s="1001"/>
      <c r="E25" s="1001"/>
      <c r="F25" s="1001"/>
      <c r="G25" s="565"/>
      <c r="H25" s="565"/>
      <c r="I25" s="566"/>
      <c r="J25" s="901"/>
    </row>
    <row r="26" spans="1:10" ht="15">
      <c r="A26" s="986" t="s">
        <v>669</v>
      </c>
      <c r="B26" s="564">
        <f>B24+B17</f>
        <v>1592607386</v>
      </c>
      <c r="C26" s="271">
        <f>B26/B50</f>
        <v>0.3630137658589912</v>
      </c>
      <c r="D26" s="564">
        <f>D24+D17</f>
        <v>0</v>
      </c>
      <c r="E26" s="1001"/>
      <c r="F26" s="564">
        <f>F24+F17</f>
        <v>0</v>
      </c>
      <c r="G26" s="565"/>
      <c r="H26" s="564">
        <f>H24+H17</f>
        <v>1592607386</v>
      </c>
      <c r="I26" s="271">
        <f>H26/H50</f>
        <v>0.45810926076226555</v>
      </c>
      <c r="J26" s="271"/>
    </row>
    <row r="27" spans="1:10" s="270" customFormat="1" ht="21" customHeight="1">
      <c r="A27" s="985" t="s">
        <v>318</v>
      </c>
      <c r="B27" s="567"/>
      <c r="C27" s="568"/>
      <c r="D27" s="567"/>
      <c r="E27" s="567"/>
      <c r="F27" s="567"/>
      <c r="G27" s="567"/>
      <c r="H27" s="567"/>
      <c r="I27" s="567"/>
    </row>
    <row r="28" spans="1:10">
      <c r="A28" s="985" t="s">
        <v>824</v>
      </c>
      <c r="B28" s="557">
        <v>762136231</v>
      </c>
      <c r="C28" s="559"/>
      <c r="D28" s="557"/>
      <c r="E28" s="558"/>
      <c r="F28" s="557">
        <v>0</v>
      </c>
      <c r="G28" s="557"/>
      <c r="H28" s="903">
        <f>B28-D28-F28</f>
        <v>762136231</v>
      </c>
      <c r="I28" s="558"/>
      <c r="J28" s="901"/>
    </row>
    <row r="29" spans="1:10" ht="15">
      <c r="A29" s="984"/>
      <c r="B29" s="557"/>
      <c r="C29" s="559"/>
      <c r="D29" s="557"/>
      <c r="E29" s="558"/>
      <c r="F29" s="557"/>
      <c r="G29" s="557"/>
      <c r="H29" s="557"/>
      <c r="I29" s="558"/>
      <c r="J29" s="901"/>
    </row>
    <row r="30" spans="1:10">
      <c r="A30" s="985" t="s">
        <v>825</v>
      </c>
      <c r="B30" s="569">
        <v>0</v>
      </c>
      <c r="C30" s="559"/>
      <c r="D30" s="569"/>
      <c r="E30" s="570"/>
      <c r="F30" s="569"/>
      <c r="G30" s="569"/>
      <c r="H30" s="571">
        <f>B30-D30-F30</f>
        <v>0</v>
      </c>
      <c r="I30" s="570"/>
      <c r="J30" s="901"/>
    </row>
    <row r="31" spans="1:10">
      <c r="A31" s="985" t="s">
        <v>826</v>
      </c>
      <c r="B31" s="569">
        <v>28950000</v>
      </c>
      <c r="C31" s="559"/>
      <c r="D31" s="569"/>
      <c r="E31" s="570"/>
      <c r="F31" s="569">
        <v>0</v>
      </c>
      <c r="G31" s="569"/>
      <c r="H31" s="571">
        <f t="shared" ref="H31:H39" si="0">B31-D31-F31</f>
        <v>28950000</v>
      </c>
      <c r="I31" s="570"/>
      <c r="J31" s="901"/>
    </row>
    <row r="32" spans="1:10">
      <c r="A32" s="985" t="s">
        <v>827</v>
      </c>
      <c r="B32" s="569">
        <v>1462336840</v>
      </c>
      <c r="C32" s="559"/>
      <c r="D32" s="569"/>
      <c r="E32" s="570"/>
      <c r="F32" s="569">
        <v>1462336840</v>
      </c>
      <c r="G32" s="569"/>
      <c r="H32" s="571">
        <f t="shared" si="0"/>
        <v>0</v>
      </c>
      <c r="I32" s="570"/>
      <c r="J32" s="902"/>
    </row>
    <row r="33" spans="1:10">
      <c r="A33" s="985" t="s">
        <v>828</v>
      </c>
      <c r="B33" s="569">
        <v>15641578</v>
      </c>
      <c r="C33" s="559"/>
      <c r="D33" s="569"/>
      <c r="E33" s="570"/>
      <c r="F33" s="569">
        <v>0</v>
      </c>
      <c r="G33" s="569"/>
      <c r="H33" s="571">
        <f t="shared" si="0"/>
        <v>15641578</v>
      </c>
      <c r="I33" s="570"/>
      <c r="J33" s="902"/>
    </row>
    <row r="34" spans="1:10">
      <c r="A34" s="985" t="s">
        <v>829</v>
      </c>
      <c r="B34" s="569">
        <v>0</v>
      </c>
      <c r="C34" s="559"/>
      <c r="D34" s="569"/>
      <c r="E34" s="570"/>
      <c r="F34" s="569">
        <v>0</v>
      </c>
      <c r="G34" s="569"/>
      <c r="H34" s="571">
        <f t="shared" si="0"/>
        <v>0</v>
      </c>
      <c r="I34" s="570"/>
      <c r="J34" s="902"/>
    </row>
    <row r="35" spans="1:10">
      <c r="A35" s="985" t="s">
        <v>830</v>
      </c>
      <c r="B35" s="569">
        <v>-1955982307</v>
      </c>
      <c r="C35" s="559"/>
      <c r="D35" s="569"/>
      <c r="E35" s="570"/>
      <c r="F35" s="569">
        <v>-1165097</v>
      </c>
      <c r="G35" s="569"/>
      <c r="H35" s="571">
        <f t="shared" si="0"/>
        <v>-1954817210</v>
      </c>
      <c r="I35" s="570"/>
      <c r="J35" s="902"/>
    </row>
    <row r="36" spans="1:10">
      <c r="A36" s="985" t="s">
        <v>831</v>
      </c>
      <c r="B36" s="569">
        <v>943842010</v>
      </c>
      <c r="C36" s="559"/>
      <c r="D36" s="569">
        <v>919950972</v>
      </c>
      <c r="E36" s="572" t="s">
        <v>24</v>
      </c>
      <c r="F36" s="569">
        <v>0</v>
      </c>
      <c r="G36" s="569"/>
      <c r="H36" s="571">
        <f t="shared" si="0"/>
        <v>23891038</v>
      </c>
      <c r="I36" s="570"/>
      <c r="J36" s="902"/>
    </row>
    <row r="37" spans="1:10">
      <c r="A37" s="985" t="s">
        <v>832</v>
      </c>
      <c r="B37" s="569">
        <v>557581098</v>
      </c>
      <c r="C37" s="559"/>
      <c r="D37" s="569"/>
      <c r="E37" s="570"/>
      <c r="F37" s="569">
        <v>0</v>
      </c>
      <c r="G37" s="569"/>
      <c r="H37" s="571">
        <f t="shared" si="0"/>
        <v>557581098</v>
      </c>
      <c r="I37" s="570"/>
      <c r="J37" s="902"/>
    </row>
    <row r="38" spans="1:10">
      <c r="A38" s="985" t="s">
        <v>833</v>
      </c>
      <c r="B38" s="569">
        <v>0</v>
      </c>
      <c r="C38" s="559"/>
      <c r="D38" s="569"/>
      <c r="E38" s="570"/>
      <c r="F38" s="569">
        <v>0</v>
      </c>
      <c r="G38" s="569"/>
      <c r="H38" s="571">
        <f t="shared" si="0"/>
        <v>0</v>
      </c>
      <c r="I38" s="570"/>
      <c r="J38" s="989"/>
    </row>
    <row r="39" spans="1:10" ht="23.25" customHeight="1">
      <c r="A39" s="985" t="s">
        <v>834</v>
      </c>
      <c r="B39" s="569">
        <v>1667546493</v>
      </c>
      <c r="C39" s="559"/>
      <c r="D39" s="569"/>
      <c r="E39" s="570"/>
      <c r="F39" s="569">
        <v>0</v>
      </c>
      <c r="G39" s="569"/>
      <c r="H39" s="571">
        <f t="shared" si="0"/>
        <v>1667546493</v>
      </c>
      <c r="I39" s="570"/>
      <c r="J39" s="989"/>
    </row>
    <row r="40" spans="1:10" ht="15">
      <c r="A40" s="984"/>
      <c r="B40" s="569"/>
      <c r="C40" s="559"/>
      <c r="D40" s="569"/>
      <c r="E40" s="570"/>
      <c r="F40" s="569"/>
      <c r="G40" s="569"/>
      <c r="H40" s="571"/>
      <c r="I40" s="570"/>
      <c r="J40" s="902"/>
    </row>
    <row r="41" spans="1:10">
      <c r="A41" s="985" t="s">
        <v>835</v>
      </c>
      <c r="B41" s="569">
        <v>226871106</v>
      </c>
      <c r="C41" s="559"/>
      <c r="D41" s="569"/>
      <c r="E41" s="570"/>
      <c r="F41" s="569">
        <v>-15942812</v>
      </c>
      <c r="G41" s="569"/>
      <c r="H41" s="571">
        <f>B41-D41-F41</f>
        <v>242813918</v>
      </c>
      <c r="I41" s="570"/>
      <c r="J41" s="902"/>
    </row>
    <row r="42" spans="1:10">
      <c r="A42" s="985" t="s">
        <v>836</v>
      </c>
      <c r="B42" s="569">
        <v>-1084860262</v>
      </c>
      <c r="C42" s="559"/>
      <c r="D42" s="569"/>
      <c r="E42" s="570"/>
      <c r="F42" s="569">
        <v>-1454433122</v>
      </c>
      <c r="G42" s="569"/>
      <c r="H42" s="571">
        <f>B42-D42-F42</f>
        <v>369572860</v>
      </c>
      <c r="I42" s="570"/>
      <c r="J42" s="902"/>
    </row>
    <row r="43" spans="1:10">
      <c r="A43" s="985" t="s">
        <v>837</v>
      </c>
      <c r="B43" s="569">
        <v>0</v>
      </c>
      <c r="C43" s="559"/>
      <c r="D43" s="569"/>
      <c r="F43" s="573">
        <v>0</v>
      </c>
      <c r="G43" s="573"/>
      <c r="H43" s="571">
        <f>B43-D43-F43</f>
        <v>0</v>
      </c>
      <c r="I43" s="572"/>
      <c r="J43" s="902"/>
    </row>
    <row r="44" spans="1:10">
      <c r="A44" s="985" t="s">
        <v>838</v>
      </c>
      <c r="B44" s="569">
        <v>170511621</v>
      </c>
      <c r="C44" s="559"/>
      <c r="D44" s="569"/>
      <c r="E44" s="571"/>
      <c r="F44" s="573">
        <v>-44335</v>
      </c>
      <c r="G44" s="573"/>
      <c r="H44" s="571">
        <f>B44-D44-F44</f>
        <v>170555956</v>
      </c>
      <c r="I44" s="571"/>
      <c r="J44" s="902"/>
    </row>
    <row r="45" spans="1:10">
      <c r="A45" s="985" t="s">
        <v>839</v>
      </c>
      <c r="B45" s="569">
        <v>4</v>
      </c>
      <c r="C45" s="559"/>
      <c r="D45" s="569"/>
      <c r="E45" s="574"/>
      <c r="F45" s="575">
        <v>0</v>
      </c>
      <c r="G45" s="575"/>
      <c r="H45" s="571">
        <f>B45-D45-F45</f>
        <v>4</v>
      </c>
      <c r="I45" s="574"/>
      <c r="J45" s="902"/>
    </row>
    <row r="46" spans="1:10" ht="15.75" thickBot="1">
      <c r="A46" s="986" t="s">
        <v>319</v>
      </c>
      <c r="B46" s="1000">
        <f>SUM(B28:B45)</f>
        <v>2794574412</v>
      </c>
      <c r="C46" s="1002">
        <f>B46/B49</f>
        <v>0.65269946971022408</v>
      </c>
      <c r="D46" s="1003">
        <f>SUM(D28:D45)</f>
        <v>919950972</v>
      </c>
      <c r="E46" s="576"/>
      <c r="F46" s="1003">
        <f>SUM(F28:F45)</f>
        <v>-9248526</v>
      </c>
      <c r="G46" s="573"/>
      <c r="H46" s="1003">
        <f>SUM(H28:H45)</f>
        <v>1883871966</v>
      </c>
      <c r="I46" s="1002">
        <f>H46/H49</f>
        <v>0.55886961121897394</v>
      </c>
      <c r="J46" s="902"/>
    </row>
    <row r="47" spans="1:10" ht="15.75" thickTop="1">
      <c r="A47" s="987" t="s">
        <v>840</v>
      </c>
      <c r="B47" s="575"/>
      <c r="C47" s="1002">
        <f>B46/B50</f>
        <v>0.63698623414100886</v>
      </c>
      <c r="D47" s="575"/>
      <c r="E47" s="574"/>
      <c r="F47" s="575"/>
      <c r="G47" s="575"/>
      <c r="H47" s="575"/>
      <c r="I47" s="1002">
        <f>H46/H50</f>
        <v>0.54189073923773445</v>
      </c>
      <c r="J47" s="902"/>
    </row>
    <row r="48" spans="1:10" s="902" customFormat="1" ht="15">
      <c r="A48" s="999"/>
      <c r="B48" s="577"/>
      <c r="C48" s="983"/>
      <c r="D48" s="577"/>
      <c r="E48" s="577"/>
      <c r="F48" s="577"/>
      <c r="G48" s="577"/>
      <c r="H48" s="577"/>
      <c r="I48" s="577"/>
      <c r="J48" s="983"/>
    </row>
    <row r="49" spans="1:10" ht="15">
      <c r="A49" s="986" t="s">
        <v>841</v>
      </c>
      <c r="B49" s="564">
        <f>+B46+B24</f>
        <v>4281563785</v>
      </c>
      <c r="C49" s="566"/>
      <c r="D49" s="564">
        <f>+D46+D24</f>
        <v>919950972</v>
      </c>
      <c r="E49" s="566"/>
      <c r="F49" s="564">
        <f>+F46+F24</f>
        <v>-9248526</v>
      </c>
      <c r="G49" s="566"/>
      <c r="H49" s="564">
        <f>+H46+H24</f>
        <v>3370861339</v>
      </c>
      <c r="I49" s="566"/>
      <c r="J49" s="902"/>
    </row>
    <row r="50" spans="1:10" ht="15">
      <c r="A50" s="986" t="s">
        <v>842</v>
      </c>
      <c r="B50" s="564">
        <f>+B46+B26</f>
        <v>4387181798</v>
      </c>
      <c r="C50" s="577"/>
      <c r="D50" s="564">
        <f>+D46+D26</f>
        <v>919950972</v>
      </c>
      <c r="E50" s="577"/>
      <c r="F50" s="564">
        <f>+F46+F26</f>
        <v>-9248526</v>
      </c>
      <c r="G50" s="564"/>
      <c r="H50" s="564">
        <f>+H46+H26</f>
        <v>3476479352</v>
      </c>
      <c r="I50" s="577"/>
      <c r="J50" s="902"/>
    </row>
    <row r="51" spans="1:10" ht="15">
      <c r="A51" s="986"/>
      <c r="B51" s="902"/>
      <c r="C51" s="902"/>
      <c r="D51" s="903"/>
      <c r="E51" s="903"/>
      <c r="F51" s="903"/>
      <c r="G51" s="903"/>
      <c r="H51" s="903"/>
      <c r="I51" s="903"/>
      <c r="J51" s="902"/>
    </row>
    <row r="52" spans="1:10">
      <c r="A52" s="985"/>
      <c r="B52" s="902"/>
      <c r="C52" s="902"/>
      <c r="D52" s="901"/>
      <c r="E52" s="901"/>
      <c r="F52" s="901"/>
      <c r="G52" s="901"/>
      <c r="H52" s="901"/>
      <c r="I52" s="901"/>
      <c r="J52" s="902"/>
    </row>
    <row r="53" spans="1:10">
      <c r="A53" s="985" t="s">
        <v>196</v>
      </c>
      <c r="B53" s="693"/>
      <c r="C53" s="902"/>
      <c r="D53" s="901"/>
      <c r="E53" s="901"/>
      <c r="F53" s="901"/>
      <c r="G53" s="901"/>
      <c r="H53" s="901"/>
      <c r="I53" s="901"/>
      <c r="J53" s="902"/>
    </row>
    <row r="54" spans="1:10">
      <c r="A54" s="985" t="s">
        <v>843</v>
      </c>
      <c r="B54" s="901"/>
      <c r="C54" s="902"/>
      <c r="D54" s="901"/>
      <c r="E54" s="901"/>
      <c r="F54" s="901"/>
      <c r="G54" s="900"/>
      <c r="H54" s="901"/>
      <c r="I54" s="901"/>
      <c r="J54" s="902"/>
    </row>
    <row r="55" spans="1:10" s="901" customFormat="1">
      <c r="A55" s="988"/>
      <c r="C55" s="902"/>
    </row>
    <row r="56" spans="1:10" s="901" customFormat="1">
      <c r="A56" s="988"/>
      <c r="C56" s="902"/>
    </row>
  </sheetData>
  <mergeCells count="1">
    <mergeCell ref="A2:I2"/>
  </mergeCells>
  <phoneticPr fontId="36" type="noConversion"/>
  <pageMargins left="0.5" right="0.5" top="1" bottom="1" header="0.5" footer="0.5"/>
  <pageSetup scale="55" orientation="landscape" blackAndWhite="1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 enableFormatConditionsCalculation="0">
    <tabColor theme="1"/>
    <pageSetUpPr fitToPage="1"/>
  </sheetPr>
  <dimension ref="A1:Q24"/>
  <sheetViews>
    <sheetView zoomScaleNormal="100" zoomScaleSheetLayoutView="85" workbookViewId="0"/>
  </sheetViews>
  <sheetFormatPr defaultColWidth="7.109375" defaultRowHeight="12.75"/>
  <cols>
    <col min="1" max="1" width="37.109375" style="86" customWidth="1"/>
    <col min="2" max="13" width="8.5546875" style="86" bestFit="1" customWidth="1"/>
    <col min="14" max="14" width="9.21875" style="86" bestFit="1" customWidth="1"/>
    <col min="15" max="15" width="8.44140625" style="86" bestFit="1" customWidth="1"/>
    <col min="16" max="16384" width="7.109375" style="86"/>
  </cols>
  <sheetData>
    <row r="1" spans="1:17" ht="15.75">
      <c r="A1" s="518" t="str">
        <f>'P1 ADIT 190 &amp; 282'!A1</f>
        <v>Duke Energy Ohio and Duke Energy Kentucky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</row>
    <row r="2" spans="1:17" ht="15.75">
      <c r="A2" s="97"/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Q2" s="475"/>
    </row>
    <row r="3" spans="1:17" ht="15.75">
      <c r="A3" s="97"/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250" t="s">
        <v>547</v>
      </c>
      <c r="Q3" s="475"/>
    </row>
    <row r="4" spans="1:17" ht="15.75">
      <c r="A4" s="97"/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759" t="str">
        <f>"Page 10 of "&amp;Workpaper</f>
        <v>Page 10 of 11</v>
      </c>
      <c r="Q4" s="475"/>
    </row>
    <row r="5" spans="1:17" ht="15.75">
      <c r="A5" s="97"/>
      <c r="B5" s="97"/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250" t="str">
        <f>'DE Ohio &amp; Kentucky'!$J$124</f>
        <v>For the 12 months ended: 12/31/2015</v>
      </c>
    </row>
    <row r="7" spans="1:17">
      <c r="A7" s="98" t="str">
        <f>CONCATENATE(TEXT(RIGHT('DE Ohio &amp; Kentucky'!J7,10),"YYYY")," MONTHLY PEAKS IN KILOWATTS")</f>
        <v>2015 MONTHLY PEAKS IN KILOWATTS</v>
      </c>
      <c r="B7" s="98"/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</row>
    <row r="8" spans="1:17">
      <c r="A8" s="87"/>
      <c r="B8" s="87"/>
      <c r="C8" s="87"/>
      <c r="D8" s="87"/>
      <c r="E8" s="87"/>
      <c r="F8" s="87"/>
      <c r="G8" s="87"/>
      <c r="H8" s="87"/>
      <c r="I8" s="87"/>
      <c r="J8" s="87"/>
      <c r="K8" s="87"/>
      <c r="L8" s="87"/>
      <c r="M8" s="87"/>
    </row>
    <row r="9" spans="1:17">
      <c r="A9" s="87"/>
      <c r="B9" s="87"/>
      <c r="C9" s="87"/>
      <c r="D9" s="87"/>
      <c r="E9" s="87"/>
      <c r="F9" s="87"/>
      <c r="G9" s="87"/>
      <c r="H9" s="87"/>
      <c r="I9" s="87"/>
      <c r="J9" s="87"/>
      <c r="K9" s="87"/>
      <c r="L9" s="87"/>
      <c r="M9" s="87"/>
    </row>
    <row r="11" spans="1:17" ht="15">
      <c r="B11" s="88" t="s">
        <v>188</v>
      </c>
      <c r="C11" s="88" t="s">
        <v>189</v>
      </c>
      <c r="D11" s="88" t="s">
        <v>190</v>
      </c>
      <c r="E11" s="88" t="s">
        <v>191</v>
      </c>
      <c r="F11" s="88" t="s">
        <v>326</v>
      </c>
      <c r="G11" s="88" t="s">
        <v>192</v>
      </c>
      <c r="H11" s="88" t="s">
        <v>327</v>
      </c>
      <c r="I11" s="88" t="s">
        <v>193</v>
      </c>
      <c r="J11" s="88" t="s">
        <v>328</v>
      </c>
      <c r="K11" s="88" t="s">
        <v>329</v>
      </c>
      <c r="L11" s="88" t="s">
        <v>330</v>
      </c>
      <c r="M11" s="88" t="s">
        <v>194</v>
      </c>
      <c r="N11" s="88" t="s">
        <v>17</v>
      </c>
      <c r="O11" s="88" t="s">
        <v>195</v>
      </c>
    </row>
    <row r="12" spans="1:17" ht="15">
      <c r="B12" s="88"/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</row>
    <row r="13" spans="1:17">
      <c r="A13" s="687" t="s">
        <v>474</v>
      </c>
      <c r="B13" s="980">
        <v>4062000</v>
      </c>
      <c r="C13" s="980">
        <v>4240000</v>
      </c>
      <c r="D13" s="980">
        <v>3531000</v>
      </c>
      <c r="E13" s="980">
        <v>3162000</v>
      </c>
      <c r="F13" s="980">
        <v>4245000</v>
      </c>
      <c r="G13" s="980">
        <v>4884000</v>
      </c>
      <c r="H13" s="980">
        <v>5121000</v>
      </c>
      <c r="I13" s="980">
        <v>4746000</v>
      </c>
      <c r="J13" s="980">
        <v>5015000</v>
      </c>
      <c r="K13" s="980">
        <v>3522000</v>
      </c>
      <c r="L13" s="980">
        <v>3519000</v>
      </c>
      <c r="M13" s="980">
        <v>3652000</v>
      </c>
      <c r="N13" s="89">
        <f>SUM(B13:M13)</f>
        <v>49699000</v>
      </c>
      <c r="O13" s="89">
        <f>ROUND(N13/12,0)</f>
        <v>4141583</v>
      </c>
    </row>
    <row r="14" spans="1:17">
      <c r="B14" s="89"/>
      <c r="C14" s="89"/>
      <c r="D14" s="89"/>
      <c r="E14" s="89"/>
      <c r="F14" s="89"/>
      <c r="G14" s="89"/>
      <c r="H14" s="89"/>
      <c r="I14" s="89"/>
      <c r="J14" s="89"/>
      <c r="K14" s="89"/>
      <c r="L14" s="89"/>
      <c r="M14" s="89"/>
      <c r="N14" s="89"/>
      <c r="O14" s="89"/>
    </row>
    <row r="15" spans="1:17">
      <c r="A15" s="288" t="s">
        <v>493</v>
      </c>
      <c r="B15" s="89"/>
      <c r="C15" s="89"/>
      <c r="D15" s="89"/>
      <c r="E15" s="89"/>
      <c r="F15" s="89"/>
      <c r="G15" s="89"/>
      <c r="H15" s="89"/>
      <c r="I15" s="89"/>
      <c r="J15" s="89"/>
      <c r="K15" s="89"/>
      <c r="L15" s="89"/>
      <c r="M15" s="89"/>
      <c r="N15" s="89"/>
      <c r="O15" s="89"/>
    </row>
    <row r="16" spans="1:17">
      <c r="A16" s="210" t="s">
        <v>554</v>
      </c>
      <c r="B16" s="981">
        <v>785000</v>
      </c>
      <c r="C16" s="981">
        <v>799000</v>
      </c>
      <c r="D16" s="981">
        <v>714000</v>
      </c>
      <c r="E16" s="981">
        <v>515000</v>
      </c>
      <c r="F16" s="981">
        <v>683000</v>
      </c>
      <c r="G16" s="981">
        <v>778000</v>
      </c>
      <c r="H16" s="981">
        <v>816000</v>
      </c>
      <c r="I16" s="981">
        <v>746000</v>
      </c>
      <c r="J16" s="981">
        <v>773000</v>
      </c>
      <c r="K16" s="981">
        <v>554000</v>
      </c>
      <c r="L16" s="981">
        <v>588000</v>
      </c>
      <c r="M16" s="981">
        <v>544000</v>
      </c>
      <c r="N16" s="89">
        <f>SUM(B16:M16)</f>
        <v>8295000</v>
      </c>
      <c r="O16" s="89">
        <f>ROUND(N16/12,0)</f>
        <v>691250</v>
      </c>
    </row>
    <row r="17" spans="1:17">
      <c r="B17" s="89"/>
      <c r="C17" s="89"/>
      <c r="D17" s="89"/>
      <c r="E17" s="89"/>
      <c r="F17" s="89"/>
      <c r="G17" s="89"/>
      <c r="H17" s="89"/>
      <c r="I17" s="89"/>
      <c r="J17" s="89"/>
      <c r="K17" s="89"/>
      <c r="L17" s="89"/>
      <c r="M17" s="89"/>
      <c r="N17" s="89"/>
      <c r="O17" s="89"/>
    </row>
    <row r="18" spans="1:17" ht="42" customHeight="1">
      <c r="A18" s="688" t="s">
        <v>475</v>
      </c>
      <c r="B18" s="90">
        <f>B13-B16</f>
        <v>3277000</v>
      </c>
      <c r="C18" s="90">
        <f t="shared" ref="C18:O18" si="0">C13-C16</f>
        <v>3441000</v>
      </c>
      <c r="D18" s="90">
        <f t="shared" si="0"/>
        <v>2817000</v>
      </c>
      <c r="E18" s="90">
        <f t="shared" si="0"/>
        <v>2647000</v>
      </c>
      <c r="F18" s="90">
        <f t="shared" si="0"/>
        <v>3562000</v>
      </c>
      <c r="G18" s="90">
        <f t="shared" si="0"/>
        <v>4106000</v>
      </c>
      <c r="H18" s="90">
        <f t="shared" si="0"/>
        <v>4305000</v>
      </c>
      <c r="I18" s="90">
        <f t="shared" si="0"/>
        <v>4000000</v>
      </c>
      <c r="J18" s="90">
        <f t="shared" si="0"/>
        <v>4242000</v>
      </c>
      <c r="K18" s="90">
        <f t="shared" si="0"/>
        <v>2968000</v>
      </c>
      <c r="L18" s="90">
        <f t="shared" si="0"/>
        <v>2931000</v>
      </c>
      <c r="M18" s="90">
        <f t="shared" si="0"/>
        <v>3108000</v>
      </c>
      <c r="N18" s="90">
        <f t="shared" si="0"/>
        <v>41404000</v>
      </c>
      <c r="O18" s="90">
        <f t="shared" si="0"/>
        <v>3450333</v>
      </c>
      <c r="Q18" s="288"/>
    </row>
    <row r="20" spans="1:17" ht="15">
      <c r="A20" s="545" t="s">
        <v>196</v>
      </c>
      <c r="B20" s="701"/>
      <c r="C20" s="702"/>
      <c r="D20" s="702"/>
      <c r="E20" s="702"/>
      <c r="F20" s="702"/>
      <c r="G20" s="702"/>
      <c r="H20" s="702"/>
      <c r="I20" s="702"/>
      <c r="J20" s="703"/>
      <c r="K20" s="703"/>
      <c r="L20" s="88"/>
      <c r="M20" s="88"/>
      <c r="N20" s="88"/>
      <c r="O20" s="88"/>
    </row>
    <row r="21" spans="1:17">
      <c r="A21" s="894" t="s">
        <v>704</v>
      </c>
      <c r="B21" s="545"/>
      <c r="C21" s="545"/>
      <c r="D21" s="545"/>
      <c r="E21" s="545"/>
      <c r="F21" s="545"/>
      <c r="G21" s="545"/>
      <c r="H21" s="545"/>
      <c r="I21" s="545"/>
      <c r="J21" s="545"/>
      <c r="K21" s="545"/>
    </row>
    <row r="22" spans="1:17">
      <c r="A22" s="893" t="s">
        <v>633</v>
      </c>
    </row>
    <row r="23" spans="1:17" ht="15">
      <c r="A23" s="65"/>
    </row>
    <row r="24" spans="1:17">
      <c r="A24" s="546"/>
      <c r="B24" s="545"/>
      <c r="C24" s="545"/>
      <c r="D24" s="545"/>
      <c r="E24" s="545"/>
      <c r="F24" s="545"/>
      <c r="G24" s="545"/>
      <c r="H24" s="545"/>
      <c r="I24" s="545"/>
      <c r="J24" s="545"/>
      <c r="K24" s="545"/>
      <c r="L24" s="545"/>
      <c r="M24" s="545"/>
    </row>
  </sheetData>
  <phoneticPr fontId="28" type="noConversion"/>
  <pageMargins left="0.75" right="0.5" top="1" bottom="0.5" header="0.25" footer="0.25"/>
  <pageSetup scale="66" fitToHeight="2" orientation="landscape" blackAndWhite="1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>
    <tabColor theme="1"/>
    <pageSetUpPr fitToPage="1"/>
  </sheetPr>
  <dimension ref="A1:E42"/>
  <sheetViews>
    <sheetView zoomScale="70" zoomScaleNormal="70" workbookViewId="0">
      <selection activeCell="A2" sqref="A2"/>
    </sheetView>
  </sheetViews>
  <sheetFormatPr defaultColWidth="8.77734375" defaultRowHeight="15"/>
  <cols>
    <col min="1" max="1" width="46.21875" style="959" bestFit="1" customWidth="1"/>
    <col min="2" max="2" width="5.77734375" style="959" customWidth="1"/>
    <col min="3" max="3" width="15.5546875" style="959" bestFit="1" customWidth="1"/>
    <col min="4" max="4" width="19.21875" style="959" bestFit="1" customWidth="1"/>
    <col min="5" max="5" width="19.21875" style="959" customWidth="1"/>
    <col min="6" max="6" width="3" style="959" customWidth="1"/>
    <col min="7" max="16384" width="8.77734375" style="959"/>
  </cols>
  <sheetData>
    <row r="1" spans="1:5" ht="18">
      <c r="A1" s="760" t="str">
        <f>'P1 ADIT 190 &amp; 282'!A1</f>
        <v>Duke Energy Ohio and Duke Energy Kentucky</v>
      </c>
      <c r="B1" s="766"/>
      <c r="C1" s="766"/>
      <c r="D1" s="766"/>
      <c r="E1" s="766"/>
    </row>
    <row r="2" spans="1:5" ht="18">
      <c r="A2" s="760"/>
      <c r="B2" s="766"/>
      <c r="C2" s="766"/>
      <c r="D2" s="766"/>
      <c r="E2" s="766"/>
    </row>
    <row r="3" spans="1:5" ht="15.75">
      <c r="A3" s="769"/>
      <c r="B3" s="766"/>
      <c r="C3" s="766"/>
      <c r="D3" s="765"/>
      <c r="E3" s="767" t="s">
        <v>547</v>
      </c>
    </row>
    <row r="4" spans="1:5" ht="15.75">
      <c r="A4" s="769"/>
      <c r="B4" s="766"/>
      <c r="C4" s="766"/>
      <c r="D4" s="765"/>
      <c r="E4" s="765" t="str">
        <f>"Page 11 of "&amp;Workpaper</f>
        <v>Page 11 of 11</v>
      </c>
    </row>
    <row r="5" spans="1:5" ht="15.75">
      <c r="A5" s="769"/>
      <c r="B5" s="766"/>
      <c r="C5" s="766"/>
      <c r="D5" s="765"/>
      <c r="E5" s="767" t="str">
        <f>'DE Ohio &amp; Kentucky'!$J$124</f>
        <v>For the 12 months ended: 12/31/2015</v>
      </c>
    </row>
    <row r="6" spans="1:5" ht="15.75">
      <c r="A6" s="769"/>
      <c r="B6" s="766"/>
      <c r="C6" s="766"/>
      <c r="D6" s="766"/>
      <c r="E6" s="766"/>
    </row>
    <row r="7" spans="1:5" ht="15.75">
      <c r="A7" s="769"/>
      <c r="B7" s="766"/>
      <c r="C7" s="766"/>
      <c r="D7" s="766"/>
      <c r="E7" s="766"/>
    </row>
    <row r="8" spans="1:5" ht="15.75">
      <c r="A8" s="772"/>
      <c r="B8" s="773"/>
      <c r="C8" s="773"/>
      <c r="D8" s="773"/>
      <c r="E8" s="773"/>
    </row>
    <row r="9" spans="1:5" ht="20.25">
      <c r="A9" s="119"/>
      <c r="B9" s="216"/>
      <c r="C9" s="122"/>
      <c r="D9" s="122"/>
      <c r="E9" s="122"/>
    </row>
    <row r="10" spans="1:5" ht="21" thickBot="1">
      <c r="A10" s="119"/>
      <c r="B10" s="217"/>
      <c r="C10" s="123" t="s">
        <v>217</v>
      </c>
      <c r="D10" s="123" t="s">
        <v>218</v>
      </c>
      <c r="E10" s="123" t="s">
        <v>546</v>
      </c>
    </row>
    <row r="11" spans="1:5" ht="21" thickBot="1">
      <c r="A11" s="775" t="s">
        <v>850</v>
      </c>
      <c r="B11" s="217"/>
      <c r="C11" s="123"/>
      <c r="D11" s="123"/>
      <c r="E11" s="123"/>
    </row>
    <row r="12" spans="1:5" ht="24" customHeight="1">
      <c r="A12" s="124" t="s">
        <v>851</v>
      </c>
      <c r="B12" s="218"/>
      <c r="C12" s="218">
        <v>2659100</v>
      </c>
      <c r="D12" s="218">
        <v>13330798</v>
      </c>
      <c r="E12" s="411">
        <f>D12+C12</f>
        <v>15989898</v>
      </c>
    </row>
    <row r="13" spans="1:5">
      <c r="A13" s="125"/>
      <c r="B13" s="219"/>
      <c r="C13" s="219"/>
      <c r="D13" s="219"/>
      <c r="E13" s="119"/>
    </row>
    <row r="14" spans="1:5" ht="40.5" customHeight="1">
      <c r="A14" s="679" t="s">
        <v>858</v>
      </c>
      <c r="B14" s="126"/>
      <c r="C14" s="731">
        <v>0</v>
      </c>
      <c r="D14" s="731">
        <v>0</v>
      </c>
      <c r="E14" s="1030">
        <f>D14+C14</f>
        <v>0</v>
      </c>
    </row>
    <row r="15" spans="1:5">
      <c r="A15" s="125"/>
      <c r="B15" s="219"/>
      <c r="C15" s="219"/>
      <c r="D15" s="219"/>
      <c r="E15" s="119"/>
    </row>
    <row r="16" spans="1:5" ht="24.75" customHeight="1">
      <c r="A16" s="127" t="s">
        <v>859</v>
      </c>
      <c r="B16" s="220"/>
      <c r="C16" s="220">
        <f>C12-SUM(C14:C14)</f>
        <v>2659100</v>
      </c>
      <c r="D16" s="220">
        <f>D12-SUM(D14:D14)</f>
        <v>13330798</v>
      </c>
      <c r="E16" s="220">
        <f>E12-SUM(E14:E14)</f>
        <v>15989898</v>
      </c>
    </row>
    <row r="17" spans="1:5" ht="14.25" customHeight="1">
      <c r="A17" s="127"/>
      <c r="B17" s="220"/>
      <c r="C17" s="220"/>
      <c r="D17" s="220"/>
      <c r="E17" s="136"/>
    </row>
    <row r="18" spans="1:5" ht="10.5" customHeight="1">
      <c r="A18" s="127"/>
      <c r="B18" s="220"/>
      <c r="C18" s="220"/>
      <c r="D18" s="220"/>
      <c r="E18" s="136"/>
    </row>
    <row r="19" spans="1:5" ht="15.75" thickBot="1">
      <c r="A19" s="125"/>
      <c r="B19" s="219"/>
      <c r="C19" s="219"/>
      <c r="D19" s="219"/>
      <c r="E19" s="119"/>
    </row>
    <row r="20" spans="1:5" ht="16.5" thickBot="1">
      <c r="A20" s="775" t="s">
        <v>852</v>
      </c>
      <c r="B20" s="219"/>
      <c r="C20" s="219"/>
      <c r="D20" s="219"/>
      <c r="E20" s="119"/>
    </row>
    <row r="21" spans="1:5" ht="24" customHeight="1">
      <c r="A21" s="124" t="s">
        <v>853</v>
      </c>
      <c r="B21" s="218"/>
      <c r="C21" s="218">
        <v>7185179</v>
      </c>
      <c r="D21" s="218">
        <v>1047631</v>
      </c>
      <c r="E21" s="411">
        <f>D21+C21</f>
        <v>8232810</v>
      </c>
    </row>
    <row r="22" spans="1:5">
      <c r="A22" s="125"/>
      <c r="B22" s="219"/>
      <c r="C22" s="219"/>
      <c r="D22" s="219"/>
      <c r="E22" s="119"/>
    </row>
    <row r="23" spans="1:5" ht="41.25" customHeight="1">
      <c r="A23" s="679" t="s">
        <v>858</v>
      </c>
      <c r="B23" s="130"/>
      <c r="C23" s="731">
        <v>0</v>
      </c>
      <c r="D23" s="731">
        <v>0</v>
      </c>
      <c r="E23" s="130">
        <f>D23+C23</f>
        <v>0</v>
      </c>
    </row>
    <row r="24" spans="1:5">
      <c r="A24" s="125"/>
      <c r="B24" s="219"/>
      <c r="C24" s="219"/>
      <c r="D24" s="219"/>
      <c r="E24" s="119"/>
    </row>
    <row r="25" spans="1:5" ht="27" customHeight="1">
      <c r="A25" s="127" t="s">
        <v>860</v>
      </c>
      <c r="B25" s="220"/>
      <c r="C25" s="220">
        <f>C21-SUM(C23:C23)</f>
        <v>7185179</v>
      </c>
      <c r="D25" s="220">
        <f>D21-SUM(D23:D23)</f>
        <v>1047631</v>
      </c>
      <c r="E25" s="136">
        <f>E21-E23</f>
        <v>8232810</v>
      </c>
    </row>
    <row r="26" spans="1:5" ht="14.25" customHeight="1">
      <c r="A26" s="127"/>
      <c r="B26" s="220"/>
      <c r="C26" s="220"/>
      <c r="D26" s="220"/>
      <c r="E26" s="136"/>
    </row>
    <row r="27" spans="1:5" ht="10.5" customHeight="1">
      <c r="A27" s="127"/>
      <c r="B27" s="220"/>
      <c r="C27" s="220"/>
      <c r="D27" s="220"/>
      <c r="E27" s="136"/>
    </row>
    <row r="28" spans="1:5" ht="15.75" thickBot="1">
      <c r="A28" s="125"/>
      <c r="B28" s="219"/>
      <c r="C28" s="219"/>
      <c r="D28" s="219"/>
      <c r="E28" s="119"/>
    </row>
    <row r="29" spans="1:5" ht="16.5" thickBot="1">
      <c r="A29" s="775" t="s">
        <v>854</v>
      </c>
      <c r="B29" s="219"/>
      <c r="C29" s="219"/>
      <c r="D29" s="219"/>
      <c r="E29" s="119"/>
    </row>
    <row r="30" spans="1:5" ht="24" customHeight="1">
      <c r="A30" s="124" t="s">
        <v>855</v>
      </c>
      <c r="B30" s="218"/>
      <c r="C30" s="218">
        <v>29032012</v>
      </c>
      <c r="D30" s="218">
        <v>5098233</v>
      </c>
      <c r="E30" s="411">
        <f>D30+C30</f>
        <v>34130245</v>
      </c>
    </row>
    <row r="31" spans="1:5">
      <c r="A31" s="125"/>
      <c r="B31" s="219"/>
      <c r="C31" s="219"/>
      <c r="D31" s="219"/>
      <c r="E31" s="119"/>
    </row>
    <row r="32" spans="1:5" ht="43.5" customHeight="1">
      <c r="A32" s="679" t="s">
        <v>858</v>
      </c>
      <c r="B32" s="130"/>
      <c r="C32" s="731">
        <v>0</v>
      </c>
      <c r="D32" s="731">
        <v>0</v>
      </c>
      <c r="E32" s="130">
        <f>D32+C32</f>
        <v>0</v>
      </c>
    </row>
    <row r="33" spans="1:5">
      <c r="A33" s="125"/>
      <c r="B33" s="219"/>
      <c r="C33" s="119"/>
      <c r="D33" s="119"/>
      <c r="E33" s="119"/>
    </row>
    <row r="34" spans="1:5" ht="27" customHeight="1">
      <c r="A34" s="127" t="s">
        <v>861</v>
      </c>
      <c r="B34" s="220"/>
      <c r="C34" s="220">
        <f>C30-SUM(C32:C32)</f>
        <v>29032012</v>
      </c>
      <c r="D34" s="220">
        <f>D30-SUM(D32:D32)</f>
        <v>5098233</v>
      </c>
      <c r="E34" s="136">
        <f>E30-E32</f>
        <v>34130245</v>
      </c>
    </row>
    <row r="35" spans="1:5">
      <c r="A35" s="125"/>
      <c r="B35" s="219"/>
      <c r="C35" s="119"/>
      <c r="D35" s="119"/>
      <c r="E35" s="119"/>
    </row>
    <row r="36" spans="1:5" ht="15.75" thickBot="1">
      <c r="A36" s="125"/>
      <c r="B36" s="219"/>
      <c r="C36" s="119"/>
      <c r="D36" s="119"/>
      <c r="E36" s="119"/>
    </row>
    <row r="37" spans="1:5" ht="17.100000000000001" customHeight="1" thickBot="1">
      <c r="A37" s="775" t="s">
        <v>856</v>
      </c>
      <c r="B37" s="219"/>
      <c r="C37" s="219"/>
      <c r="D37" s="219"/>
      <c r="E37" s="119"/>
    </row>
    <row r="38" spans="1:5" ht="24" customHeight="1">
      <c r="A38" s="124" t="s">
        <v>857</v>
      </c>
      <c r="B38" s="218"/>
      <c r="C38" s="218">
        <v>13474961</v>
      </c>
      <c r="D38" s="218">
        <v>3219181</v>
      </c>
      <c r="E38" s="411">
        <f>D38+C38</f>
        <v>16694142</v>
      </c>
    </row>
    <row r="39" spans="1:5">
      <c r="A39" s="125"/>
      <c r="B39" s="219"/>
      <c r="C39" s="219"/>
      <c r="D39" s="219"/>
      <c r="E39" s="119"/>
    </row>
    <row r="40" spans="1:5" ht="37.5" customHeight="1">
      <c r="A40" s="679" t="s">
        <v>858</v>
      </c>
      <c r="B40" s="130"/>
      <c r="C40" s="731">
        <f>19543+36883</f>
        <v>56426</v>
      </c>
      <c r="D40" s="731">
        <f>4095+7358</f>
        <v>11453</v>
      </c>
      <c r="E40" s="130">
        <f>D40+C40</f>
        <v>67879</v>
      </c>
    </row>
    <row r="41" spans="1:5">
      <c r="A41" s="125"/>
      <c r="B41" s="219"/>
      <c r="C41" s="119"/>
      <c r="D41" s="119"/>
      <c r="E41" s="119"/>
    </row>
    <row r="42" spans="1:5" ht="17.25">
      <c r="A42" s="127" t="s">
        <v>862</v>
      </c>
      <c r="B42" s="220"/>
      <c r="C42" s="220">
        <f>C38-SUM(C40:C40)</f>
        <v>13418535</v>
      </c>
      <c r="D42" s="220">
        <f>D38-SUM(D40:D40)</f>
        <v>3207728</v>
      </c>
      <c r="E42" s="136">
        <f>E38-E40</f>
        <v>16626263</v>
      </c>
    </row>
  </sheetData>
  <pageMargins left="1" right="0.5" top="1" bottom="0.5" header="0.25" footer="0.25"/>
  <pageSetup scale="71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27</vt:i4>
      </vt:variant>
      <vt:variant>
        <vt:lpstr>Named Ranges</vt:lpstr>
      </vt:variant>
      <vt:variant>
        <vt:i4>82</vt:i4>
      </vt:variant>
    </vt:vector>
  </HeadingPairs>
  <TitlesOfParts>
    <vt:vector size="109" baseType="lpstr">
      <vt:lpstr>Print</vt:lpstr>
      <vt:lpstr>INPUT</vt:lpstr>
      <vt:lpstr>DE Ohio &amp; Kentucky</vt:lpstr>
      <vt:lpstr>DEO</vt:lpstr>
      <vt:lpstr>DEK</vt:lpstr>
      <vt:lpstr>Sch 1A - Appx A</vt:lpstr>
      <vt:lpstr>Appx B - DEOK(RTEP)</vt:lpstr>
      <vt:lpstr>Appx B - DEO(RTEP)</vt:lpstr>
      <vt:lpstr>Appx B - DEK(RTEP)</vt:lpstr>
      <vt:lpstr>Appx C - DEOK(MTEP)</vt:lpstr>
      <vt:lpstr>Appx C - DEO(MTEP)</vt:lpstr>
      <vt:lpstr>Appx C - DEK(MTEP)</vt:lpstr>
      <vt:lpstr>Appx D DEO</vt:lpstr>
      <vt:lpstr>Appx D DEK</vt:lpstr>
      <vt:lpstr>Appx E</vt:lpstr>
      <vt:lpstr>Appx E - Workpaper</vt:lpstr>
      <vt:lpstr>P1 ADIT 190 &amp; 282</vt:lpstr>
      <vt:lpstr>P2 Allocate M&amp;S</vt:lpstr>
      <vt:lpstr>P3 Land Held for Future Use</vt:lpstr>
      <vt:lpstr>P4 Advertising - EPRI Adj.</vt:lpstr>
      <vt:lpstr>P5 Schedule 1 Charges acct 561</vt:lpstr>
      <vt:lpstr>P6 Statetax</vt:lpstr>
      <vt:lpstr>P7 Trans Plant In OATT</vt:lpstr>
      <vt:lpstr>P8 Rev Cred Support</vt:lpstr>
      <vt:lpstr>P9 Capital Structure - Confiden</vt:lpstr>
      <vt:lpstr>P10 Partner KW</vt:lpstr>
      <vt:lpstr>P11 Salaries and Wages</vt:lpstr>
      <vt:lpstr>Appendix_A</vt:lpstr>
      <vt:lpstr>AppxB_DEK_Pg1_RTEP</vt:lpstr>
      <vt:lpstr>AppxB_DEK_Pg2_RTEP</vt:lpstr>
      <vt:lpstr>AppxB_DEM_Pg1_RTEP</vt:lpstr>
      <vt:lpstr>AppxB_DEM_Pg2_RTEP</vt:lpstr>
      <vt:lpstr>AppxB_DEO_Pg1_RTEP</vt:lpstr>
      <vt:lpstr>AppxB_DEO_Pg2_RTEP</vt:lpstr>
      <vt:lpstr>AppxC_DEK_Pg1_MTEP</vt:lpstr>
      <vt:lpstr>AppxC_DEK_Pg2_MTEP</vt:lpstr>
      <vt:lpstr>AppxC_DEM_Pg1_MTEP</vt:lpstr>
      <vt:lpstr>AppxC_DEM_Pg2_MTEP</vt:lpstr>
      <vt:lpstr>AppxC_DEO_Pg1_MTEP</vt:lpstr>
      <vt:lpstr>AppxC_DEO_Pg2_MTEP</vt:lpstr>
      <vt:lpstr>AppxD_DEK</vt:lpstr>
      <vt:lpstr>AppxD_DEO</vt:lpstr>
      <vt:lpstr>AppxE_DEOK</vt:lpstr>
      <vt:lpstr>AppxE_DEOK_WP</vt:lpstr>
      <vt:lpstr>DEK_1of6</vt:lpstr>
      <vt:lpstr>DEK_2of6</vt:lpstr>
      <vt:lpstr>DEK_3of6</vt:lpstr>
      <vt:lpstr>DEK_4of6</vt:lpstr>
      <vt:lpstr>DEK_5of6</vt:lpstr>
      <vt:lpstr>DEK_6of6</vt:lpstr>
      <vt:lpstr>DEO_1of6</vt:lpstr>
      <vt:lpstr>DEO_2of6</vt:lpstr>
      <vt:lpstr>DEO_3of6</vt:lpstr>
      <vt:lpstr>DEO_4of6</vt:lpstr>
      <vt:lpstr>DEO_5of6</vt:lpstr>
      <vt:lpstr>DEO_6of6</vt:lpstr>
      <vt:lpstr>DEOK_1of6</vt:lpstr>
      <vt:lpstr>DEOK_2of6</vt:lpstr>
      <vt:lpstr>DEOK_3of6</vt:lpstr>
      <vt:lpstr>DEOK_4of6</vt:lpstr>
      <vt:lpstr>DEOK_5of6</vt:lpstr>
      <vt:lpstr>DEOK_6of6</vt:lpstr>
      <vt:lpstr>FERCrefund</vt:lpstr>
      <vt:lpstr>FIT</vt:lpstr>
      <vt:lpstr>PeakKW_DEK</vt:lpstr>
      <vt:lpstr>PeakKW_DEO</vt:lpstr>
      <vt:lpstr>PeakKW_DEOK</vt:lpstr>
      <vt:lpstr>PG1_Support_Corrections</vt:lpstr>
      <vt:lpstr>PG1_Support_KW</vt:lpstr>
      <vt:lpstr>PG2_Support_FAS106</vt:lpstr>
      <vt:lpstr>PG2_Support_LandHeld</vt:lpstr>
      <vt:lpstr>PG2_Support_MS</vt:lpstr>
      <vt:lpstr>PG3_Support_Adv</vt:lpstr>
      <vt:lpstr>'P11 Salaries and Wages'!PG3_Support_BAcosts</vt:lpstr>
      <vt:lpstr>PG3_Support_BAcosts</vt:lpstr>
      <vt:lpstr>PG3_Support_StateTax</vt:lpstr>
      <vt:lpstr>PG4_Support_Ancillary</vt:lpstr>
      <vt:lpstr>PG4_Support_CapStructure</vt:lpstr>
      <vt:lpstr>PG4_Support_RevCr</vt:lpstr>
      <vt:lpstr>'Appx B - DEK(RTEP)'!Print_Area</vt:lpstr>
      <vt:lpstr>'Appx B - DEO(RTEP)'!Print_Area</vt:lpstr>
      <vt:lpstr>'Appx B - DEOK(RTEP)'!Print_Area</vt:lpstr>
      <vt:lpstr>'Appx C - DEK(MTEP)'!Print_Area</vt:lpstr>
      <vt:lpstr>'Appx C - DEO(MTEP)'!Print_Area</vt:lpstr>
      <vt:lpstr>'Appx C - DEOK(MTEP)'!Print_Area</vt:lpstr>
      <vt:lpstr>'Appx D DEK'!Print_Area</vt:lpstr>
      <vt:lpstr>'Appx D DEO'!Print_Area</vt:lpstr>
      <vt:lpstr>'Appx E'!Print_Area</vt:lpstr>
      <vt:lpstr>'Appx E - Workpaper'!Print_Area</vt:lpstr>
      <vt:lpstr>'DE Ohio &amp; Kentucky'!Print_Area</vt:lpstr>
      <vt:lpstr>DEK!Print_Area</vt:lpstr>
      <vt:lpstr>DEO!Print_Area</vt:lpstr>
      <vt:lpstr>INPUT!Print_Area</vt:lpstr>
      <vt:lpstr>'P1 ADIT 190 &amp; 282'!Print_Area</vt:lpstr>
      <vt:lpstr>'P10 Partner KW'!Print_Area</vt:lpstr>
      <vt:lpstr>'P11 Salaries and Wages'!Print_Area</vt:lpstr>
      <vt:lpstr>'P2 Allocate M&amp;S'!Print_Area</vt:lpstr>
      <vt:lpstr>'P3 Land Held for Future Use'!Print_Area</vt:lpstr>
      <vt:lpstr>'P4 Advertising - EPRI Adj.'!Print_Area</vt:lpstr>
      <vt:lpstr>'P5 Schedule 1 Charges acct 561'!Print_Area</vt:lpstr>
      <vt:lpstr>'P6 Statetax'!Print_Area</vt:lpstr>
      <vt:lpstr>'P7 Trans Plant In OATT'!Print_Area</vt:lpstr>
      <vt:lpstr>'P8 Rev Cred Support'!Print_Area</vt:lpstr>
      <vt:lpstr>'P9 Capital Structure - Confiden'!Print_Area</vt:lpstr>
      <vt:lpstr>'Sch 1A - Appx A'!Print_Area</vt:lpstr>
      <vt:lpstr>INPUT!Print_Titles</vt:lpstr>
      <vt:lpstr>ROE</vt:lpstr>
      <vt:lpstr>SCH_1A</vt:lpstr>
      <vt:lpstr>Workpaper</vt:lpstr>
    </vt:vector>
  </TitlesOfParts>
  <Company>Dell Computer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Preferred Customer</dc:creator>
  <cp:lastModifiedBy>Gloistein, Crystal</cp:lastModifiedBy>
  <cp:lastPrinted>2016-05-11T12:54:00Z</cp:lastPrinted>
  <dcterms:created xsi:type="dcterms:W3CDTF">1997-04-03T19:40:56Z</dcterms:created>
  <dcterms:modified xsi:type="dcterms:W3CDTF">2016-05-13T19:16:50Z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