
<file path=[Content_Types].xml><?xml version="1.0" encoding="utf-8"?>
<Types xmlns="http://schemas.openxmlformats.org/package/2006/content-type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8800" windowHeight="12300" tabRatio="944"/>
  </bookViews>
  <sheets>
    <sheet name="Appendix A" sheetId="1" r:id="rId1"/>
    <sheet name="1 - ADIT" sheetId="12" r:id="rId2"/>
    <sheet name="2 - Other Taxes" sheetId="3" r:id="rId3"/>
    <sheet name="3 - Revenue Credits" sheetId="5" r:id="rId4"/>
    <sheet name="4 - 100 Basis Pt ROE" sheetId="6" r:id="rId5"/>
    <sheet name="5 - Cost Support" sheetId="7" r:id="rId6"/>
    <sheet name="6 - Est &amp; Reconcile WS" sheetId="27" r:id="rId7"/>
    <sheet name="7 - Cap Add WS" sheetId="26" r:id="rId8"/>
    <sheet name="8 - Securitization" sheetId="11" r:id="rId9"/>
    <sheet name="9 - Depr Rates" sheetId="28" r:id="rId10"/>
  </sheets>
  <definedNames>
    <definedName name="_p.choice" localSheetId="6">#REF!</definedName>
    <definedName name="AA.print" localSheetId="6">#REF!</definedName>
    <definedName name="AB.print" localSheetId="6">#REF!</definedName>
    <definedName name="AO.print" localSheetId="6">#REF!</definedName>
    <definedName name="AV.FM.1..adjusted..print" localSheetId="6">#REF!</definedName>
    <definedName name="AV.FM.1.print" localSheetId="6">#REF!</definedName>
    <definedName name="BA.print" localSheetId="6">#REF!</definedName>
    <definedName name="BB.print" localSheetId="6">#REF!</definedName>
    <definedName name="BG.print" localSheetId="6">#REF!</definedName>
    <definedName name="BK..FM1.Adjusted..print" localSheetId="6">#REF!</definedName>
    <definedName name="BK..FM1.ROR..print" localSheetId="6">#REF!</definedName>
    <definedName name="Levelized..FM1.ROR..print" localSheetId="6">#REF!</definedName>
    <definedName name="Print.selection.print" localSheetId="6">#REF!</definedName>
    <definedName name="_xlnm.Print_Area" localSheetId="1">'1 - ADIT'!$A$1:$I$178</definedName>
    <definedName name="_xlnm.Print_Area" localSheetId="3">'3 - Revenue Credits'!$A$1:$D$35</definedName>
    <definedName name="_xlnm.Print_Area" localSheetId="5">'5 - Cost Support'!$A$1:$R$180</definedName>
    <definedName name="_xlnm.Print_Area" localSheetId="6">'6 - Est &amp; Reconcile WS'!$A$1:$M$171</definedName>
    <definedName name="_xlnm.Print_Area" localSheetId="7">'7 - Cap Add WS'!$A$1:$AQ$80</definedName>
    <definedName name="_xlnm.Print_Area" localSheetId="0">'Appendix A'!$A$1:$H$321</definedName>
    <definedName name="_xlnm.Print_Titles" localSheetId="5">'5 - Cost Support'!$1:$3</definedName>
    <definedName name="_xlnm.Print_Titles" localSheetId="7">'7 - Cap Add WS'!$C:$D</definedName>
    <definedName name="solver_adj" localSheetId="0" hidden="1">#REF!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28948E05_8F34_4F1E_96FB_A80A6A844600_.wvu.Cols" localSheetId="1" hidden="1">#REF!</definedName>
    <definedName name="Z_28948E05_8F34_4F1E_96FB_A80A6A844600_.wvu.Cols" localSheetId="7" hidden="1">'7 - Cap Add WS'!$Q:$AN</definedName>
    <definedName name="Z_28948E05_8F34_4F1E_96FB_A80A6A844600_.wvu.PrintArea" localSheetId="1" hidden="1">'1 - ADIT'!$A$1:$H$180</definedName>
    <definedName name="Z_28948E05_8F34_4F1E_96FB_A80A6A844600_.wvu.PrintTitles" localSheetId="7" hidden="1">'7 - Cap Add WS'!$C:$D</definedName>
    <definedName name="Z_3A38DF7A_C35E_4DD3_9893_26310A3EF836_.wvu.Cols" localSheetId="7" hidden="1">'7 - Cap Add WS'!$Q:$AN</definedName>
    <definedName name="Z_3A38DF7A_C35E_4DD3_9893_26310A3EF836_.wvu.PrintTitles" localSheetId="7" hidden="1">'7 - Cap Add WS'!$C:$D</definedName>
    <definedName name="Z_4C7C2344_134C_465A_ADEB_A5E96AAE2308_.wvu.Cols" localSheetId="7" hidden="1">'7 - Cap Add WS'!$Q:$AN</definedName>
    <definedName name="Z_4C7C2344_134C_465A_ADEB_A5E96AAE2308_.wvu.PrintTitles" localSheetId="7" hidden="1">'7 - Cap Add WS'!$C:$D</definedName>
    <definedName name="Z_63011E91_4609_4523_98FE_FD252E915668_.wvu.Cols" localSheetId="1" hidden="1">#REF!</definedName>
    <definedName name="Z_63011E91_4609_4523_98FE_FD252E915668_.wvu.PrintArea" localSheetId="1" hidden="1">'1 - ADIT'!$A$1:$H$180</definedName>
    <definedName name="Z_6928E596_79BD_4CEC_9F0D_07E62D69B2A5_.wvu.Cols" localSheetId="1" hidden="1">#REF!</definedName>
    <definedName name="Z_6928E596_79BD_4CEC_9F0D_07E62D69B2A5_.wvu.PrintArea" localSheetId="1" hidden="1">'1 - ADIT'!$A$1:$H$180</definedName>
    <definedName name="Z_71B42B22_A376_44B5_B0C1_23FC1AA3DBA2_.wvu.Cols" localSheetId="1" hidden="1">#REF!</definedName>
    <definedName name="Z_71B42B22_A376_44B5_B0C1_23FC1AA3DBA2_.wvu.Cols" localSheetId="7" hidden="1">'7 - Cap Add WS'!$Q:$AN</definedName>
    <definedName name="Z_71B42B22_A376_44B5_B0C1_23FC1AA3DBA2_.wvu.PrintArea" localSheetId="1" hidden="1">'1 - ADIT'!$A$1:$H$180</definedName>
    <definedName name="Z_71B42B22_A376_44B5_B0C1_23FC1AA3DBA2_.wvu.PrintTitles" localSheetId="7" hidden="1">'7 - Cap Add WS'!$C:$D</definedName>
    <definedName name="Z_8FBB4DC9_2D51_4AB9_80D8_F8474B404C29_.wvu.Cols" localSheetId="1" hidden="1">#REF!</definedName>
    <definedName name="Z_8FBB4DC9_2D51_4AB9_80D8_F8474B404C29_.wvu.PrintArea" localSheetId="1" hidden="1">'1 - ADIT'!$A$1:$H$180</definedName>
    <definedName name="Z_B647CB7F_C846_4278_B6B1_1EF7F3C004F5_.wvu.Cols" localSheetId="1" hidden="1">#REF!</definedName>
    <definedName name="Z_B647CB7F_C846_4278_B6B1_1EF7F3C004F5_.wvu.PrintArea" localSheetId="1" hidden="1">'1 - ADIT'!$A$1:$H$180</definedName>
    <definedName name="Z_DA967730_B71F_4038_B1B7_9D4790729C5D_.wvu.Cols" localSheetId="7" hidden="1">'7 - Cap Add WS'!$Q:$AN</definedName>
    <definedName name="Z_DA967730_B71F_4038_B1B7_9D4790729C5D_.wvu.PrintTitles" localSheetId="7" hidden="1">'7 - Cap Add WS'!$C:$D</definedName>
    <definedName name="Z_DC91DEF3_837B_4BB9_A81E_3B78C5914E6C_.wvu.Cols" localSheetId="1" hidden="1">#REF!</definedName>
    <definedName name="Z_DC91DEF3_837B_4BB9_A81E_3B78C5914E6C_.wvu.Cols" localSheetId="7" hidden="1">'7 - Cap Add WS'!$Q:$AN</definedName>
    <definedName name="Z_DC91DEF3_837B_4BB9_A81E_3B78C5914E6C_.wvu.PrintArea" localSheetId="1" hidden="1">'1 - ADIT'!$A$1:$H$180</definedName>
    <definedName name="Z_DC91DEF3_837B_4BB9_A81E_3B78C5914E6C_.wvu.PrintTitles" localSheetId="7" hidden="1">'7 - Cap Add WS'!$C:$D</definedName>
    <definedName name="Z_F96D6087_3330_4A81_95EC_26BA83722A49_.wvu.Cols" localSheetId="7" hidden="1">'7 - Cap Add WS'!$Q:$AN</definedName>
    <definedName name="Z_F96D6087_3330_4A81_95EC_26BA83722A49_.wvu.PrintTitles" localSheetId="7" hidden="1">'7 - Cap Add WS'!$C:$D</definedName>
    <definedName name="Z_FAAD9AAC_1337_43AB_BF1F_CCF9DFCF5B78_.wvu.Cols" localSheetId="1" hidden="1">#REF!</definedName>
    <definedName name="Z_FAAD9AAC_1337_43AB_BF1F_CCF9DFCF5B78_.wvu.Cols" localSheetId="7" hidden="1">'7 - Cap Add WS'!$Q:$AN</definedName>
    <definedName name="Z_FAAD9AAC_1337_43AB_BF1F_CCF9DFCF5B78_.wvu.PrintArea" localSheetId="1" hidden="1">'1 - ADIT'!$A$1:$H$180</definedName>
    <definedName name="Z_FAAD9AAC_1337_43AB_BF1F_CCF9DFCF5B78_.wvu.PrintTitles" localSheetId="7" hidden="1">'7 - Cap Add WS'!$C:$D</definedName>
  </definedNames>
  <calcPr calcId="162913"/>
</workbook>
</file>

<file path=xl/calcChain.xml><?xml version="1.0" encoding="utf-8"?>
<calcChain xmlns="http://schemas.openxmlformats.org/spreadsheetml/2006/main">
  <c r="Q28" i="26" l="1"/>
  <c r="I53" i="26" l="1"/>
  <c r="N52" i="26"/>
  <c r="I52" i="26"/>
  <c r="Q53" i="26"/>
  <c r="Q52" i="26"/>
  <c r="N53" i="26" l="1"/>
  <c r="D124" i="27" l="1"/>
  <c r="E75" i="27"/>
  <c r="Q23" i="26" l="1"/>
  <c r="R52" i="26" s="1"/>
  <c r="Q29" i="26" l="1"/>
  <c r="R53" i="26"/>
  <c r="S53" i="26" s="1"/>
  <c r="S52" i="26"/>
  <c r="K113" i="12"/>
  <c r="C113" i="12"/>
  <c r="H23" i="7" l="1"/>
  <c r="H58" i="1" l="1"/>
  <c r="H41" i="1"/>
  <c r="L164" i="12" l="1"/>
  <c r="L163" i="12"/>
  <c r="L162" i="12"/>
  <c r="L161"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13" i="12"/>
  <c r="L112" i="12"/>
  <c r="L111" i="12"/>
  <c r="L110" i="12"/>
  <c r="L109" i="12"/>
  <c r="L108" i="12"/>
  <c r="L107" i="12"/>
  <c r="L106" i="12"/>
  <c r="L105" i="12"/>
  <c r="L104" i="12"/>
  <c r="L103" i="12"/>
  <c r="L102" i="12"/>
  <c r="L101" i="12"/>
  <c r="L100" i="12"/>
  <c r="L99" i="12"/>
  <c r="L98" i="12"/>
  <c r="L97" i="12"/>
  <c r="L94" i="12"/>
  <c r="L93"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E108" i="27" l="1"/>
  <c r="E99" i="27"/>
  <c r="D159" i="12" l="1"/>
  <c r="C114" i="12"/>
  <c r="F59" i="12"/>
  <c r="D36" i="12"/>
  <c r="H135" i="7" l="1"/>
  <c r="H152" i="1"/>
  <c r="M23" i="26" l="1"/>
  <c r="C165" i="12" l="1"/>
  <c r="C167" i="12" s="1"/>
  <c r="C70" i="12"/>
  <c r="C72" i="12" s="1"/>
  <c r="D54" i="12" l="1"/>
  <c r="C18" i="11" l="1"/>
  <c r="C14" i="11"/>
  <c r="B14" i="11"/>
  <c r="A1" i="11"/>
  <c r="E71" i="26"/>
  <c r="E69" i="26"/>
  <c r="E67" i="26"/>
  <c r="E65" i="26"/>
  <c r="E63" i="26"/>
  <c r="E61" i="26"/>
  <c r="E59" i="26"/>
  <c r="E57" i="26"/>
  <c r="E55" i="26"/>
  <c r="E53" i="26"/>
  <c r="E51" i="26"/>
  <c r="E49" i="26"/>
  <c r="U47" i="26"/>
  <c r="E47" i="26"/>
  <c r="AK46" i="26"/>
  <c r="AK47" i="26" s="1"/>
  <c r="AG46" i="26"/>
  <c r="AG47" i="26" s="1"/>
  <c r="AC46" i="26"/>
  <c r="AC47" i="26" s="1"/>
  <c r="Y46" i="26"/>
  <c r="Y47" i="26" s="1"/>
  <c r="U46" i="26"/>
  <c r="Q46" i="26"/>
  <c r="N46" i="26"/>
  <c r="N47" i="26" s="1"/>
  <c r="N54" i="26" s="1"/>
  <c r="N55" i="26" s="1"/>
  <c r="N56" i="26" s="1"/>
  <c r="N57" i="26" s="1"/>
  <c r="N58" i="26" s="1"/>
  <c r="N59" i="26" s="1"/>
  <c r="N60" i="26" s="1"/>
  <c r="N61" i="26" s="1"/>
  <c r="N62" i="26" s="1"/>
  <c r="N63" i="26" s="1"/>
  <c r="N64" i="26" s="1"/>
  <c r="N65" i="26" s="1"/>
  <c r="N66" i="26" s="1"/>
  <c r="N67" i="26" s="1"/>
  <c r="N68" i="26" s="1"/>
  <c r="N69" i="26" s="1"/>
  <c r="N70" i="26" s="1"/>
  <c r="N71" i="26" s="1"/>
  <c r="N72" i="26" s="1"/>
  <c r="M46" i="26"/>
  <c r="M47" i="26" s="1"/>
  <c r="E45" i="26"/>
  <c r="E43" i="26"/>
  <c r="D41" i="26"/>
  <c r="D43" i="26" s="1"/>
  <c r="D45" i="26" s="1"/>
  <c r="D47" i="26" s="1"/>
  <c r="D49" i="26" s="1"/>
  <c r="D51" i="26" s="1"/>
  <c r="D53" i="26" s="1"/>
  <c r="D55" i="26" s="1"/>
  <c r="D57" i="26" s="1"/>
  <c r="D59" i="26" s="1"/>
  <c r="D61" i="26" s="1"/>
  <c r="D63" i="26" s="1"/>
  <c r="D65" i="26" s="1"/>
  <c r="D67" i="26" s="1"/>
  <c r="D69" i="26" s="1"/>
  <c r="D71" i="26" s="1"/>
  <c r="D39" i="26"/>
  <c r="C39" i="26"/>
  <c r="C41" i="26" s="1"/>
  <c r="C43" i="26" s="1"/>
  <c r="C45" i="26" s="1"/>
  <c r="C47" i="26" s="1"/>
  <c r="C49" i="26" s="1"/>
  <c r="C51" i="26" s="1"/>
  <c r="C53" i="26" s="1"/>
  <c r="C55" i="26" s="1"/>
  <c r="C57" i="26" s="1"/>
  <c r="C59" i="26" s="1"/>
  <c r="C61" i="26" s="1"/>
  <c r="C63" i="26" s="1"/>
  <c r="C65" i="26" s="1"/>
  <c r="C67" i="26" s="1"/>
  <c r="C69" i="26" s="1"/>
  <c r="C71" i="26" s="1"/>
  <c r="D38" i="26"/>
  <c r="D40" i="26" s="1"/>
  <c r="D42" i="26" s="1"/>
  <c r="D44" i="26" s="1"/>
  <c r="D46" i="26" s="1"/>
  <c r="D48" i="26" s="1"/>
  <c r="D50" i="26" s="1"/>
  <c r="D52" i="26" s="1"/>
  <c r="D54" i="26" s="1"/>
  <c r="D56" i="26" s="1"/>
  <c r="D58" i="26" s="1"/>
  <c r="D60" i="26" s="1"/>
  <c r="D62" i="26" s="1"/>
  <c r="D64" i="26" s="1"/>
  <c r="D66" i="26" s="1"/>
  <c r="D68" i="26" s="1"/>
  <c r="D70" i="26" s="1"/>
  <c r="C38" i="26"/>
  <c r="C40" i="26" s="1"/>
  <c r="C42" i="26" s="1"/>
  <c r="C44" i="26" s="1"/>
  <c r="C46" i="26" s="1"/>
  <c r="C48" i="26" s="1"/>
  <c r="C50" i="26" s="1"/>
  <c r="C52" i="26" s="1"/>
  <c r="C54" i="26" s="1"/>
  <c r="C56" i="26" s="1"/>
  <c r="C58" i="26" s="1"/>
  <c r="C60" i="26" s="1"/>
  <c r="C62" i="26" s="1"/>
  <c r="C64" i="26" s="1"/>
  <c r="C66" i="26" s="1"/>
  <c r="C68" i="26" s="1"/>
  <c r="C70" i="26" s="1"/>
  <c r="C35" i="26"/>
  <c r="D34" i="26"/>
  <c r="D33" i="26"/>
  <c r="D35" i="26" s="1"/>
  <c r="AK29" i="26"/>
  <c r="AG29" i="26"/>
  <c r="AH52" i="26" s="1"/>
  <c r="AH53" i="26" s="1"/>
  <c r="AC29" i="26"/>
  <c r="AD52" i="26" s="1"/>
  <c r="AD53" i="26" s="1"/>
  <c r="Y29" i="26"/>
  <c r="U29" i="26"/>
  <c r="V52" i="26" s="1"/>
  <c r="V53" i="26" s="1"/>
  <c r="E29" i="26"/>
  <c r="F44" i="26" s="1"/>
  <c r="G44" i="26" s="1"/>
  <c r="I23" i="26"/>
  <c r="I29" i="26" s="1"/>
  <c r="J52" i="26" s="1"/>
  <c r="A22" i="26"/>
  <c r="A23" i="26" s="1"/>
  <c r="A24" i="26" s="1"/>
  <c r="A25" i="26" s="1"/>
  <c r="A26" i="26" s="1"/>
  <c r="AL21" i="26"/>
  <c r="AM21" i="26" s="1"/>
  <c r="AN21" i="26" s="1"/>
  <c r="AH21" i="26"/>
  <c r="AI21" i="26" s="1"/>
  <c r="AJ21" i="26" s="1"/>
  <c r="AD21" i="26"/>
  <c r="AE21" i="26" s="1"/>
  <c r="AF21" i="26" s="1"/>
  <c r="Z21" i="26"/>
  <c r="AA21" i="26" s="1"/>
  <c r="AB21" i="26" s="1"/>
  <c r="W21" i="26"/>
  <c r="X21" i="26" s="1"/>
  <c r="V21" i="26"/>
  <c r="F15" i="26"/>
  <c r="F10" i="26"/>
  <c r="F9" i="26"/>
  <c r="D171" i="27"/>
  <c r="D170" i="27"/>
  <c r="A170" i="27"/>
  <c r="D166" i="27"/>
  <c r="A166" i="27"/>
  <c r="D158" i="27"/>
  <c r="D157" i="27"/>
  <c r="D156" i="27"/>
  <c r="F155" i="27"/>
  <c r="F156" i="27" s="1"/>
  <c r="F157" i="27" s="1"/>
  <c r="F158" i="27" s="1"/>
  <c r="D155" i="27"/>
  <c r="D154" i="27"/>
  <c r="D153" i="27"/>
  <c r="D152" i="27"/>
  <c r="D151" i="27"/>
  <c r="D150" i="27"/>
  <c r="D149" i="27"/>
  <c r="D148" i="27"/>
  <c r="D147" i="27"/>
  <c r="F140" i="27"/>
  <c r="F141" i="27" s="1"/>
  <c r="F142" i="27" s="1"/>
  <c r="F143" i="27" s="1"/>
  <c r="F147" i="27" s="1"/>
  <c r="F148" i="27" s="1"/>
  <c r="F149" i="27" s="1"/>
  <c r="F150" i="27" s="1"/>
  <c r="F151" i="27" s="1"/>
  <c r="F152" i="27" s="1"/>
  <c r="F153" i="27" s="1"/>
  <c r="K133" i="27"/>
  <c r="K134" i="27" s="1"/>
  <c r="F133" i="27"/>
  <c r="F134" i="27" s="1"/>
  <c r="F135" i="27" s="1"/>
  <c r="F136" i="27" s="1"/>
  <c r="F137" i="27" s="1"/>
  <c r="F138" i="27" s="1"/>
  <c r="I132" i="27"/>
  <c r="I133" i="27" s="1"/>
  <c r="I134" i="27" s="1"/>
  <c r="I135" i="27" s="1"/>
  <c r="I136" i="27" s="1"/>
  <c r="I137" i="27" s="1"/>
  <c r="I138" i="27" s="1"/>
  <c r="I139" i="27" s="1"/>
  <c r="I140" i="27" s="1"/>
  <c r="I141" i="27" s="1"/>
  <c r="I142" i="27" s="1"/>
  <c r="I143" i="27" s="1"/>
  <c r="I147" i="27" s="1"/>
  <c r="I124" i="27"/>
  <c r="F124" i="27"/>
  <c r="D121" i="27"/>
  <c r="A121" i="27"/>
  <c r="E111" i="27"/>
  <c r="D111" i="27"/>
  <c r="L92" i="27" s="1"/>
  <c r="F100" i="27"/>
  <c r="G100" i="27" s="1"/>
  <c r="H99" i="27"/>
  <c r="G99" i="27"/>
  <c r="H98" i="27"/>
  <c r="H97" i="27"/>
  <c r="D89" i="27"/>
  <c r="A89" i="27"/>
  <c r="E82" i="27"/>
  <c r="D82" i="27"/>
  <c r="F71" i="27"/>
  <c r="H71" i="27" s="1"/>
  <c r="H70" i="27"/>
  <c r="G70" i="27"/>
  <c r="H69" i="27"/>
  <c r="H68" i="27"/>
  <c r="D64" i="27"/>
  <c r="A64" i="27"/>
  <c r="H61" i="27"/>
  <c r="D60" i="27"/>
  <c r="C60" i="27"/>
  <c r="A60" i="27"/>
  <c r="D55" i="27"/>
  <c r="B55" i="27"/>
  <c r="A55" i="27"/>
  <c r="E61" i="27"/>
  <c r="H124" i="27" s="1"/>
  <c r="K124" i="27" s="1"/>
  <c r="H132" i="27" s="1"/>
  <c r="D52" i="27"/>
  <c r="F167" i="27" s="1"/>
  <c r="B52" i="27"/>
  <c r="E44" i="27"/>
  <c r="D44" i="27"/>
  <c r="F34" i="27"/>
  <c r="F33" i="27"/>
  <c r="H33" i="27" s="1"/>
  <c r="H32" i="27"/>
  <c r="G32" i="27"/>
  <c r="H31" i="27"/>
  <c r="H30" i="27"/>
  <c r="D26" i="27"/>
  <c r="D23" i="27"/>
  <c r="C23" i="27"/>
  <c r="C26" i="27" s="1"/>
  <c r="C49" i="27" s="1"/>
  <c r="C52" i="27" s="1"/>
  <c r="B23" i="27"/>
  <c r="B26" i="27" s="1"/>
  <c r="B49" i="27" s="1"/>
  <c r="A23" i="27"/>
  <c r="B19" i="27"/>
  <c r="B170" i="27" s="1"/>
  <c r="B18" i="27"/>
  <c r="B166" i="27" s="1"/>
  <c r="C15" i="27"/>
  <c r="C64" i="27" s="1"/>
  <c r="B14" i="27"/>
  <c r="B60" i="27" s="1"/>
  <c r="C9" i="27"/>
  <c r="C10" i="27" s="1"/>
  <c r="C11" i="27" s="1"/>
  <c r="C12" i="27" s="1"/>
  <c r="C55" i="27" s="1"/>
  <c r="B9" i="27"/>
  <c r="I175" i="7"/>
  <c r="I178" i="7" s="1"/>
  <c r="G175" i="7"/>
  <c r="G170" i="7"/>
  <c r="F170" i="7"/>
  <c r="C170" i="7"/>
  <c r="G168" i="7" s="1"/>
  <c r="C164" i="7"/>
  <c r="B163" i="7"/>
  <c r="A161" i="7"/>
  <c r="C154" i="7"/>
  <c r="G152" i="7" s="1"/>
  <c r="B153" i="7"/>
  <c r="I146" i="7"/>
  <c r="H171" i="1" s="1"/>
  <c r="C146" i="7"/>
  <c r="I138" i="7"/>
  <c r="H106" i="1" s="1"/>
  <c r="C138" i="7"/>
  <c r="I135" i="7"/>
  <c r="H105" i="1" s="1"/>
  <c r="C135" i="7"/>
  <c r="G128" i="7"/>
  <c r="H96" i="1" s="1"/>
  <c r="C126" i="7"/>
  <c r="G124" i="7" s="1"/>
  <c r="D108" i="7"/>
  <c r="G104" i="7"/>
  <c r="C98" i="7"/>
  <c r="G96" i="7" s="1"/>
  <c r="F92" i="7"/>
  <c r="C92" i="7"/>
  <c r="G86" i="7"/>
  <c r="C86" i="7"/>
  <c r="G79" i="7"/>
  <c r="F79" i="7"/>
  <c r="C79" i="7"/>
  <c r="I73" i="7"/>
  <c r="C73" i="7"/>
  <c r="I61" i="7"/>
  <c r="H113" i="1" s="1"/>
  <c r="C61" i="7"/>
  <c r="H54" i="7"/>
  <c r="H121" i="1" s="1"/>
  <c r="F54" i="7"/>
  <c r="C54" i="7"/>
  <c r="F48" i="7"/>
  <c r="C48" i="7"/>
  <c r="F45" i="7"/>
  <c r="C45" i="7"/>
  <c r="F43" i="7"/>
  <c r="C43" i="7"/>
  <c r="G41" i="7"/>
  <c r="G52" i="7" s="1"/>
  <c r="H33" i="7"/>
  <c r="H50" i="1" s="1"/>
  <c r="I32" i="7"/>
  <c r="C32" i="7"/>
  <c r="C23" i="7"/>
  <c r="F20" i="7"/>
  <c r="C20" i="7"/>
  <c r="F17" i="7"/>
  <c r="C17" i="7"/>
  <c r="C14" i="7"/>
  <c r="G10" i="7"/>
  <c r="H10" i="7" s="1"/>
  <c r="C10" i="7"/>
  <c r="F7" i="7"/>
  <c r="C7" i="7"/>
  <c r="G1" i="7"/>
  <c r="I67" i="6"/>
  <c r="G67" i="6"/>
  <c r="A67" i="6"/>
  <c r="A68" i="6" s="1"/>
  <c r="A69" i="6" s="1"/>
  <c r="A70" i="6" s="1"/>
  <c r="A74" i="6" s="1"/>
  <c r="A76" i="6" s="1"/>
  <c r="I61" i="6"/>
  <c r="G61" i="6"/>
  <c r="I60" i="6"/>
  <c r="I59" i="6"/>
  <c r="C54" i="6"/>
  <c r="C52" i="6"/>
  <c r="F51" i="6"/>
  <c r="D51" i="6"/>
  <c r="F50" i="6"/>
  <c r="D50" i="6"/>
  <c r="F49" i="6"/>
  <c r="D49" i="6"/>
  <c r="F47" i="6"/>
  <c r="D47" i="6"/>
  <c r="F46" i="6"/>
  <c r="D46" i="6"/>
  <c r="F45" i="6"/>
  <c r="D45" i="6"/>
  <c r="F43" i="6"/>
  <c r="D43" i="6"/>
  <c r="F42" i="6"/>
  <c r="D42" i="6"/>
  <c r="F41" i="6"/>
  <c r="D41" i="6"/>
  <c r="D39" i="6"/>
  <c r="D38" i="6"/>
  <c r="I37" i="6"/>
  <c r="G37" i="6"/>
  <c r="D37" i="6"/>
  <c r="D36" i="6"/>
  <c r="D35" i="6"/>
  <c r="G34" i="6"/>
  <c r="D34" i="6"/>
  <c r="I33" i="6"/>
  <c r="G33" i="6"/>
  <c r="D33" i="6"/>
  <c r="I32" i="6"/>
  <c r="G32" i="6"/>
  <c r="D32" i="6"/>
  <c r="I31" i="6"/>
  <c r="G31" i="6"/>
  <c r="D31" i="6"/>
  <c r="A31" i="6"/>
  <c r="A32" i="6" s="1"/>
  <c r="A33" i="6" s="1"/>
  <c r="A34" i="6" s="1"/>
  <c r="A35" i="6" s="1"/>
  <c r="A36" i="6" s="1"/>
  <c r="A37" i="6" s="1"/>
  <c r="A38" i="6" s="1"/>
  <c r="A39" i="6" s="1"/>
  <c r="A41" i="6" s="1"/>
  <c r="A42" i="6" s="1"/>
  <c r="A43" i="6" s="1"/>
  <c r="A45" i="6" s="1"/>
  <c r="A46" i="6" s="1"/>
  <c r="A47" i="6" s="1"/>
  <c r="A49" i="6" s="1"/>
  <c r="A50" i="6" s="1"/>
  <c r="A51" i="6" s="1"/>
  <c r="A52" i="6" s="1"/>
  <c r="A54" i="6" s="1"/>
  <c r="C30" i="6"/>
  <c r="D28" i="6"/>
  <c r="I27" i="6"/>
  <c r="G27" i="6"/>
  <c r="D27" i="6"/>
  <c r="D26" i="6"/>
  <c r="I25" i="6"/>
  <c r="I24" i="6"/>
  <c r="G24" i="6"/>
  <c r="D24" i="6"/>
  <c r="A24" i="6"/>
  <c r="C23" i="6"/>
  <c r="I21" i="6"/>
  <c r="G21" i="6"/>
  <c r="F21" i="6"/>
  <c r="C21" i="6"/>
  <c r="D19" i="6"/>
  <c r="G18" i="6"/>
  <c r="D18" i="6"/>
  <c r="A18" i="6"/>
  <c r="G17" i="6"/>
  <c r="D17" i="6"/>
  <c r="A17" i="6"/>
  <c r="C16" i="6"/>
  <c r="C14" i="6"/>
  <c r="D9" i="6"/>
  <c r="A1" i="6"/>
  <c r="D24" i="5"/>
  <c r="H254" i="1" s="1"/>
  <c r="A15" i="5"/>
  <c r="A16" i="5" s="1"/>
  <c r="A17" i="5" s="1"/>
  <c r="A18" i="5" s="1"/>
  <c r="A19" i="5" s="1"/>
  <c r="A20" i="5" s="1"/>
  <c r="A21" i="5" s="1"/>
  <c r="A22" i="5" s="1"/>
  <c r="A24" i="5" s="1"/>
  <c r="A1" i="5"/>
  <c r="E46" i="3"/>
  <c r="E34" i="3"/>
  <c r="E26" i="3"/>
  <c r="E17" i="3"/>
  <c r="A1" i="3"/>
  <c r="B178" i="12"/>
  <c r="C169" i="12"/>
  <c r="F168" i="12"/>
  <c r="E167" i="12"/>
  <c r="E170" i="12" s="1"/>
  <c r="D12" i="12" s="1"/>
  <c r="D164" i="12"/>
  <c r="D163" i="12"/>
  <c r="D162" i="12"/>
  <c r="D161" i="12"/>
  <c r="D160" i="12"/>
  <c r="D158" i="12"/>
  <c r="D157" i="12"/>
  <c r="D156" i="12"/>
  <c r="D155" i="12"/>
  <c r="D154" i="12"/>
  <c r="D153" i="12"/>
  <c r="D152" i="12"/>
  <c r="D151" i="12"/>
  <c r="D150" i="12"/>
  <c r="D149" i="12"/>
  <c r="F148" i="12"/>
  <c r="D147" i="12"/>
  <c r="D146" i="12"/>
  <c r="D119" i="7" s="1"/>
  <c r="D120" i="7" s="1"/>
  <c r="G145" i="12"/>
  <c r="F144" i="12"/>
  <c r="D143" i="12"/>
  <c r="D142" i="12"/>
  <c r="D141" i="12"/>
  <c r="F140" i="12"/>
  <c r="F167" i="12" s="1"/>
  <c r="D139" i="12"/>
  <c r="G138" i="12"/>
  <c r="D137" i="12"/>
  <c r="C118" i="12"/>
  <c r="C117" i="12"/>
  <c r="G116" i="12"/>
  <c r="G119" i="12" s="1"/>
  <c r="F11" i="12" s="1"/>
  <c r="D113" i="12"/>
  <c r="D112" i="12"/>
  <c r="E111" i="12"/>
  <c r="E116" i="12" s="1"/>
  <c r="E119" i="12" s="1"/>
  <c r="D11" i="12" s="1"/>
  <c r="D110" i="12"/>
  <c r="F109" i="12"/>
  <c r="F108" i="12"/>
  <c r="D107" i="12"/>
  <c r="D106" i="12"/>
  <c r="F105" i="12"/>
  <c r="F104" i="12"/>
  <c r="F103" i="12"/>
  <c r="F102" i="12"/>
  <c r="F101" i="12"/>
  <c r="F100" i="12"/>
  <c r="D99" i="12"/>
  <c r="F98" i="12"/>
  <c r="D97" i="12"/>
  <c r="F94" i="12"/>
  <c r="G74" i="12"/>
  <c r="E72" i="12"/>
  <c r="E75" i="12" s="1"/>
  <c r="D13" i="12" s="1"/>
  <c r="D69" i="12"/>
  <c r="D68" i="12"/>
  <c r="D67" i="12"/>
  <c r="D66" i="12"/>
  <c r="G65" i="12"/>
  <c r="G64" i="12"/>
  <c r="D63" i="12"/>
  <c r="D62" i="12"/>
  <c r="G61" i="12"/>
  <c r="G60" i="12"/>
  <c r="D58" i="12"/>
  <c r="G57" i="12"/>
  <c r="G56" i="12"/>
  <c r="D55" i="12"/>
  <c r="G53" i="12"/>
  <c r="D52" i="12"/>
  <c r="D51" i="12"/>
  <c r="D50" i="12"/>
  <c r="G49" i="12"/>
  <c r="F48" i="12"/>
  <c r="G47" i="12"/>
  <c r="D46" i="12"/>
  <c r="D45" i="12"/>
  <c r="D44" i="12"/>
  <c r="D43" i="12"/>
  <c r="G42" i="12"/>
  <c r="G41" i="12"/>
  <c r="F40" i="12"/>
  <c r="F39" i="12"/>
  <c r="D38" i="12"/>
  <c r="F37" i="12"/>
  <c r="D35" i="12"/>
  <c r="G34" i="12"/>
  <c r="G33" i="12"/>
  <c r="D22" i="12"/>
  <c r="H188" i="1" s="1"/>
  <c r="A1" i="12"/>
  <c r="A84" i="12" s="1"/>
  <c r="E281" i="1"/>
  <c r="E170" i="7" s="1"/>
  <c r="H277" i="1"/>
  <c r="H270" i="1"/>
  <c r="C270" i="1"/>
  <c r="H261" i="1"/>
  <c r="C260" i="1"/>
  <c r="H255" i="1"/>
  <c r="E255" i="1"/>
  <c r="E154" i="7" s="1"/>
  <c r="H247" i="1"/>
  <c r="E247" i="1"/>
  <c r="E98" i="7" s="1"/>
  <c r="H246" i="1"/>
  <c r="C246" i="1"/>
  <c r="E219" i="1"/>
  <c r="H216" i="1"/>
  <c r="E213" i="1"/>
  <c r="E86" i="7" s="1"/>
  <c r="H201" i="1"/>
  <c r="E201" i="1"/>
  <c r="E197" i="1"/>
  <c r="E195" i="1"/>
  <c r="H189" i="1"/>
  <c r="F189" i="1"/>
  <c r="G35" i="6" s="1"/>
  <c r="E189" i="1"/>
  <c r="H180" i="1"/>
  <c r="H172" i="1"/>
  <c r="E172" i="1"/>
  <c r="F154" i="1"/>
  <c r="E152" i="1"/>
  <c r="H150" i="1"/>
  <c r="F150" i="1"/>
  <c r="E150" i="1"/>
  <c r="E149" i="1"/>
  <c r="E147" i="1"/>
  <c r="H132" i="1"/>
  <c r="E132" i="1"/>
  <c r="E79" i="7" s="1"/>
  <c r="H131" i="1"/>
  <c r="H128" i="1"/>
  <c r="E128" i="1"/>
  <c r="E92" i="7" s="1"/>
  <c r="H127" i="1"/>
  <c r="E127" i="1"/>
  <c r="E73" i="7" s="1"/>
  <c r="F123" i="1"/>
  <c r="E121" i="1"/>
  <c r="E54" i="7" s="1"/>
  <c r="E119" i="1"/>
  <c r="H117" i="1"/>
  <c r="H116" i="1"/>
  <c r="H115" i="1"/>
  <c r="H114" i="1"/>
  <c r="E114" i="1"/>
  <c r="F113" i="1"/>
  <c r="E109" i="1"/>
  <c r="E20" i="7" s="1"/>
  <c r="E108" i="1"/>
  <c r="H107" i="1"/>
  <c r="F107" i="1"/>
  <c r="F116" i="1" s="1"/>
  <c r="E96" i="1"/>
  <c r="F126" i="7" s="1"/>
  <c r="H92" i="1"/>
  <c r="F85" i="1"/>
  <c r="E84" i="1"/>
  <c r="E17" i="7" s="1"/>
  <c r="E81" i="1"/>
  <c r="E78" i="1"/>
  <c r="F63" i="1"/>
  <c r="C63" i="1"/>
  <c r="H61" i="1"/>
  <c r="C61" i="1"/>
  <c r="H59" i="1"/>
  <c r="E59" i="1"/>
  <c r="E58" i="1"/>
  <c r="E56" i="1"/>
  <c r="E48" i="7" s="1"/>
  <c r="F50" i="1"/>
  <c r="E50" i="1"/>
  <c r="E32" i="7" s="1"/>
  <c r="F45" i="1"/>
  <c r="H42" i="1"/>
  <c r="E37" i="1"/>
  <c r="E35" i="1"/>
  <c r="E45" i="7" s="1"/>
  <c r="H22" i="1"/>
  <c r="E21" i="1"/>
  <c r="E7" i="7" s="1"/>
  <c r="E20" i="1"/>
  <c r="E18" i="1"/>
  <c r="E43" i="7" s="1"/>
  <c r="A18" i="1"/>
  <c r="H13" i="1"/>
  <c r="A11" i="1"/>
  <c r="A12" i="1" s="1"/>
  <c r="A13" i="1" s="1"/>
  <c r="F15" i="1" s="1"/>
  <c r="V58" i="26" l="1"/>
  <c r="V59" i="26" s="1"/>
  <c r="AL58" i="26"/>
  <c r="AL59" i="26" s="1"/>
  <c r="AL52" i="26"/>
  <c r="AL53" i="26" s="1"/>
  <c r="Z56" i="26"/>
  <c r="Z57" i="26" s="1"/>
  <c r="Z52" i="26"/>
  <c r="Z53" i="26" s="1"/>
  <c r="AH48" i="26"/>
  <c r="AH49" i="26" s="1"/>
  <c r="K52" i="26"/>
  <c r="J53" i="26"/>
  <c r="K53" i="26" s="1"/>
  <c r="O72" i="26"/>
  <c r="N73" i="26"/>
  <c r="O73" i="26" s="1"/>
  <c r="H44" i="1"/>
  <c r="H24" i="1"/>
  <c r="H15" i="1"/>
  <c r="H45" i="1" s="1"/>
  <c r="F72" i="27"/>
  <c r="G72" i="27" s="1"/>
  <c r="C16" i="27"/>
  <c r="C89" i="27" s="1"/>
  <c r="G33" i="27"/>
  <c r="G71" i="27"/>
  <c r="H100" i="27"/>
  <c r="B15" i="27"/>
  <c r="B64" i="27" s="1"/>
  <c r="F42" i="26"/>
  <c r="G42" i="26" s="1"/>
  <c r="G167" i="12"/>
  <c r="G170" i="12" s="1"/>
  <c r="F12" i="12" s="1"/>
  <c r="F170" i="12"/>
  <c r="E12" i="12" s="1"/>
  <c r="H151" i="1"/>
  <c r="H47" i="1"/>
  <c r="I18" i="6"/>
  <c r="H182" i="1"/>
  <c r="I35" i="6"/>
  <c r="I17" i="6"/>
  <c r="I34" i="6"/>
  <c r="C170" i="12"/>
  <c r="G12" i="12" s="1"/>
  <c r="D167" i="12"/>
  <c r="D170" i="12" s="1"/>
  <c r="C12" i="12" s="1"/>
  <c r="D116" i="12"/>
  <c r="D119" i="12" s="1"/>
  <c r="C11" i="12" s="1"/>
  <c r="C75" i="12"/>
  <c r="D72" i="12"/>
  <c r="D75" i="12" s="1"/>
  <c r="C13" i="12" s="1"/>
  <c r="G72" i="12"/>
  <c r="G75" i="12" s="1"/>
  <c r="F13" i="12" s="1"/>
  <c r="H60" i="1"/>
  <c r="H133" i="1"/>
  <c r="H129" i="1"/>
  <c r="H248" i="1"/>
  <c r="H190" i="1"/>
  <c r="A59" i="6"/>
  <c r="A60" i="6" s="1"/>
  <c r="A61" i="6" s="1"/>
  <c r="A62" i="6" s="1"/>
  <c r="G7" i="6"/>
  <c r="F35" i="27"/>
  <c r="H34" i="27"/>
  <c r="G34" i="27"/>
  <c r="G92" i="7"/>
  <c r="I92" i="7" s="1"/>
  <c r="I79" i="7"/>
  <c r="F43" i="26"/>
  <c r="G43" i="26" s="1"/>
  <c r="A43" i="7"/>
  <c r="A20" i="1"/>
  <c r="E36" i="3"/>
  <c r="E48" i="3" s="1"/>
  <c r="E52" i="3" s="1"/>
  <c r="B27" i="26"/>
  <c r="A27" i="26"/>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I62" i="6"/>
  <c r="H221" i="1"/>
  <c r="H217" i="1"/>
  <c r="H122" i="1"/>
  <c r="F13" i="1"/>
  <c r="H110" i="1"/>
  <c r="D14" i="12"/>
  <c r="D17" i="12" s="1"/>
  <c r="F72" i="12"/>
  <c r="F75" i="12" s="1"/>
  <c r="E13" i="12" s="1"/>
  <c r="C116" i="12"/>
  <c r="C119" i="12" s="1"/>
  <c r="G11" i="12" s="1"/>
  <c r="F93" i="12"/>
  <c r="F116" i="12" s="1"/>
  <c r="F119" i="12" s="1"/>
  <c r="E11" i="12" s="1"/>
  <c r="A128" i="12"/>
  <c r="H72" i="27"/>
  <c r="L132" i="27"/>
  <c r="M132" i="27" s="1"/>
  <c r="H133" i="27"/>
  <c r="K135" i="27"/>
  <c r="O47" i="26"/>
  <c r="I46" i="6"/>
  <c r="H173" i="1"/>
  <c r="C32" i="26"/>
  <c r="C34" i="26" s="1"/>
  <c r="C26" i="26"/>
  <c r="I47" i="6"/>
  <c r="I26" i="6"/>
  <c r="I28" i="6" s="1"/>
  <c r="I38" i="6" s="1"/>
  <c r="G178" i="7"/>
  <c r="K175" i="7"/>
  <c r="K178" i="7" s="1"/>
  <c r="I148" i="27"/>
  <c r="I149" i="27" s="1"/>
  <c r="I150" i="27" s="1"/>
  <c r="I151" i="27" s="1"/>
  <c r="I152" i="27" s="1"/>
  <c r="I153" i="27" s="1"/>
  <c r="I154" i="27" s="1"/>
  <c r="I155" i="27" s="1"/>
  <c r="I156" i="27" s="1"/>
  <c r="I157" i="27" s="1"/>
  <c r="I158" i="27" s="1"/>
  <c r="AD64" i="26"/>
  <c r="AD65" i="26" s="1"/>
  <c r="AD70" i="26"/>
  <c r="AD71" i="26" s="1"/>
  <c r="AD68" i="26"/>
  <c r="AD69" i="26" s="1"/>
  <c r="AD62" i="26"/>
  <c r="AD63" i="26" s="1"/>
  <c r="AD60" i="26"/>
  <c r="AD61" i="26" s="1"/>
  <c r="AD56" i="26"/>
  <c r="AD57" i="26" s="1"/>
  <c r="AD50" i="26"/>
  <c r="AD51" i="26" s="1"/>
  <c r="AD58" i="26"/>
  <c r="AD59" i="26" s="1"/>
  <c r="AD66" i="26"/>
  <c r="AD67" i="26" s="1"/>
  <c r="AD54" i="26"/>
  <c r="AD55" i="26" s="1"/>
  <c r="AD46" i="26"/>
  <c r="AD48" i="26"/>
  <c r="AD49" i="26" s="1"/>
  <c r="F45" i="26"/>
  <c r="G45" i="26" s="1"/>
  <c r="F101" i="27"/>
  <c r="AH64" i="26"/>
  <c r="AH65" i="26" s="1"/>
  <c r="AH70" i="26"/>
  <c r="AH71" i="26" s="1"/>
  <c r="AH68" i="26"/>
  <c r="AH69" i="26" s="1"/>
  <c r="AH62" i="26"/>
  <c r="AH63" i="26" s="1"/>
  <c r="AH66" i="26"/>
  <c r="AH67" i="26" s="1"/>
  <c r="AH60" i="26"/>
  <c r="AH61" i="26" s="1"/>
  <c r="AH58" i="26"/>
  <c r="AH59" i="26" s="1"/>
  <c r="AH50" i="26"/>
  <c r="AH51" i="26" s="1"/>
  <c r="AH56" i="26"/>
  <c r="AH57" i="26" s="1"/>
  <c r="AH54" i="26"/>
  <c r="AH55" i="26" s="1"/>
  <c r="F64" i="26"/>
  <c r="F70" i="26"/>
  <c r="F68" i="26"/>
  <c r="F66" i="26"/>
  <c r="F62" i="26"/>
  <c r="F60" i="26"/>
  <c r="F50" i="26"/>
  <c r="F58" i="26"/>
  <c r="F54" i="26"/>
  <c r="V64" i="26"/>
  <c r="V65" i="26" s="1"/>
  <c r="V70" i="26"/>
  <c r="V71" i="26" s="1"/>
  <c r="V68" i="26"/>
  <c r="V69" i="26" s="1"/>
  <c r="V66" i="26"/>
  <c r="V67" i="26" s="1"/>
  <c r="V62" i="26"/>
  <c r="V63" i="26" s="1"/>
  <c r="V60" i="26"/>
  <c r="V61" i="26" s="1"/>
  <c r="V50" i="26"/>
  <c r="V51" i="26" s="1"/>
  <c r="V56" i="26"/>
  <c r="V57" i="26" s="1"/>
  <c r="V54" i="26"/>
  <c r="V55" i="26" s="1"/>
  <c r="AL64" i="26"/>
  <c r="AL65" i="26" s="1"/>
  <c r="AL70" i="26"/>
  <c r="AL71" i="26" s="1"/>
  <c r="AL68" i="26"/>
  <c r="AL69" i="26" s="1"/>
  <c r="AL66" i="26"/>
  <c r="AL67" i="26" s="1"/>
  <c r="AL62" i="26"/>
  <c r="AL63" i="26" s="1"/>
  <c r="AL60" i="26"/>
  <c r="AL61" i="26" s="1"/>
  <c r="AL50" i="26"/>
  <c r="AL51" i="26" s="1"/>
  <c r="AL56" i="26"/>
  <c r="AL57" i="26" s="1"/>
  <c r="AL54" i="26"/>
  <c r="AL55" i="26" s="1"/>
  <c r="F46" i="26"/>
  <c r="V46" i="26"/>
  <c r="Z46" i="26"/>
  <c r="AH46" i="26"/>
  <c r="AL46" i="26"/>
  <c r="F48" i="26"/>
  <c r="Z48" i="26"/>
  <c r="Z49" i="26" s="1"/>
  <c r="F52" i="26"/>
  <c r="Z64" i="26"/>
  <c r="Z65" i="26" s="1"/>
  <c r="Z70" i="26"/>
  <c r="Z71" i="26" s="1"/>
  <c r="Z68" i="26"/>
  <c r="Z69" i="26" s="1"/>
  <c r="Z66" i="26"/>
  <c r="Z67" i="26" s="1"/>
  <c r="Z62" i="26"/>
  <c r="Z63" i="26" s="1"/>
  <c r="Z60" i="26"/>
  <c r="Z61" i="26" s="1"/>
  <c r="Z50" i="26"/>
  <c r="Z51" i="26" s="1"/>
  <c r="Z58" i="26"/>
  <c r="Z59" i="26" s="1"/>
  <c r="Z54" i="26"/>
  <c r="Z55" i="26" s="1"/>
  <c r="O46" i="26"/>
  <c r="V48" i="26"/>
  <c r="V49" i="26" s="1"/>
  <c r="AL48" i="26"/>
  <c r="AL49" i="26" s="1"/>
  <c r="F56" i="26"/>
  <c r="H46" i="1" l="1"/>
  <c r="H48" i="1" s="1"/>
  <c r="H63" i="1"/>
  <c r="F26" i="3"/>
  <c r="G26" i="3" s="1"/>
  <c r="H249" i="1"/>
  <c r="F15" i="12"/>
  <c r="E115" i="7"/>
  <c r="F115" i="7" s="1"/>
  <c r="H81" i="1" s="1"/>
  <c r="H85" i="1"/>
  <c r="H86" i="1" s="1"/>
  <c r="H88" i="1" s="1"/>
  <c r="H154" i="1"/>
  <c r="H123" i="1"/>
  <c r="H124" i="1" s="1"/>
  <c r="H62" i="1"/>
  <c r="H192" i="1"/>
  <c r="H153" i="1"/>
  <c r="F14" i="12"/>
  <c r="B16" i="27"/>
  <c r="B89" i="27" s="1"/>
  <c r="F73" i="27"/>
  <c r="G73" i="27" s="1"/>
  <c r="C17" i="27"/>
  <c r="C18" i="27" s="1"/>
  <c r="I36" i="6"/>
  <c r="I39" i="6" s="1"/>
  <c r="I42" i="6" s="1"/>
  <c r="I50" i="6" s="1"/>
  <c r="H65" i="1"/>
  <c r="C14" i="12"/>
  <c r="G13" i="12"/>
  <c r="G14" i="12" s="1"/>
  <c r="E14" i="12"/>
  <c r="F67" i="26"/>
  <c r="G67" i="26" s="1"/>
  <c r="G66" i="26"/>
  <c r="K136" i="27"/>
  <c r="A21" i="1"/>
  <c r="F22" i="1" s="1"/>
  <c r="F49" i="26"/>
  <c r="G49" i="26" s="1"/>
  <c r="G48" i="26"/>
  <c r="Z47" i="26"/>
  <c r="AA47" i="26" s="1"/>
  <c r="Y48" i="26" s="1"/>
  <c r="AA46" i="26"/>
  <c r="G50" i="26"/>
  <c r="F51" i="26"/>
  <c r="G51" i="26" s="1"/>
  <c r="F69" i="26"/>
  <c r="G69" i="26" s="1"/>
  <c r="G68" i="26"/>
  <c r="H101" i="27"/>
  <c r="G101" i="27"/>
  <c r="F102" i="27"/>
  <c r="AE46" i="26"/>
  <c r="AD47" i="26"/>
  <c r="AE47" i="26" s="1"/>
  <c r="AC48" i="26" s="1"/>
  <c r="I19" i="6"/>
  <c r="H199" i="1"/>
  <c r="H139" i="1" s="1"/>
  <c r="H134" i="27"/>
  <c r="L133" i="27"/>
  <c r="M133" i="27" s="1"/>
  <c r="AI46" i="26"/>
  <c r="AH47" i="26"/>
  <c r="AI47" i="26" s="1"/>
  <c r="AG48" i="26" s="1"/>
  <c r="F59" i="26"/>
  <c r="G59" i="26" s="1"/>
  <c r="G58" i="26"/>
  <c r="F61" i="26"/>
  <c r="G61" i="26" s="1"/>
  <c r="G60" i="26"/>
  <c r="F71" i="26"/>
  <c r="G71" i="26" s="1"/>
  <c r="G70" i="26"/>
  <c r="I68" i="6"/>
  <c r="F36" i="27"/>
  <c r="H35" i="27"/>
  <c r="G35" i="27"/>
  <c r="F47" i="26"/>
  <c r="G47" i="26" s="1"/>
  <c r="G46" i="26"/>
  <c r="V47" i="26"/>
  <c r="W47" i="26" s="1"/>
  <c r="U48" i="26" s="1"/>
  <c r="W46" i="26"/>
  <c r="F57" i="26"/>
  <c r="G57" i="26" s="1"/>
  <c r="G56" i="26"/>
  <c r="F53" i="26"/>
  <c r="G53" i="26" s="1"/>
  <c r="G52" i="26"/>
  <c r="AM46" i="26"/>
  <c r="AL47" i="26"/>
  <c r="AM47" i="26" s="1"/>
  <c r="AK48" i="26" s="1"/>
  <c r="F55" i="26"/>
  <c r="G55" i="26" s="1"/>
  <c r="G54" i="26"/>
  <c r="F63" i="26"/>
  <c r="G63" i="26" s="1"/>
  <c r="G62" i="26"/>
  <c r="F65" i="26"/>
  <c r="G65" i="26" s="1"/>
  <c r="G64" i="26"/>
  <c r="I63" i="6"/>
  <c r="I64" i="6"/>
  <c r="F17" i="12" l="1"/>
  <c r="E120" i="7"/>
  <c r="F120" i="7" s="1"/>
  <c r="H138" i="1" s="1"/>
  <c r="H140" i="1" s="1"/>
  <c r="H64" i="1"/>
  <c r="H155" i="1"/>
  <c r="H193" i="1"/>
  <c r="H196" i="1" s="1"/>
  <c r="H204" i="1" s="1"/>
  <c r="I45" i="6"/>
  <c r="C121" i="27"/>
  <c r="H73" i="27"/>
  <c r="F74" i="27"/>
  <c r="F75" i="27" s="1"/>
  <c r="B17" i="27"/>
  <c r="B121" i="27" s="1"/>
  <c r="H156" i="1"/>
  <c r="H66" i="1"/>
  <c r="W48" i="26"/>
  <c r="U49" i="26"/>
  <c r="W49" i="26" s="1"/>
  <c r="U50" i="26" s="1"/>
  <c r="C166" i="27"/>
  <c r="C19" i="27"/>
  <c r="C170" i="27" s="1"/>
  <c r="AA48" i="26"/>
  <c r="Y49" i="26"/>
  <c r="AA49" i="26" s="1"/>
  <c r="Y50" i="26" s="1"/>
  <c r="AM48" i="26"/>
  <c r="AK49" i="26"/>
  <c r="AM49" i="26" s="1"/>
  <c r="AK50" i="26" s="1"/>
  <c r="G36" i="27"/>
  <c r="F37" i="27"/>
  <c r="H36" i="27"/>
  <c r="K137" i="27"/>
  <c r="AI48" i="26"/>
  <c r="AG49" i="26"/>
  <c r="AI49" i="26" s="1"/>
  <c r="AG50" i="26" s="1"/>
  <c r="H135" i="27"/>
  <c r="L134" i="27"/>
  <c r="M134" i="27" s="1"/>
  <c r="AE48" i="26"/>
  <c r="AC49" i="26"/>
  <c r="AE49" i="26" s="1"/>
  <c r="AC50" i="26" s="1"/>
  <c r="F103" i="27"/>
  <c r="H102" i="27"/>
  <c r="G102" i="27"/>
  <c r="A7" i="7"/>
  <c r="A22" i="1"/>
  <c r="F61" i="1"/>
  <c r="G74" i="27"/>
  <c r="H197" i="1" l="1"/>
  <c r="H205" i="1" s="1"/>
  <c r="H68" i="1"/>
  <c r="H74" i="27"/>
  <c r="H157" i="1"/>
  <c r="AK51" i="26"/>
  <c r="AM51" i="26" s="1"/>
  <c r="AK52" i="26" s="1"/>
  <c r="AM50" i="26"/>
  <c r="Y51" i="26"/>
  <c r="AA51" i="26" s="1"/>
  <c r="Y52" i="26" s="1"/>
  <c r="AA50" i="26"/>
  <c r="U51" i="26"/>
  <c r="W51" i="26" s="1"/>
  <c r="U52" i="26" s="1"/>
  <c r="W50" i="26"/>
  <c r="H75" i="27"/>
  <c r="G75" i="27"/>
  <c r="F76" i="27"/>
  <c r="AC51" i="26"/>
  <c r="AE51" i="26" s="1"/>
  <c r="AC52" i="26" s="1"/>
  <c r="AE50" i="26"/>
  <c r="H136" i="27"/>
  <c r="L135" i="27"/>
  <c r="M135" i="27" s="1"/>
  <c r="H37" i="27"/>
  <c r="G37" i="27"/>
  <c r="F38" i="27"/>
  <c r="AG51" i="26"/>
  <c r="AI51" i="26" s="1"/>
  <c r="AG52" i="26" s="1"/>
  <c r="AI50" i="26"/>
  <c r="K138" i="27"/>
  <c r="A24" i="1"/>
  <c r="A26" i="1" s="1"/>
  <c r="F24" i="1"/>
  <c r="F104" i="27"/>
  <c r="H103" i="27"/>
  <c r="G103" i="27"/>
  <c r="AG53" i="26" l="1"/>
  <c r="AI53" i="26" s="1"/>
  <c r="AI52" i="26"/>
  <c r="Y53" i="26"/>
  <c r="AA53" i="26" s="1"/>
  <c r="AA52" i="26"/>
  <c r="AC53" i="26"/>
  <c r="AE53" i="26" s="1"/>
  <c r="AE52" i="26"/>
  <c r="U53" i="26"/>
  <c r="W53" i="26" s="1"/>
  <c r="W52" i="26"/>
  <c r="AK53" i="26"/>
  <c r="AM53" i="26" s="1"/>
  <c r="AM52" i="26"/>
  <c r="I43" i="6"/>
  <c r="H195" i="1"/>
  <c r="H203" i="1" s="1"/>
  <c r="H206" i="1" s="1"/>
  <c r="H160" i="1"/>
  <c r="O54" i="26"/>
  <c r="O55" i="26"/>
  <c r="AC54" i="26"/>
  <c r="AG54" i="26"/>
  <c r="H137" i="27"/>
  <c r="L136" i="27"/>
  <c r="M136" i="27" s="1"/>
  <c r="G104" i="27"/>
  <c r="F105" i="27"/>
  <c r="H104" i="27"/>
  <c r="Y54" i="26"/>
  <c r="K139" i="27"/>
  <c r="F27" i="1"/>
  <c r="A27" i="1"/>
  <c r="A29" i="1" s="1"/>
  <c r="F39" i="27"/>
  <c r="H38" i="27"/>
  <c r="G38" i="27"/>
  <c r="F77" i="27"/>
  <c r="H76" i="27"/>
  <c r="G76" i="27"/>
  <c r="U54" i="26"/>
  <c r="AK54" i="26"/>
  <c r="I51" i="6" l="1"/>
  <c r="I41" i="6"/>
  <c r="I49" i="6" s="1"/>
  <c r="H238" i="1"/>
  <c r="AI54" i="26"/>
  <c r="AG55" i="26"/>
  <c r="AI55" i="26" s="1"/>
  <c r="AG56" i="26" s="1"/>
  <c r="AE54" i="26"/>
  <c r="AC55" i="26"/>
  <c r="AE55" i="26" s="1"/>
  <c r="AC56" i="26" s="1"/>
  <c r="AA54" i="26"/>
  <c r="Y55" i="26"/>
  <c r="AA55" i="26" s="1"/>
  <c r="Y56" i="26" s="1"/>
  <c r="AM54" i="26"/>
  <c r="AK55" i="26"/>
  <c r="AM55" i="26" s="1"/>
  <c r="AK56" i="26" s="1"/>
  <c r="F40" i="27"/>
  <c r="H39" i="27"/>
  <c r="G39" i="27"/>
  <c r="O57" i="26"/>
  <c r="O56" i="26"/>
  <c r="W54" i="26"/>
  <c r="U55" i="26"/>
  <c r="W55" i="26" s="1"/>
  <c r="U56" i="26" s="1"/>
  <c r="F78" i="27"/>
  <c r="H77" i="27"/>
  <c r="G77" i="27"/>
  <c r="F30" i="1"/>
  <c r="A30" i="1"/>
  <c r="K140" i="27"/>
  <c r="H105" i="27"/>
  <c r="G105" i="27"/>
  <c r="F106" i="27"/>
  <c r="H138" i="27"/>
  <c r="L137" i="27"/>
  <c r="M137" i="27" s="1"/>
  <c r="S54" i="26"/>
  <c r="S55" i="26"/>
  <c r="I52" i="6" l="1"/>
  <c r="H139" i="27"/>
  <c r="L138" i="27"/>
  <c r="M138" i="27" s="1"/>
  <c r="O58" i="26"/>
  <c r="O59" i="26"/>
  <c r="AK57" i="26"/>
  <c r="AM57" i="26" s="1"/>
  <c r="AK58" i="26" s="1"/>
  <c r="AM56" i="26"/>
  <c r="F107" i="27"/>
  <c r="H106" i="27"/>
  <c r="G106" i="27"/>
  <c r="F134" i="1"/>
  <c r="F222" i="1"/>
  <c r="G69" i="6" s="1"/>
  <c r="A35" i="1"/>
  <c r="G78" i="27"/>
  <c r="F79" i="27"/>
  <c r="H78" i="27"/>
  <c r="Y57" i="26"/>
  <c r="AA57" i="26" s="1"/>
  <c r="Y58" i="26" s="1"/>
  <c r="AA56" i="26"/>
  <c r="AG57" i="26"/>
  <c r="AI57" i="26" s="1"/>
  <c r="AG58" i="26" s="1"/>
  <c r="AI56" i="26"/>
  <c r="S57" i="26"/>
  <c r="S56" i="26"/>
  <c r="K141" i="27"/>
  <c r="AC57" i="26"/>
  <c r="AE57" i="26" s="1"/>
  <c r="AC58" i="26" s="1"/>
  <c r="AE56" i="26"/>
  <c r="U57" i="26"/>
  <c r="W57" i="26" s="1"/>
  <c r="U58" i="26" s="1"/>
  <c r="W56" i="26"/>
  <c r="G40" i="27"/>
  <c r="F41" i="27"/>
  <c r="H40" i="27"/>
  <c r="W58" i="26" l="1"/>
  <c r="U59" i="26"/>
  <c r="W59" i="26" s="1"/>
  <c r="U60" i="26" s="1"/>
  <c r="H41" i="27"/>
  <c r="G41" i="27"/>
  <c r="F42" i="27"/>
  <c r="AM58" i="26"/>
  <c r="AK59" i="26"/>
  <c r="AM59" i="26" s="1"/>
  <c r="AK60" i="26" s="1"/>
  <c r="K142" i="27"/>
  <c r="H79" i="27"/>
  <c r="G79" i="27"/>
  <c r="F80" i="27"/>
  <c r="AE58" i="26"/>
  <c r="AC59" i="26"/>
  <c r="AE59" i="26" s="1"/>
  <c r="AC60" i="26" s="1"/>
  <c r="S58" i="26"/>
  <c r="S59" i="26"/>
  <c r="AA58" i="26"/>
  <c r="Y59" i="26"/>
  <c r="AA59" i="26" s="1"/>
  <c r="Y60" i="26" s="1"/>
  <c r="A45" i="7"/>
  <c r="A36" i="1"/>
  <c r="F246" i="1"/>
  <c r="O60" i="26"/>
  <c r="O61" i="26"/>
  <c r="H140" i="27"/>
  <c r="L139" i="27"/>
  <c r="M139" i="27" s="1"/>
  <c r="AI58" i="26"/>
  <c r="AG59" i="26"/>
  <c r="AI59" i="26" s="1"/>
  <c r="AG60" i="26" s="1"/>
  <c r="F108" i="27"/>
  <c r="H107" i="27"/>
  <c r="G107" i="27"/>
  <c r="AI60" i="26" l="1"/>
  <c r="AG61" i="26"/>
  <c r="AI61" i="26" s="1"/>
  <c r="AG62" i="26" s="1"/>
  <c r="AM60" i="26"/>
  <c r="AK61" i="26"/>
  <c r="AM61" i="26" s="1"/>
  <c r="AK62" i="26" s="1"/>
  <c r="G108" i="27"/>
  <c r="F109" i="27"/>
  <c r="H108" i="27"/>
  <c r="S60" i="26"/>
  <c r="S61" i="26"/>
  <c r="O63" i="26"/>
  <c r="O62" i="26"/>
  <c r="AE60" i="26"/>
  <c r="AC61" i="26"/>
  <c r="AE61" i="26" s="1"/>
  <c r="AC62" i="26" s="1"/>
  <c r="W60" i="26"/>
  <c r="U61" i="26"/>
  <c r="W61" i="26" s="1"/>
  <c r="U62" i="26" s="1"/>
  <c r="F81" i="27"/>
  <c r="H80" i="27"/>
  <c r="G80" i="27"/>
  <c r="H141" i="27"/>
  <c r="L140" i="27"/>
  <c r="M140" i="27" s="1"/>
  <c r="AA60" i="26"/>
  <c r="Y61" i="26"/>
  <c r="AA61" i="26" s="1"/>
  <c r="Y62" i="26" s="1"/>
  <c r="C288" i="1"/>
  <c r="A37" i="1"/>
  <c r="K143" i="27"/>
  <c r="F43" i="27"/>
  <c r="H42" i="27"/>
  <c r="G42" i="27"/>
  <c r="H142" i="27" l="1"/>
  <c r="L141" i="27"/>
  <c r="M141" i="27" s="1"/>
  <c r="U63" i="26"/>
  <c r="W63" i="26" s="1"/>
  <c r="U64" i="26" s="1"/>
  <c r="W62" i="26"/>
  <c r="H81" i="27"/>
  <c r="H82" i="27" s="1"/>
  <c r="H85" i="27" s="1"/>
  <c r="G81" i="27"/>
  <c r="G82" i="27" s="1"/>
  <c r="O65" i="26"/>
  <c r="O64" i="26"/>
  <c r="H109" i="27"/>
  <c r="G109" i="27"/>
  <c r="F110" i="27"/>
  <c r="AI62" i="26"/>
  <c r="AG63" i="26"/>
  <c r="AI63" i="26" s="1"/>
  <c r="AG64" i="26" s="1"/>
  <c r="Y63" i="26"/>
  <c r="AA63" i="26" s="1"/>
  <c r="Y64" i="26" s="1"/>
  <c r="AA62" i="26"/>
  <c r="AM62" i="26"/>
  <c r="AK63" i="26"/>
  <c r="AM63" i="26" s="1"/>
  <c r="AK64" i="26" s="1"/>
  <c r="C289" i="1"/>
  <c r="A38" i="1"/>
  <c r="F38" i="1"/>
  <c r="H43" i="27"/>
  <c r="H44" i="27" s="1"/>
  <c r="H47" i="27" s="1"/>
  <c r="G43" i="27"/>
  <c r="G44" i="27" s="1"/>
  <c r="AC63" i="26"/>
  <c r="AE63" i="26" s="1"/>
  <c r="AC64" i="26" s="1"/>
  <c r="AE62" i="26"/>
  <c r="S63" i="26"/>
  <c r="S62" i="26"/>
  <c r="H78" i="1" l="1"/>
  <c r="M28" i="26"/>
  <c r="AG65" i="26"/>
  <c r="AI65" i="26" s="1"/>
  <c r="AG66" i="26" s="1"/>
  <c r="AI64" i="26"/>
  <c r="Y65" i="26"/>
  <c r="AA65" i="26" s="1"/>
  <c r="Y66" i="26" s="1"/>
  <c r="AA64" i="26"/>
  <c r="G46" i="27"/>
  <c r="G45" i="27"/>
  <c r="G84" i="27"/>
  <c r="H37" i="1" s="1"/>
  <c r="G83" i="27"/>
  <c r="S65" i="26"/>
  <c r="S64" i="26"/>
  <c r="AK65" i="26"/>
  <c r="AM65" i="26" s="1"/>
  <c r="AK66" i="26" s="1"/>
  <c r="AM64" i="26"/>
  <c r="AC65" i="26"/>
  <c r="AE65" i="26" s="1"/>
  <c r="AC66" i="26" s="1"/>
  <c r="AE64" i="26"/>
  <c r="A40" i="1"/>
  <c r="H110" i="27"/>
  <c r="H111" i="27" s="1"/>
  <c r="H114" i="27" s="1"/>
  <c r="G110" i="27"/>
  <c r="G111" i="27" s="1"/>
  <c r="G113" i="27" s="1"/>
  <c r="O66" i="26"/>
  <c r="O67" i="26"/>
  <c r="U65" i="26"/>
  <c r="W65" i="26" s="1"/>
  <c r="U66" i="26" s="1"/>
  <c r="W64" i="26"/>
  <c r="H143" i="27"/>
  <c r="L142" i="27"/>
  <c r="M142" i="27" s="1"/>
  <c r="M53" i="26" l="1"/>
  <c r="O53" i="26" s="1"/>
  <c r="M52" i="26"/>
  <c r="O52" i="26" s="1"/>
  <c r="H38" i="1"/>
  <c r="AM66" i="26"/>
  <c r="AK67" i="26"/>
  <c r="AM67" i="26" s="1"/>
  <c r="AK68" i="26" s="1"/>
  <c r="AA66" i="26"/>
  <c r="Y67" i="26"/>
  <c r="AA67" i="26" s="1"/>
  <c r="Y68" i="26" s="1"/>
  <c r="O68" i="26"/>
  <c r="O69" i="26"/>
  <c r="H144" i="27"/>
  <c r="L143" i="27"/>
  <c r="M143" i="27" s="1"/>
  <c r="M144" i="27" s="1"/>
  <c r="A41" i="1"/>
  <c r="A42" i="1" s="1"/>
  <c r="W66" i="26"/>
  <c r="U67" i="26"/>
  <c r="W67" i="26" s="1"/>
  <c r="U68" i="26" s="1"/>
  <c r="AE66" i="26"/>
  <c r="AC67" i="26"/>
  <c r="AE67" i="26" s="1"/>
  <c r="AC68" i="26" s="1"/>
  <c r="S66" i="26"/>
  <c r="S67" i="26"/>
  <c r="AI66" i="26"/>
  <c r="AG67" i="26"/>
  <c r="AI67" i="26" s="1"/>
  <c r="AG68" i="26" s="1"/>
  <c r="H52" i="1" l="1"/>
  <c r="H70" i="1" s="1"/>
  <c r="F42" i="1"/>
  <c r="H147" i="27"/>
  <c r="K147" i="27"/>
  <c r="AI68" i="26"/>
  <c r="AG69" i="26"/>
  <c r="AI69" i="26" s="1"/>
  <c r="AG70" i="26" s="1"/>
  <c r="AE68" i="26"/>
  <c r="AC69" i="26"/>
  <c r="AE69" i="26" s="1"/>
  <c r="AC70" i="26" s="1"/>
  <c r="O70" i="26"/>
  <c r="O71" i="26"/>
  <c r="AM68" i="26"/>
  <c r="AK69" i="26"/>
  <c r="AM69" i="26" s="1"/>
  <c r="AK70" i="26" s="1"/>
  <c r="AA68" i="26"/>
  <c r="Y69" i="26"/>
  <c r="AA69" i="26" s="1"/>
  <c r="Y70" i="26" s="1"/>
  <c r="W68" i="26"/>
  <c r="U69" i="26"/>
  <c r="W69" i="26" s="1"/>
  <c r="U70" i="26" s="1"/>
  <c r="S68" i="26"/>
  <c r="S69" i="26"/>
  <c r="A43" i="1"/>
  <c r="A44" i="1" s="1"/>
  <c r="H26" i="1" l="1"/>
  <c r="H29" i="1"/>
  <c r="H233" i="1"/>
  <c r="F44" i="1"/>
  <c r="S70" i="26"/>
  <c r="S71" i="26"/>
  <c r="K148" i="27"/>
  <c r="K149" i="27" s="1"/>
  <c r="K150" i="27" s="1"/>
  <c r="K151" i="27" s="1"/>
  <c r="K152" i="27" s="1"/>
  <c r="K153" i="27" s="1"/>
  <c r="K154" i="27" s="1"/>
  <c r="K155" i="27" s="1"/>
  <c r="K156" i="27" s="1"/>
  <c r="K157" i="27" s="1"/>
  <c r="K158" i="27" s="1"/>
  <c r="AI70" i="26"/>
  <c r="AG71" i="26"/>
  <c r="AI71" i="26" s="1"/>
  <c r="AA70" i="26"/>
  <c r="Y71" i="26"/>
  <c r="AA71" i="26" s="1"/>
  <c r="A45" i="1"/>
  <c r="A46" i="1" s="1"/>
  <c r="W70" i="26"/>
  <c r="U71" i="26"/>
  <c r="W71" i="26" s="1"/>
  <c r="AM70" i="26"/>
  <c r="AK71" i="26"/>
  <c r="AM71" i="26" s="1"/>
  <c r="AE70" i="26"/>
  <c r="AC71" i="26"/>
  <c r="AE71" i="26" s="1"/>
  <c r="L147" i="27"/>
  <c r="H148" i="27" s="1"/>
  <c r="L148" i="27" s="1"/>
  <c r="H149" i="27" s="1"/>
  <c r="L149" i="27" s="1"/>
  <c r="H150" i="27" s="1"/>
  <c r="L150" i="27" s="1"/>
  <c r="H151" i="27" s="1"/>
  <c r="L151" i="27" s="1"/>
  <c r="H152" i="27" s="1"/>
  <c r="L152" i="27" s="1"/>
  <c r="H153" i="27" s="1"/>
  <c r="L153" i="27" s="1"/>
  <c r="H154" i="27" s="1"/>
  <c r="L154" i="27" s="1"/>
  <c r="H155" i="27" s="1"/>
  <c r="L155" i="27" s="1"/>
  <c r="H156" i="27" s="1"/>
  <c r="L156" i="27" s="1"/>
  <c r="H157" i="27" s="1"/>
  <c r="L157" i="27" s="1"/>
  <c r="H158" i="27" s="1"/>
  <c r="L158" i="27" s="1"/>
  <c r="H27" i="1" l="1"/>
  <c r="H30" i="1"/>
  <c r="F17" i="3" s="1"/>
  <c r="G17" i="3" s="1"/>
  <c r="F46" i="1"/>
  <c r="A47" i="1"/>
  <c r="F48" i="1" s="1"/>
  <c r="K159" i="27"/>
  <c r="K161" i="27" s="1"/>
  <c r="H275" i="1" l="1"/>
  <c r="E16" i="12"/>
  <c r="E17" i="12" s="1"/>
  <c r="G17" i="12" s="1"/>
  <c r="H75" i="1" s="1"/>
  <c r="F34" i="3"/>
  <c r="G34" i="3" s="1"/>
  <c r="G36" i="3" s="1"/>
  <c r="H164" i="1" s="1"/>
  <c r="H134" i="1"/>
  <c r="H135" i="1" s="1"/>
  <c r="H142" i="1" s="1"/>
  <c r="H91" i="1" s="1"/>
  <c r="H222" i="1"/>
  <c r="H223" i="1" s="1"/>
  <c r="I69" i="6"/>
  <c r="I70" i="6" s="1"/>
  <c r="A10" i="7"/>
  <c r="A48" i="1"/>
  <c r="F65" i="1"/>
  <c r="H166" i="1" l="1"/>
  <c r="H93" i="1"/>
  <c r="H237" i="1"/>
  <c r="A50" i="1"/>
  <c r="H239" i="1" l="1"/>
  <c r="H98" i="1"/>
  <c r="A32" i="7"/>
  <c r="A52" i="1"/>
  <c r="F52" i="1"/>
  <c r="H100" i="1" l="1"/>
  <c r="H234" i="1"/>
  <c r="A56" i="1"/>
  <c r="F26" i="1"/>
  <c r="H235" i="1" l="1"/>
  <c r="H208" i="1"/>
  <c r="I14" i="6"/>
  <c r="I54" i="6" s="1"/>
  <c r="I74" i="6" s="1"/>
  <c r="I76" i="6" s="1"/>
  <c r="I7" i="6" s="1"/>
  <c r="H268" i="1" s="1"/>
  <c r="A48" i="7"/>
  <c r="A58" i="1"/>
  <c r="F261" i="1"/>
  <c r="F270" i="1"/>
  <c r="H226" i="1" l="1"/>
  <c r="H240" i="1"/>
  <c r="A59" i="1"/>
  <c r="H228" i="1" l="1"/>
  <c r="A14" i="7"/>
  <c r="A60" i="1"/>
  <c r="F60" i="1"/>
  <c r="H241" i="1" l="1"/>
  <c r="A61" i="1"/>
  <c r="A62" i="1" s="1"/>
  <c r="H243" i="1" l="1"/>
  <c r="F62" i="1"/>
  <c r="A63" i="1"/>
  <c r="A64" i="1" s="1"/>
  <c r="H250" i="1" l="1"/>
  <c r="A65" i="1"/>
  <c r="F64" i="1"/>
  <c r="H260" i="1" l="1"/>
  <c r="H251" i="1"/>
  <c r="H267" i="1"/>
  <c r="A66" i="1"/>
  <c r="F66" i="1"/>
  <c r="H269" i="1" l="1"/>
  <c r="H257" i="1"/>
  <c r="H262" i="1"/>
  <c r="H263" i="1"/>
  <c r="N9" i="26" s="1"/>
  <c r="Q26" i="26" s="1"/>
  <c r="T52" i="26" s="1"/>
  <c r="H264" i="1"/>
  <c r="N15" i="26" s="1"/>
  <c r="A68" i="1"/>
  <c r="F68" i="1"/>
  <c r="AC27" i="26" l="1"/>
  <c r="AF53" i="26" s="1"/>
  <c r="AG26" i="26"/>
  <c r="AJ52" i="26" s="1"/>
  <c r="AG27" i="26"/>
  <c r="AJ53" i="26" s="1"/>
  <c r="AC26" i="26"/>
  <c r="AF52" i="26" s="1"/>
  <c r="H274" i="1"/>
  <c r="M26" i="26"/>
  <c r="P52" i="26" s="1"/>
  <c r="I26" i="26"/>
  <c r="L52" i="26" s="1"/>
  <c r="U26" i="26"/>
  <c r="X52" i="26" s="1"/>
  <c r="Y26" i="26"/>
  <c r="AB52" i="26" s="1"/>
  <c r="AK26" i="26"/>
  <c r="AN52" i="26" s="1"/>
  <c r="E26" i="26"/>
  <c r="H271" i="1"/>
  <c r="H272" i="1"/>
  <c r="N10" i="26" s="1"/>
  <c r="N11" i="26" s="1"/>
  <c r="A70" i="1"/>
  <c r="F70" i="1"/>
  <c r="AK27" i="26" l="1"/>
  <c r="Q27" i="26"/>
  <c r="T53" i="26" s="1"/>
  <c r="AN60" i="26"/>
  <c r="AN48" i="26"/>
  <c r="AN70" i="26"/>
  <c r="AN56" i="26"/>
  <c r="AN64" i="26"/>
  <c r="AN54" i="26"/>
  <c r="AN66" i="26"/>
  <c r="AN68" i="26"/>
  <c r="AN46" i="26"/>
  <c r="AN50" i="26"/>
  <c r="AN62" i="26"/>
  <c r="AN58" i="26"/>
  <c r="AF50" i="26"/>
  <c r="AF46" i="26"/>
  <c r="AF54" i="26"/>
  <c r="AF60" i="26"/>
  <c r="AF64" i="26"/>
  <c r="AF68" i="26"/>
  <c r="AF66" i="26"/>
  <c r="AF62" i="26"/>
  <c r="AF56" i="26"/>
  <c r="AF48" i="26"/>
  <c r="AF58" i="26"/>
  <c r="AF70" i="26"/>
  <c r="M27" i="26"/>
  <c r="P53" i="26" s="1"/>
  <c r="E27" i="26"/>
  <c r="I27" i="26"/>
  <c r="L53" i="26" s="1"/>
  <c r="Y27" i="26"/>
  <c r="AB53" i="26" s="1"/>
  <c r="AB68" i="26"/>
  <c r="AB70" i="26"/>
  <c r="AB48" i="26"/>
  <c r="AB58" i="26"/>
  <c r="AB56" i="26"/>
  <c r="AB64" i="26"/>
  <c r="AB54" i="26"/>
  <c r="AB62" i="26"/>
  <c r="AB50" i="26"/>
  <c r="AB60" i="26"/>
  <c r="AB46" i="26"/>
  <c r="AB66" i="26"/>
  <c r="P46" i="26"/>
  <c r="P66" i="26"/>
  <c r="P60" i="26"/>
  <c r="P56" i="26"/>
  <c r="P68" i="26"/>
  <c r="P58" i="26"/>
  <c r="P64" i="26"/>
  <c r="P54" i="26"/>
  <c r="P70" i="26"/>
  <c r="P62" i="26"/>
  <c r="AJ47" i="26"/>
  <c r="AJ61" i="26"/>
  <c r="AJ59" i="26"/>
  <c r="AJ57" i="26"/>
  <c r="AJ51" i="26"/>
  <c r="AJ65" i="26"/>
  <c r="AJ63" i="26"/>
  <c r="AJ71" i="26"/>
  <c r="AJ49" i="26"/>
  <c r="AJ69" i="26"/>
  <c r="AJ55" i="26"/>
  <c r="AJ67" i="26"/>
  <c r="U27" i="26"/>
  <c r="X53" i="26" s="1"/>
  <c r="T64" i="26"/>
  <c r="T68" i="26"/>
  <c r="T56" i="26"/>
  <c r="T66" i="26"/>
  <c r="T54" i="26"/>
  <c r="T60" i="26"/>
  <c r="T58" i="26"/>
  <c r="T70" i="26"/>
  <c r="T62" i="26"/>
  <c r="AJ58" i="26"/>
  <c r="AJ66" i="26"/>
  <c r="AJ48" i="26"/>
  <c r="AJ50" i="26"/>
  <c r="AJ62" i="26"/>
  <c r="AJ68" i="26"/>
  <c r="AJ70" i="26"/>
  <c r="AJ46" i="26"/>
  <c r="AJ54" i="26"/>
  <c r="AJ56" i="26"/>
  <c r="AJ60" i="26"/>
  <c r="AJ64" i="26"/>
  <c r="H60" i="26"/>
  <c r="H70" i="26"/>
  <c r="H56" i="26"/>
  <c r="H42" i="26"/>
  <c r="H62" i="26"/>
  <c r="H52" i="26"/>
  <c r="AO52" i="26" s="1"/>
  <c r="AQ52" i="26" s="1"/>
  <c r="H68" i="26"/>
  <c r="H48" i="26"/>
  <c r="H44" i="26"/>
  <c r="H50" i="26"/>
  <c r="H58" i="26"/>
  <c r="H64" i="26"/>
  <c r="H54" i="26"/>
  <c r="H66" i="26"/>
  <c r="X46" i="26"/>
  <c r="X58" i="26"/>
  <c r="X68" i="26"/>
  <c r="X56" i="26"/>
  <c r="X62" i="26"/>
  <c r="X64" i="26"/>
  <c r="X60" i="26"/>
  <c r="X70" i="26"/>
  <c r="X48" i="26"/>
  <c r="X50" i="26"/>
  <c r="X54" i="26"/>
  <c r="X66" i="26"/>
  <c r="AF51" i="26"/>
  <c r="AF57" i="26"/>
  <c r="AF67" i="26"/>
  <c r="AF63" i="26"/>
  <c r="AF71" i="26"/>
  <c r="AF59" i="26"/>
  <c r="AF65" i="26"/>
  <c r="AF49" i="26"/>
  <c r="AF61" i="26"/>
  <c r="AF55" i="26"/>
  <c r="AF69" i="26"/>
  <c r="AF47" i="26"/>
  <c r="F233" i="1"/>
  <c r="A75" i="1"/>
  <c r="F29" i="1"/>
  <c r="AN49" i="26" l="1"/>
  <c r="AN53" i="26"/>
  <c r="AN71" i="26"/>
  <c r="AN65" i="26"/>
  <c r="AN51" i="26"/>
  <c r="AN59" i="26"/>
  <c r="AN69" i="26"/>
  <c r="AO50" i="26"/>
  <c r="AQ50" i="26" s="1"/>
  <c r="AN55" i="26"/>
  <c r="AN61" i="26"/>
  <c r="AN57" i="26"/>
  <c r="AN67" i="26"/>
  <c r="AN47" i="26"/>
  <c r="AN63" i="26"/>
  <c r="P72" i="26"/>
  <c r="P73" i="26"/>
  <c r="AO62" i="26"/>
  <c r="AQ62" i="26" s="1"/>
  <c r="AO60" i="26"/>
  <c r="AQ60" i="26" s="1"/>
  <c r="AO58" i="26"/>
  <c r="AQ58" i="26" s="1"/>
  <c r="AO64" i="26"/>
  <c r="AQ64" i="26" s="1"/>
  <c r="X71" i="26"/>
  <c r="X65" i="26"/>
  <c r="X51" i="26"/>
  <c r="X55" i="26"/>
  <c r="X57" i="26"/>
  <c r="X67" i="26"/>
  <c r="X59" i="26"/>
  <c r="X49" i="26"/>
  <c r="X63" i="26"/>
  <c r="X69" i="26"/>
  <c r="X61" i="26"/>
  <c r="X47" i="26"/>
  <c r="T63" i="26"/>
  <c r="T57" i="26"/>
  <c r="T59" i="26"/>
  <c r="T55" i="26"/>
  <c r="T69" i="26"/>
  <c r="T67" i="26"/>
  <c r="T61" i="26"/>
  <c r="T65" i="26"/>
  <c r="T71" i="26"/>
  <c r="AO70" i="26"/>
  <c r="AQ70" i="26" s="1"/>
  <c r="AO68" i="26"/>
  <c r="AQ68" i="26" s="1"/>
  <c r="AO66" i="26"/>
  <c r="AQ66" i="26" s="1"/>
  <c r="AO54" i="26"/>
  <c r="AQ54" i="26" s="1"/>
  <c r="AO48" i="26"/>
  <c r="AQ48" i="26" s="1"/>
  <c r="H65" i="26"/>
  <c r="H51" i="26"/>
  <c r="H69" i="26"/>
  <c r="H49" i="26"/>
  <c r="H71" i="26"/>
  <c r="H47" i="26"/>
  <c r="H67" i="26"/>
  <c r="H53" i="26"/>
  <c r="AO53" i="26" s="1"/>
  <c r="AP53" i="26" s="1"/>
  <c r="H63" i="26"/>
  <c r="H61" i="26"/>
  <c r="H59" i="26"/>
  <c r="H55" i="26"/>
  <c r="H45" i="26"/>
  <c r="H43" i="26"/>
  <c r="H57" i="26"/>
  <c r="H46" i="26"/>
  <c r="AO46" i="26" s="1"/>
  <c r="AQ46" i="26" s="1"/>
  <c r="AB51" i="26"/>
  <c r="AB65" i="26"/>
  <c r="AB63" i="26"/>
  <c r="AB49" i="26"/>
  <c r="AB57" i="26"/>
  <c r="AB55" i="26"/>
  <c r="AB71" i="26"/>
  <c r="AB59" i="26"/>
  <c r="AB67" i="26"/>
  <c r="AB61" i="26"/>
  <c r="AB69" i="26"/>
  <c r="AB47" i="26"/>
  <c r="AO56" i="26"/>
  <c r="AQ56" i="26" s="1"/>
  <c r="P63" i="26"/>
  <c r="P47" i="26"/>
  <c r="P71" i="26"/>
  <c r="P67" i="26"/>
  <c r="P69" i="26"/>
  <c r="P57" i="26"/>
  <c r="P65" i="26"/>
  <c r="P61" i="26"/>
  <c r="P55" i="26"/>
  <c r="P59" i="26"/>
  <c r="A78" i="1"/>
  <c r="A81" i="1" s="1"/>
  <c r="AO51" i="26" l="1"/>
  <c r="AP51" i="26" s="1"/>
  <c r="H276" i="1"/>
  <c r="K162" i="27" s="1"/>
  <c r="K163" i="27" s="1"/>
  <c r="AO59" i="26"/>
  <c r="AP59" i="26" s="1"/>
  <c r="AO57" i="26"/>
  <c r="AP57" i="26" s="1"/>
  <c r="AO67" i="26"/>
  <c r="AP67" i="26" s="1"/>
  <c r="AO61" i="26"/>
  <c r="AP61" i="26" s="1"/>
  <c r="AO47" i="26"/>
  <c r="AP47" i="26" s="1"/>
  <c r="AO65" i="26"/>
  <c r="AP65" i="26" s="1"/>
  <c r="AO71" i="26"/>
  <c r="AP71" i="26" s="1"/>
  <c r="AO55" i="26"/>
  <c r="AP55" i="26" s="1"/>
  <c r="AO69" i="26"/>
  <c r="AP69" i="26" s="1"/>
  <c r="AO63" i="26"/>
  <c r="AP63" i="26" s="1"/>
  <c r="AO49" i="26"/>
  <c r="AP49" i="26" s="1"/>
  <c r="A114" i="7"/>
  <c r="A84" i="1"/>
  <c r="H278" i="1" l="1"/>
  <c r="H282" i="1" s="1"/>
  <c r="H284" i="1" s="1"/>
  <c r="A17" i="7"/>
  <c r="A85" i="1"/>
  <c r="A86" i="1" s="1"/>
  <c r="F86" i="1" l="1"/>
  <c r="A87" i="1"/>
  <c r="A88" i="1" s="1"/>
  <c r="A91" i="1" l="1"/>
  <c r="F88" i="1"/>
  <c r="A92" i="1" l="1"/>
  <c r="A93" i="1" s="1"/>
  <c r="F93" i="1" l="1"/>
  <c r="A96" i="1"/>
  <c r="F98" i="1" s="1"/>
  <c r="A126" i="7" l="1"/>
  <c r="A98" i="1"/>
  <c r="A100" i="1" l="1"/>
  <c r="F234" i="1"/>
  <c r="F100" i="1"/>
  <c r="G14" i="6" s="1"/>
  <c r="F235" i="1" l="1"/>
  <c r="A105" i="1"/>
  <c r="A135" i="7" l="1"/>
  <c r="A106" i="1"/>
  <c r="A138" i="7" l="1"/>
  <c r="A107" i="1"/>
  <c r="A108" i="1" l="1"/>
  <c r="A109" i="1" l="1"/>
  <c r="C311" i="1"/>
  <c r="A20" i="7" l="1"/>
  <c r="A110" i="1"/>
  <c r="F110" i="1"/>
  <c r="A113" i="1" l="1"/>
  <c r="A61" i="7" l="1"/>
  <c r="A114" i="1"/>
  <c r="A63" i="7" l="1"/>
  <c r="A115" i="1"/>
  <c r="A64" i="7" l="1"/>
  <c r="A116" i="1"/>
  <c r="A65" i="7" l="1"/>
  <c r="A117" i="1"/>
  <c r="A66" i="7" l="1"/>
  <c r="A118" i="1"/>
  <c r="F131" i="1" l="1"/>
  <c r="A119" i="1"/>
  <c r="A120" i="1" s="1"/>
  <c r="A121" i="1" s="1"/>
  <c r="A54" i="7" l="1"/>
  <c r="A122" i="1"/>
  <c r="F122" i="1"/>
  <c r="A123" i="1" l="1"/>
  <c r="A124" i="1" s="1"/>
  <c r="A127" i="1" l="1"/>
  <c r="F124" i="1"/>
  <c r="A128" i="1" l="1"/>
  <c r="A73" i="7"/>
  <c r="A92" i="7" l="1"/>
  <c r="A129" i="1"/>
  <c r="F129" i="1"/>
  <c r="A131" i="1" l="1"/>
  <c r="A132" i="1" l="1"/>
  <c r="F133" i="1" s="1"/>
  <c r="A133" i="1" l="1"/>
  <c r="A79" i="7"/>
  <c r="A134" i="1" l="1"/>
  <c r="A135" i="1" s="1"/>
  <c r="A138" i="1" l="1"/>
  <c r="F135" i="1"/>
  <c r="A117" i="7" l="1"/>
  <c r="A139" i="1"/>
  <c r="A140" i="1" s="1"/>
  <c r="A142" i="1" l="1"/>
  <c r="F142" i="1"/>
  <c r="F140" i="1"/>
  <c r="A147" i="1" l="1"/>
  <c r="F237" i="1"/>
  <c r="F91" i="1"/>
  <c r="A149" i="1" l="1"/>
  <c r="A150" i="1" l="1"/>
  <c r="F151" i="1" s="1"/>
  <c r="F156" i="1" l="1"/>
  <c r="A151" i="1"/>
  <c r="A23" i="7"/>
  <c r="A152" i="1" l="1"/>
  <c r="A153" i="1" s="1"/>
  <c r="A154" i="1" l="1"/>
  <c r="A155" i="1" s="1"/>
  <c r="F153" i="1"/>
  <c r="F155" i="1" l="1"/>
  <c r="A156" i="1"/>
  <c r="A157" i="1" s="1"/>
  <c r="A160" i="1" l="1"/>
  <c r="F160" i="1"/>
  <c r="F157" i="1"/>
  <c r="A164" i="1" l="1"/>
  <c r="F238" i="1"/>
  <c r="F166" i="1" l="1"/>
  <c r="A166" i="1"/>
  <c r="F239" i="1" l="1"/>
  <c r="A171" i="1"/>
  <c r="A146" i="7" l="1"/>
  <c r="A172" i="1"/>
  <c r="F173" i="1" s="1"/>
  <c r="G19" i="6" s="1"/>
  <c r="A14" i="11" l="1"/>
  <c r="A173" i="1"/>
  <c r="A175" i="1" l="1"/>
  <c r="A178" i="1" l="1"/>
  <c r="A179" i="1" l="1"/>
  <c r="A180" i="1" s="1"/>
  <c r="A181" i="1" s="1"/>
  <c r="A182" i="1" s="1"/>
  <c r="F182" i="1" l="1"/>
  <c r="G28" i="6" s="1"/>
  <c r="A185" i="1"/>
  <c r="F192" i="1"/>
  <c r="G38" i="6" s="1"/>
  <c r="A186" i="1" l="1"/>
  <c r="A187" i="1" s="1"/>
  <c r="A188" i="1" s="1"/>
  <c r="A189" i="1" s="1"/>
  <c r="F190" i="1" l="1"/>
  <c r="G36" i="6" s="1"/>
  <c r="A18" i="11"/>
  <c r="A190" i="1"/>
  <c r="A191" i="1" l="1"/>
  <c r="F199" i="1"/>
  <c r="G45" i="6" s="1"/>
  <c r="A192" i="1" l="1"/>
  <c r="F180" i="1"/>
  <c r="G26" i="6" s="1"/>
  <c r="F200" i="1"/>
  <c r="G46" i="6" s="1"/>
  <c r="A193" i="1" l="1"/>
  <c r="F193" i="1"/>
  <c r="G39" i="6" s="1"/>
  <c r="A195" i="1" l="1"/>
  <c r="F195" i="1"/>
  <c r="G41" i="6" s="1"/>
  <c r="F196" i="1"/>
  <c r="G42" i="6" s="1"/>
  <c r="F197" i="1"/>
  <c r="G43" i="6" s="1"/>
  <c r="A196" i="1" l="1"/>
  <c r="C315" i="1" s="1"/>
  <c r="C317" i="1" l="1"/>
  <c r="C321" i="1"/>
  <c r="A197" i="1"/>
  <c r="C319" i="1"/>
  <c r="C318" i="1" l="1"/>
  <c r="C314" i="1"/>
  <c r="A199" i="1"/>
  <c r="C316" i="1"/>
  <c r="C320" i="1"/>
  <c r="A200" i="1" l="1"/>
  <c r="F139" i="1"/>
  <c r="F203" i="1"/>
  <c r="G49" i="6" s="1"/>
  <c r="A201" i="1" l="1"/>
  <c r="F204" i="1"/>
  <c r="G50" i="6" s="1"/>
  <c r="G47" i="6" l="1"/>
  <c r="A203" i="1"/>
  <c r="F205" i="1"/>
  <c r="G51" i="6" s="1"/>
  <c r="A204" i="1" l="1"/>
  <c r="A205" i="1" s="1"/>
  <c r="A206" i="1" s="1"/>
  <c r="F206" i="1" l="1"/>
  <c r="G52" i="6" s="1"/>
  <c r="A208" i="1"/>
  <c r="F208" i="1"/>
  <c r="G54" i="6" s="1"/>
  <c r="F240" i="1" l="1"/>
  <c r="A213" i="1"/>
  <c r="A214" i="1" s="1"/>
  <c r="A86" i="7" l="1"/>
  <c r="A215" i="1"/>
  <c r="A216" i="1" s="1"/>
  <c r="F221" i="1" l="1"/>
  <c r="G68" i="6" s="1"/>
  <c r="A217" i="1"/>
  <c r="F226" i="1" l="1"/>
  <c r="A220" i="1"/>
  <c r="A221" i="1" l="1"/>
  <c r="A222" i="1" s="1"/>
  <c r="A223" i="1" s="1"/>
  <c r="F223" i="1" l="1"/>
  <c r="G70" i="6" s="1"/>
  <c r="A226" i="1"/>
  <c r="A228" i="1" s="1"/>
  <c r="F241" i="1" l="1"/>
  <c r="A233" i="1"/>
  <c r="A234" i="1" s="1"/>
  <c r="A235" i="1" s="1"/>
  <c r="A237" i="1" s="1"/>
  <c r="F228" i="1"/>
  <c r="A238" i="1" l="1"/>
  <c r="A239" i="1" s="1"/>
  <c r="A240" i="1" s="1"/>
  <c r="A241" i="1" s="1"/>
  <c r="A243" i="1" s="1"/>
  <c r="A246" i="1" l="1"/>
  <c r="F250" i="1"/>
  <c r="F243" i="1"/>
  <c r="A247" i="1" l="1"/>
  <c r="A98" i="7" l="1"/>
  <c r="A248" i="1"/>
  <c r="F248" i="1"/>
  <c r="F249" i="1" l="1"/>
  <c r="A249" i="1"/>
  <c r="A250" i="1" l="1"/>
  <c r="F267" i="1" l="1"/>
  <c r="A251" i="1"/>
  <c r="F260" i="1"/>
  <c r="F251" i="1"/>
  <c r="A254" i="1" l="1"/>
  <c r="A255" i="1" s="1"/>
  <c r="F257" i="1" s="1"/>
  <c r="A154" i="7" l="1"/>
  <c r="A257" i="1"/>
  <c r="C309" i="1"/>
  <c r="A260" i="1" l="1"/>
  <c r="F274" i="1"/>
  <c r="A261" i="1" l="1"/>
  <c r="A262" i="1" s="1"/>
  <c r="A263" i="1" s="1"/>
  <c r="F264" i="1" l="1"/>
  <c r="D9" i="26"/>
  <c r="A264" i="1"/>
  <c r="F263" i="1"/>
  <c r="F262" i="1"/>
  <c r="D15" i="26" l="1"/>
  <c r="A267" i="1"/>
  <c r="A268" i="1" l="1"/>
  <c r="A269" i="1" s="1"/>
  <c r="F269" i="1" l="1"/>
  <c r="A270" i="1"/>
  <c r="A271" i="1" s="1"/>
  <c r="A272" i="1" s="1"/>
  <c r="F272" i="1" l="1"/>
  <c r="D10" i="26"/>
  <c r="A274" i="1"/>
  <c r="F271" i="1"/>
  <c r="A275" i="1" l="1"/>
  <c r="A276" i="1" s="1"/>
  <c r="A277" i="1" s="1"/>
  <c r="F278" i="1" l="1"/>
  <c r="A164" i="7"/>
  <c r="A278" i="1"/>
  <c r="A281" i="1" l="1"/>
  <c r="F282" i="1" s="1"/>
  <c r="A170" i="7" l="1"/>
  <c r="A282" i="1"/>
  <c r="A284" i="1" l="1"/>
  <c r="F284" i="1"/>
</calcChain>
</file>

<file path=xl/sharedStrings.xml><?xml version="1.0" encoding="utf-8"?>
<sst xmlns="http://schemas.openxmlformats.org/spreadsheetml/2006/main" count="1281" uniqueCount="851">
  <si>
    <t xml:space="preserve">   Less:  General Plant Account 397 -- Communications</t>
  </si>
  <si>
    <t>Account No. 397 Directly Assigned to Transmission</t>
  </si>
  <si>
    <t>General Plant Direct Assignment of Account 397</t>
  </si>
  <si>
    <t>DA to Trans.</t>
  </si>
  <si>
    <t>General</t>
  </si>
  <si>
    <t>Intangible</t>
  </si>
  <si>
    <t>p205.5.g</t>
  </si>
  <si>
    <t>Balance of Accumulated General Depreciation</t>
  </si>
  <si>
    <t>Percent of Acct. 397 Directly Assigned to Transmission</t>
  </si>
  <si>
    <t>Amount of Gen. Depr. Associated with Acct. 397 Directly Assigned to Trans.</t>
  </si>
  <si>
    <t>Other taxes that are assessed based on labor will be allocated based on the Wages and Salary Allocator.</t>
  </si>
  <si>
    <t>Allocator.  If the taxes are 100% recovered at retail they shall not be included.</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</si>
  <si>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</si>
  <si>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Point to Point Service revenues for which the load is not included in the divisor received by Transmission Owner</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</si>
  <si>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</si>
  <si>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</si>
  <si>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</si>
  <si>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</si>
  <si>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</si>
  <si>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</si>
  <si>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</si>
  <si>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</si>
  <si>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Weighted Cost of Preferred</t>
  </si>
  <si>
    <t>Transmission</t>
  </si>
  <si>
    <t>ADIT-190</t>
  </si>
  <si>
    <t>ADIT- 282</t>
  </si>
  <si>
    <t>ADIT-283</t>
  </si>
  <si>
    <t>Accumulated Deferred Income Taxes</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</si>
  <si>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</si>
  <si>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</si>
  <si>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</si>
  <si>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</si>
  <si>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</si>
  <si>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</si>
  <si>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</si>
  <si>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</si>
  <si>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</si>
  <si>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</si>
  <si>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ADIT</t>
  </si>
  <si>
    <t>Plant Related</t>
  </si>
  <si>
    <t>Page 263</t>
  </si>
  <si>
    <t>Col (i)</t>
  </si>
  <si>
    <t>Labor Related</t>
  </si>
  <si>
    <t>Other Included</t>
  </si>
  <si>
    <t>Total Plant Related</t>
  </si>
  <si>
    <t>Total Labor Related</t>
  </si>
  <si>
    <t>Total Other Included</t>
  </si>
  <si>
    <t>Currently Excluded</t>
  </si>
  <si>
    <t>Allocated</t>
  </si>
  <si>
    <t>Amount</t>
  </si>
  <si>
    <t>ADIT net of FASB 106 and 109</t>
  </si>
  <si>
    <t xml:space="preserve">      Less Loss on Reacquired Debt </t>
  </si>
  <si>
    <t>p207.104.g</t>
  </si>
  <si>
    <t>p207.99.g</t>
  </si>
  <si>
    <t>p336.10.b&amp;c&amp;d</t>
  </si>
  <si>
    <t>Rider RCA - Renewable</t>
  </si>
  <si>
    <t>Rider RCA - Low Income Assistance</t>
  </si>
  <si>
    <t>p219.28.c (footnote)</t>
  </si>
  <si>
    <t>p323.197.b</t>
  </si>
  <si>
    <t>p320.198.b (footnote)</t>
  </si>
  <si>
    <t xml:space="preserve">      Plus Gain on Reacquired Debt</t>
  </si>
  <si>
    <t>Plant Held for Future Use (Including Land)</t>
  </si>
  <si>
    <t>Line #</t>
  </si>
  <si>
    <t>Life</t>
  </si>
  <si>
    <t>CIAC</t>
  </si>
  <si>
    <t>Details</t>
  </si>
  <si>
    <t>Invest Yr</t>
  </si>
  <si>
    <t>Revenues Subject to Refund</t>
  </si>
  <si>
    <t>FCR if a CIAC</t>
  </si>
  <si>
    <t>FCR for This Project</t>
  </si>
  <si>
    <t xml:space="preserve">Line B less Line A </t>
  </si>
  <si>
    <t>Accumulated General and Intangible Depreciation Ex. Acct. 397</t>
  </si>
  <si>
    <t>Subtotal General and Intangible Accum. Depreciation Allocated to Transmission</t>
  </si>
  <si>
    <t>Total General and Intangible Plant</t>
  </si>
  <si>
    <t>General and Intangible Excluding Acct. 397</t>
  </si>
  <si>
    <t>General and Intangible Plant Allocated to Transmission</t>
  </si>
  <si>
    <t>Total General and Intangible Functionalized to Transmission</t>
  </si>
  <si>
    <t>Allocated Administrative &amp; General Expenses</t>
  </si>
  <si>
    <t>Administrative &amp; General Expenses</t>
  </si>
  <si>
    <t>Administrative &amp; General Expenses Allocated to Transmission</t>
  </si>
  <si>
    <t>Attachment 9 - Depreciation Rates</t>
  </si>
  <si>
    <t>Deprec.</t>
  </si>
  <si>
    <t>Plant Type</t>
  </si>
  <si>
    <t>Rate (%)</t>
  </si>
  <si>
    <t>p266.8.f</t>
  </si>
  <si>
    <t>Includes all EPRI Annual Membership Dues</t>
  </si>
  <si>
    <t xml:space="preserve">  the percentage of federal income tax deductible for state income taxes.  </t>
  </si>
  <si>
    <t xml:space="preserve">Depreciation rates shown in Attachment 9 are fixed until changed as the result of a filing at FERC. </t>
  </si>
  <si>
    <t>If book depreciation rates are different than the Attachment 9 rates, ComEd will provide workpapers at the annual update to reconcile formula</t>
  </si>
  <si>
    <t>See FERC Form 1, footnote to p320.97b.</t>
  </si>
  <si>
    <t xml:space="preserve">Subtotal   </t>
  </si>
  <si>
    <t>ADIT-282</t>
  </si>
  <si>
    <t>row 4 * row 6</t>
  </si>
  <si>
    <t>row 4 * row 5</t>
  </si>
  <si>
    <t>p321.112.b</t>
  </si>
  <si>
    <t>p321.96.b</t>
  </si>
  <si>
    <t>Transmission related 565 is to include the TX revenue requirement of ComEd of Indiana</t>
  </si>
  <si>
    <t>Note:  ComEd does not have billing determinants of its wholesale customers.  
This is confidential information in the possession of PJM Interconnection, LLC.</t>
  </si>
  <si>
    <t>p117.62-67.c</t>
  </si>
  <si>
    <t>p112.18-21.c</t>
  </si>
  <si>
    <t>Payments made under Schedule 12 of the PJM OATT that are not directly assessed to load in the Zone under Schedule 12 are included</t>
  </si>
  <si>
    <t>depreciation expense and depreciation accruals to Form No. 1 amounts.</t>
  </si>
  <si>
    <t>Amount offset from Note 3 below</t>
  </si>
  <si>
    <t>Annual Depreciation Exp</t>
  </si>
  <si>
    <t>Revenue</t>
  </si>
  <si>
    <t>Beginning</t>
  </si>
  <si>
    <t>Depreciation</t>
  </si>
  <si>
    <t>Ending</t>
  </si>
  <si>
    <t>Project E</t>
  </si>
  <si>
    <t>Project F</t>
  </si>
  <si>
    <t>Project G</t>
  </si>
  <si>
    <t>Project H</t>
  </si>
  <si>
    <t>Project I</t>
  </si>
  <si>
    <t>….</t>
  </si>
  <si>
    <t>…..</t>
  </si>
  <si>
    <t>Incentive Charged</t>
  </si>
  <si>
    <t>Revenue Credit</t>
  </si>
  <si>
    <t>Formula Line</t>
  </si>
  <si>
    <t>New Plant Carrying Charge</t>
  </si>
  <si>
    <t xml:space="preserve">      Less LTD on Securitization Bonds</t>
  </si>
  <si>
    <t>Per State Tax Code</t>
  </si>
  <si>
    <t>Network Credits</t>
  </si>
  <si>
    <t>CWIP can only be included if authorized by the Commission.</t>
  </si>
  <si>
    <t>Outstanding Network Credits</t>
  </si>
  <si>
    <t>Interest on Network Credits</t>
  </si>
  <si>
    <t>PJM Data</t>
  </si>
  <si>
    <t>Revenue Credits &amp; Interest on Network Credits</t>
  </si>
  <si>
    <t xml:space="preserve">Outstanding Network Credits is the balance of Network Facilities Upgrades Credits due Transmission Customers who have made lump-sum payments </t>
  </si>
  <si>
    <t>p = percent of federal income tax deductible for state purposes</t>
  </si>
  <si>
    <t>Network Zonal Service Rate</t>
  </si>
  <si>
    <t>Net Zonal Revenue Requirement</t>
  </si>
  <si>
    <t>FERC Form 1  Page # or Instruction</t>
  </si>
  <si>
    <t>Electric Portion</t>
  </si>
  <si>
    <t>EPRI Dues</t>
  </si>
  <si>
    <t>Other Projects PIS (Monthly change in balance)</t>
  </si>
  <si>
    <t>Revenue is Ending times line 16 for the current year</t>
  </si>
  <si>
    <t>For Plant in service:  (first year means first year the project is placed in service)</t>
  </si>
  <si>
    <t>"Beginning" is the investment on line 17 for the first year and is the "Ending" for the prior year after the first year</t>
  </si>
  <si>
    <t>Municipal Utility</t>
  </si>
  <si>
    <t>"Depreciation" is the annual depreciation in line 18 divided by twelve times the difference of thirteen minus line 19 in the first year and line 18 thereafter if "no" on line 13.  "Depreciation" is "0" (zero) if "Yes" on line 13</t>
  </si>
  <si>
    <t>Revenue is "Ending" times line 16 for the current year times the quotient line 19 divided by 13 plus "Depreciation" for the first year and "Ending" times line 16 plus "Depreciation" thereafter</t>
  </si>
  <si>
    <t>MultiState Workpaper</t>
  </si>
  <si>
    <t>Form 1 Amount</t>
  </si>
  <si>
    <t>Transmission Related</t>
  </si>
  <si>
    <t>Expensed Lease in Form 1 Amount</t>
  </si>
  <si>
    <t>Safety Related</t>
  </si>
  <si>
    <t>State 1</t>
  </si>
  <si>
    <t>State 2</t>
  </si>
  <si>
    <t>State 3</t>
  </si>
  <si>
    <t>State 4</t>
  </si>
  <si>
    <t>State 5</t>
  </si>
  <si>
    <t>Education &amp; Outreach</t>
  </si>
  <si>
    <t>Other</t>
  </si>
  <si>
    <t>Enter $</t>
  </si>
  <si>
    <t>Description of the Facilities</t>
  </si>
  <si>
    <t>(time-weighted) as shown on Attachment 6.</t>
  </si>
  <si>
    <t>ATTACHMENT H-13A</t>
  </si>
  <si>
    <t>General Depreciation &amp; Intangible Amortization Allocated to Transmission</t>
  </si>
  <si>
    <t>General Depreciation and Intangible Amortization Functionalized to Transmission</t>
  </si>
  <si>
    <t>Transmission Depreciation Expense Including Amortization of Limited Term Plant</t>
  </si>
  <si>
    <t>General Depreciation Expense Including Amortization of Limited Term Plant</t>
  </si>
  <si>
    <t>Accumulated Depreciation and Amortization</t>
  </si>
  <si>
    <t>Less: Amount of General Depreciation Associated with Acct. 397</t>
  </si>
  <si>
    <t>General Depreciation Expense for Acct. 397 Directly Assigned to Transmission</t>
  </si>
  <si>
    <t>Add more lines if necessary</t>
  </si>
  <si>
    <t>General Description of the Facilities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</si>
  <si>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</si>
  <si>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</si>
  <si>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</si>
  <si>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</si>
  <si>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</si>
  <si>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</si>
  <si>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</si>
  <si>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</si>
  <si>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</si>
  <si>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</si>
  <si>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</si>
  <si>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</si>
  <si>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</si>
  <si>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Surcharge (Refund) Owed</t>
  </si>
  <si>
    <t xml:space="preserve">For Reconciliation only - remove actual New Transmission Plant Additions for Year 2  </t>
  </si>
  <si>
    <t>Add weighted Cap Adds actually placed in service in Year 2</t>
  </si>
  <si>
    <t>Attachment 7</t>
  </si>
  <si>
    <t>Schedule 12</t>
  </si>
  <si>
    <t>Rev Req based on Year 1 data</t>
  </si>
  <si>
    <t>Year 1</t>
  </si>
  <si>
    <t>TO populates the formula with Year 1 data</t>
  </si>
  <si>
    <t>TO estimates all transmission Cap Adds for Year 2 weighted based on Months expected to be in service in Year 2</t>
  </si>
  <si>
    <t>TO populates the formula with Year 2 data</t>
  </si>
  <si>
    <t xml:space="preserve">     Plus Schedule 12 Charges billed to Transmission Owner and booked to Account 565</t>
  </si>
  <si>
    <t>Increased Return and Taxes</t>
  </si>
  <si>
    <t>True-up amount</t>
  </si>
  <si>
    <t>Account 456 - Other Electric Revenues (Note 1)</t>
  </si>
  <si>
    <t>PJM Transitional Revenue Neutrality (Note 1)</t>
  </si>
  <si>
    <t>PJM Transitional Market Expansion (Note 1)</t>
  </si>
  <si>
    <t>Revenues from Directly Assigned Transmission Facility Charges (Note 2)</t>
  </si>
  <si>
    <t>Total Transmission O&amp;M and Interest on Prepaid Pension Asset</t>
  </si>
  <si>
    <t>PBOP expense is fixed until changed as the result of a filing at FERC.</t>
  </si>
  <si>
    <t>1.  ADIT items related only to Non-Electric Operations (e.g., Gas, Water, Sewer) or Production are directly assigned to Column C</t>
  </si>
  <si>
    <t>2.  ADIT items related only to Transmission are directly assigned to Column D</t>
  </si>
  <si>
    <t xml:space="preserve">For Reconciliation only - remove New Transmission Plant Additions for Current Calendar Year  </t>
  </si>
  <si>
    <t>Return and Taxes with 100 Basis Point increase in ROE</t>
  </si>
  <si>
    <t>100 Basis Point increase in ROE and Income Taxes</t>
  </si>
  <si>
    <t>Composite Income Taxes</t>
  </si>
  <si>
    <t>Prepaid Pension Asset (not to be included in Prepayments)</t>
  </si>
  <si>
    <t>Less ADIT</t>
  </si>
  <si>
    <t>Net Prepaid Pension Asset</t>
  </si>
  <si>
    <t>Prepaid Pension Asset (net of associated ADIT)</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</si>
  <si>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</si>
  <si>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</si>
  <si>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</si>
  <si>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</si>
  <si>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</si>
  <si>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 data with total of Year 2 Cap Adds removed and monthly weighted average of Year 2 Cap Adds added in)</t>
  </si>
  <si>
    <t>Year 2</t>
  </si>
  <si>
    <t>Rev Req based on Year 2 data with estimated Cap Adds for Year 3 (Step 8)</t>
  </si>
  <si>
    <t>Revenue Requirement for Year 3</t>
  </si>
  <si>
    <t>Year 3</t>
  </si>
  <si>
    <t xml:space="preserve">Composite Income Taxes                                                                                                       </t>
  </si>
  <si>
    <t>In Service Month (1-12)</t>
  </si>
  <si>
    <t>Step</t>
  </si>
  <si>
    <t>Month</t>
  </si>
  <si>
    <t>Year</t>
  </si>
  <si>
    <t>Action</t>
  </si>
  <si>
    <t>Exec Summary</t>
  </si>
  <si>
    <t>April</t>
  </si>
  <si>
    <t>May</t>
  </si>
  <si>
    <t>June</t>
  </si>
  <si>
    <t>Weighting</t>
  </si>
  <si>
    <t>Jan</t>
  </si>
  <si>
    <t>Feb</t>
  </si>
  <si>
    <t>Mar</t>
  </si>
  <si>
    <t>Apr</t>
  </si>
  <si>
    <t>Jun</t>
  </si>
  <si>
    <t>Jul</t>
  </si>
  <si>
    <t>Aug</t>
  </si>
  <si>
    <t>Sep</t>
  </si>
  <si>
    <t>Oct</t>
  </si>
  <si>
    <t>Nov</t>
  </si>
  <si>
    <t>Dec</t>
  </si>
  <si>
    <t>Interest on Amount of Refunds or Surcharges</t>
  </si>
  <si>
    <t>Yr</t>
  </si>
  <si>
    <t>1/12 of Step 9</t>
  </si>
  <si>
    <t>Interest 35.19a for</t>
  </si>
  <si>
    <t>Interest</t>
  </si>
  <si>
    <t>March Current Yr</t>
  </si>
  <si>
    <t>Months</t>
  </si>
  <si>
    <t>Balance</t>
  </si>
  <si>
    <t>New Transmission Plant Additions for Current Calendar Year  (weighted by months in service)</t>
  </si>
  <si>
    <t xml:space="preserve">    Less:  Actual PBOP expense</t>
  </si>
  <si>
    <t>Current year actual PBOP expense</t>
  </si>
  <si>
    <t>(D) = (A) * (C)/12</t>
  </si>
  <si>
    <t>(E) = (B) * (C)/12</t>
  </si>
  <si>
    <t>Average Months [total column (D)/ total column (A)*12]</t>
  </si>
  <si>
    <t>Project subaccount of Plant in Service Account 101 or 106 if not yet classified</t>
  </si>
  <si>
    <t>Non-transmission Related</t>
  </si>
  <si>
    <t>CWIP In Form 1 Amount</t>
  </si>
  <si>
    <t>Non-safety Related</t>
  </si>
  <si>
    <t>Electric / Non-electric Cost Support</t>
  </si>
  <si>
    <t>"Yes" if a project under PJM OATT Schedule 12, otherwise "No"</t>
  </si>
  <si>
    <t>Useful life of the project</t>
  </si>
  <si>
    <t>"Yes" if the customer has paid a lumpsum payment in the amount of the investment on line 29, Otherwise "No"</t>
  </si>
  <si>
    <t>Input the allowed increase in ROE</t>
  </si>
  <si>
    <t>From line 3 above if "No" on line 13 and From line 7 above if "Yes" on line 13</t>
  </si>
  <si>
    <t>Investment</t>
  </si>
  <si>
    <t>Line 17 divided by line 12</t>
  </si>
  <si>
    <t>Month in which project is placed in service (e.g. Jan=1)</t>
  </si>
  <si>
    <t>On the formulas used in the Columns for lines 22+ are as follows</t>
  </si>
  <si>
    <t>For CWIP:</t>
  </si>
  <si>
    <t xml:space="preserve">Beginning is the line 17 for that year </t>
  </si>
  <si>
    <t>Depreciation is not used</t>
  </si>
  <si>
    <t>"Ending" is "Beginning" less "Depreciation"</t>
  </si>
  <si>
    <t xml:space="preserve">Ending is the same as Beginning </t>
  </si>
  <si>
    <t>Chicago Dark Fiber Rev. Tax</t>
  </si>
  <si>
    <t>Transmission / Non-transmission Cost Support</t>
  </si>
  <si>
    <t>EPRI Dues Cost Support</t>
  </si>
  <si>
    <t>Prepaid Pension contribution (shareholder-funded)</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</si>
  <si>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</si>
  <si>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</si>
  <si>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</si>
  <si>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</si>
  <si>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</si>
  <si>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</si>
  <si>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</si>
  <si>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</si>
  <si>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</si>
  <si>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</si>
  <si>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</si>
  <si>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Interest 35.19a for March Current Yr</t>
  </si>
  <si>
    <t>Rev Req based on Prior Year data</t>
  </si>
  <si>
    <t>The forecast in Prior Year</t>
  </si>
  <si>
    <t>Total with interest</t>
  </si>
  <si>
    <t>Calculation of the above Securitization Adjustments</t>
  </si>
  <si>
    <t>Account 454 - Rent from Electric Property</t>
  </si>
  <si>
    <t>Shaded cells are input cells</t>
  </si>
  <si>
    <t>Attachment 1 - Accumulated Deferred Income Taxes (ADIT) Worksheet</t>
  </si>
  <si>
    <t>Attachment 2 - Taxes Other Than Income Worksheet</t>
  </si>
  <si>
    <t>Attachment 3 - Revenue Credit Workpaper</t>
  </si>
  <si>
    <t>Attachment 7 - Transmission Enhancement Charge Worksheet</t>
  </si>
  <si>
    <t>Attachment 8 - Company Exhibit - Securitization Workpaper</t>
  </si>
  <si>
    <t>Attachment 6</t>
  </si>
  <si>
    <t>Attachment 1</t>
  </si>
  <si>
    <t>Attachment 8</t>
  </si>
  <si>
    <t>Attachment 5</t>
  </si>
  <si>
    <t>Attachment 3</t>
  </si>
  <si>
    <t>Attachment 4</t>
  </si>
  <si>
    <t>Fixed Charge Rate (FCR) if not a CIAC</t>
  </si>
  <si>
    <t>Post results of Step 9 on PJM web site</t>
  </si>
  <si>
    <t>&lt; Input to Appendix A, Line16)</t>
  </si>
  <si>
    <t>Must run Appendix A with cap adds in Appendix A, line 16 &amp; line 17</t>
  </si>
  <si>
    <t>The amortization of Series 98 to 102 Rate Swaps is included in Long Term Debt FERC Acct 427.</t>
  </si>
  <si>
    <t>To line 17 of Appendix A</t>
  </si>
  <si>
    <t>To line 43 of Appendix A</t>
  </si>
  <si>
    <t>TO adds weighted Cap Adds to plant in service in Formula (Appendix A, Line 17)</t>
  </si>
  <si>
    <t>Must run Appendix A to get this number (without any cap adds in Appendix A, line 17)</t>
  </si>
  <si>
    <t>Must run Appendix A to get this number (with prospective weighted cap adds in Appendix A, line 17)</t>
  </si>
  <si>
    <t>To line  of Appendix A</t>
  </si>
  <si>
    <t>Operation &amp; Maintenance Expense (excluding Interest Only Return on Prepaid Pension Asset)</t>
  </si>
  <si>
    <t xml:space="preserve">CWIP for Incentive Transmission Projects </t>
  </si>
  <si>
    <t xml:space="preserve">CWIP Balances for Current Rate Year  </t>
  </si>
  <si>
    <t>Dec Balance</t>
  </si>
  <si>
    <t>Prepayments and Prepaid Pension Asset</t>
  </si>
  <si>
    <t>Prepaid Pension Asset</t>
  </si>
  <si>
    <t>W&amp;S Allocator</t>
  </si>
  <si>
    <t>LTD Cost Rate</t>
  </si>
  <si>
    <t>Interest on Prepaid Pension Asset</t>
  </si>
  <si>
    <t>Prepayments (excluding Prepaid Pension Asset)</t>
  </si>
  <si>
    <t>Adjustment</t>
  </si>
  <si>
    <t>Adjusted Total</t>
  </si>
  <si>
    <t>Accumulated Amortization</t>
  </si>
  <si>
    <t>Adjustments to A &amp; G Expense</t>
  </si>
  <si>
    <t>Total Plant In Rate Base</t>
  </si>
  <si>
    <t>Account 282100 &amp; 282300 - ADIT other property</t>
  </si>
  <si>
    <t>Account 282000 &amp; 282200 - ADIT Liberalized Depreciation</t>
  </si>
  <si>
    <t>Transm O&amp;M
LSE Adjustment</t>
  </si>
  <si>
    <t xml:space="preserve">Acct. 566 adjusted, and Accts. 561.4 and 561.8 included to remove PJM LSE expenses not recoverable </t>
  </si>
  <si>
    <t xml:space="preserve">in ComEd's OATT rate.  </t>
  </si>
  <si>
    <t>Use Tax Adjustment</t>
  </si>
  <si>
    <t>Results of Step 9 go into effect</t>
  </si>
  <si>
    <t>Post results of Step 3 on PJM web site</t>
  </si>
  <si>
    <t>Results of Step 3 go into effect</t>
  </si>
  <si>
    <t>For Reconciliation Only</t>
  </si>
  <si>
    <t>Attachment 2</t>
  </si>
  <si>
    <t>The FCR resulting from Formula in a given year is used for that year only.</t>
  </si>
  <si>
    <t>Less FASB 109 Above if not separately removed</t>
  </si>
  <si>
    <t>Less FASB 106 Above if not separately removed</t>
  </si>
  <si>
    <t>Time Weighted Amounts</t>
  </si>
  <si>
    <t>(A)</t>
  </si>
  <si>
    <t>(B)</t>
  </si>
  <si>
    <t>(C)</t>
  </si>
  <si>
    <t xml:space="preserve">Facility Credits under Section 30.9 of the PJM OATT </t>
  </si>
  <si>
    <t xml:space="preserve">Prepayments </t>
  </si>
  <si>
    <t xml:space="preserve">      Less ADIT associated with Gain or Loss</t>
  </si>
  <si>
    <t xml:space="preserve">Attachment 5 </t>
  </si>
  <si>
    <t xml:space="preserve">    Less:  Salaries and Benefits of specified Exelon Corp top executives</t>
  </si>
  <si>
    <t xml:space="preserve">Other taxes that are incurred through ownership of plant including transmission plant will be allocated based on the Gross Plant </t>
  </si>
  <si>
    <t>Other taxes that are incurred through ownership of only general or intangible plant will be allocated based on the Wages and Salary</t>
  </si>
  <si>
    <t>Gross Revenue Credits</t>
  </si>
  <si>
    <t>Instructions:</t>
  </si>
  <si>
    <t>If unable to determine the investment below 69kV in a substation with investment of 69 kV and higher as well as below 69 kV,</t>
  </si>
  <si>
    <t>Or</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</si>
  <si>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</si>
  <si>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</si>
  <si>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</si>
  <si>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</si>
  <si>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</si>
  <si>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</si>
  <si>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Description of the Prepayments</t>
  </si>
  <si>
    <t>Justification</t>
  </si>
  <si>
    <t>Attachment A Line #s, Descriptions, Notes, Form 1 Page #s and Instructions</t>
  </si>
  <si>
    <t>Total Account 454 and 456</t>
  </si>
  <si>
    <t>Total Income Taxes</t>
  </si>
  <si>
    <t>Summary</t>
  </si>
  <si>
    <t>Net Property, Plant &amp; Equipment</t>
  </si>
  <si>
    <t>Taxes Other than Income</t>
  </si>
  <si>
    <t>Common Stock</t>
  </si>
  <si>
    <t>Revenue Credits</t>
  </si>
  <si>
    <t>C</t>
  </si>
  <si>
    <t>Gross Plant Allocator</t>
  </si>
  <si>
    <t>Total  Capitalization</t>
  </si>
  <si>
    <t>Total Long Term Debt</t>
  </si>
  <si>
    <t>Total Long Term Debt (WCLTD)</t>
  </si>
  <si>
    <t>J</t>
  </si>
  <si>
    <t>Long Term Interest</t>
  </si>
  <si>
    <t>Long Term Debt</t>
  </si>
  <si>
    <t xml:space="preserve">    Less LTD Interest on Securitization Bonds</t>
  </si>
  <si>
    <t>Depreciation Expense</t>
  </si>
  <si>
    <t>Accumulated Depreciation (Total Electric Plant)</t>
  </si>
  <si>
    <t>(Yes or No)</t>
  </si>
  <si>
    <t>Transmission Wages Expense</t>
  </si>
  <si>
    <t>Total Wages Expense</t>
  </si>
  <si>
    <t xml:space="preserve"> </t>
  </si>
  <si>
    <t>E</t>
  </si>
  <si>
    <t>A</t>
  </si>
  <si>
    <t>D</t>
  </si>
  <si>
    <t>G</t>
  </si>
  <si>
    <t>Preferred Stock</t>
  </si>
  <si>
    <t>K</t>
  </si>
  <si>
    <t>Schedule 1A</t>
  </si>
  <si>
    <t>Other Taxes</t>
  </si>
  <si>
    <t>p207.58.g</t>
  </si>
  <si>
    <t>p219.25.c</t>
  </si>
  <si>
    <t>Total Cash Working Capital Allocated to Transmission</t>
  </si>
  <si>
    <t>Transmission Materials &amp; Supplies</t>
  </si>
  <si>
    <t>Directly Assigned A&amp;G</t>
  </si>
  <si>
    <t>Allocated General &amp; Common Expenses</t>
  </si>
  <si>
    <t>A&amp;G Directly Assigned to Transmission</t>
  </si>
  <si>
    <t>Adjustment to Remove Revenue Requirements Associated with Excluded Transmission Facilities</t>
  </si>
  <si>
    <t xml:space="preserve">p219.28.c </t>
  </si>
  <si>
    <t>p227.6.c &amp; 16.c</t>
  </si>
  <si>
    <t>p323.185.b</t>
  </si>
  <si>
    <t>p323.189.b</t>
  </si>
  <si>
    <t>p323.191.b</t>
  </si>
  <si>
    <t>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174 of Appendix A.</t>
  </si>
  <si>
    <t>Acct. 397 Depreciable Plant Base times Depreciation Rate</t>
  </si>
  <si>
    <t>Excluded Transmission Facilities</t>
  </si>
  <si>
    <t>Included Transmission Facilities</t>
  </si>
  <si>
    <t>Inclusion Ratio</t>
  </si>
  <si>
    <t>Adjusted Gross Revenue Requirement</t>
  </si>
  <si>
    <t>Subtotal - p234.18.c</t>
  </si>
  <si>
    <t>Subtotal - p275.9.k</t>
  </si>
  <si>
    <t>Subtotal - p277.19.k</t>
  </si>
  <si>
    <t>Damage to Company Property Reserve</t>
  </si>
  <si>
    <t>Total Materials &amp; Supplies Allocated to Transmission</t>
  </si>
  <si>
    <t>Materials and Supplies</t>
  </si>
  <si>
    <t>P</t>
  </si>
  <si>
    <t>Accumulated Depreciation</t>
  </si>
  <si>
    <t>Prepayments</t>
  </si>
  <si>
    <t>Cash Working Capital</t>
  </si>
  <si>
    <t>Allocators</t>
  </si>
  <si>
    <t>Less A&amp;G Wages Expense</t>
  </si>
  <si>
    <t>Transmission Gross Plant</t>
  </si>
  <si>
    <t>Transmission Net Plant</t>
  </si>
  <si>
    <t>Total Accumulated Depreciation</t>
  </si>
  <si>
    <t>Wages &amp; Salary Allocation Factor</t>
  </si>
  <si>
    <t>Adjustment To Rate Base</t>
  </si>
  <si>
    <t>Plant In Service</t>
  </si>
  <si>
    <t>Net Plant Allocation Factor</t>
  </si>
  <si>
    <t>Intangible Amortization</t>
  </si>
  <si>
    <t xml:space="preserve">    Less Account 216.1</t>
  </si>
  <si>
    <t xml:space="preserve">    Less Preferred Stock</t>
  </si>
  <si>
    <t>Capitalization</t>
  </si>
  <si>
    <t>ITC Adjustment</t>
  </si>
  <si>
    <t>FICA</t>
  </si>
  <si>
    <t>p200.4.c</t>
  </si>
  <si>
    <t>p336.1.d&amp;e</t>
  </si>
  <si>
    <t>p200.21.c</t>
  </si>
  <si>
    <t>p227.8.c</t>
  </si>
  <si>
    <t>Subtotal, Excluded</t>
  </si>
  <si>
    <t>Total Included  (Lines 8 + 14 + 19)</t>
  </si>
  <si>
    <t>Total Other Taxes from p114.14.c</t>
  </si>
  <si>
    <t>p118.29.c</t>
  </si>
  <si>
    <t>p112.16.c</t>
  </si>
  <si>
    <t>p112.12.c</t>
  </si>
  <si>
    <t>p111.81.c</t>
  </si>
  <si>
    <t>p113.61.c</t>
  </si>
  <si>
    <t>p112.3.c</t>
  </si>
  <si>
    <t>Appendix A Line or Source  Reference</t>
  </si>
  <si>
    <t xml:space="preserve">Net Transmission Plant </t>
  </si>
  <si>
    <t>Gross Revenue Requirement Less Return and Taxes</t>
  </si>
  <si>
    <t>3.  ADIT items related to Plant and not in Columns C &amp; D are included in Column E</t>
  </si>
  <si>
    <t>4.  ADIT items related to labor and not in Columns C &amp; D are included in Column F</t>
  </si>
  <si>
    <t>Company Records</t>
  </si>
  <si>
    <t>Equity and debt ratios will be the ratios determined by the actual capital structure and the specified calculation processes of the formula, except that if during the</t>
  </si>
  <si>
    <t>Securitization bonds may be included in the capital structure.</t>
  </si>
  <si>
    <t>Reconciliation - TO calculates Reconciliation by removing from Year 2 data - the total Cap Adds placed in service in Year 2 and adding weighted average in Year 2 Cap Adds in Reconciliation (adjusted to include any Reconciliation amount from prior year).</t>
  </si>
  <si>
    <t>ITC Adjustment Allocated to Transmission</t>
  </si>
  <si>
    <t>SIT=State Income Tax Rate or Composite</t>
  </si>
  <si>
    <t>FIT=Federal Income Tax Rate</t>
  </si>
  <si>
    <t>Investment Return = Rate Base * Rate of Return</t>
  </si>
  <si>
    <t>Income Tax Rates</t>
  </si>
  <si>
    <t>Preferred Dividends</t>
  </si>
  <si>
    <t>Rate ($/MW-Year)</t>
  </si>
  <si>
    <t>1 CP Peak</t>
  </si>
  <si>
    <t>Depreciation &amp; Amortization Expense</t>
  </si>
  <si>
    <t>Total Transmission Depreciation &amp; Amortization</t>
  </si>
  <si>
    <t>L</t>
  </si>
  <si>
    <t>M</t>
  </si>
  <si>
    <t>Transmission O&amp;M</t>
  </si>
  <si>
    <t xml:space="preserve">     Plus Transmission Lease Payments</t>
  </si>
  <si>
    <t>Wages &amp; Salary Allocator</t>
  </si>
  <si>
    <t>Total Transmission O&amp;M</t>
  </si>
  <si>
    <t>Total A&amp;G</t>
  </si>
  <si>
    <t>Transmission Plant In Service</t>
  </si>
  <si>
    <t>Plant Calculations</t>
  </si>
  <si>
    <t>Net Plant</t>
  </si>
  <si>
    <t>Net Plant Allocator</t>
  </si>
  <si>
    <t>Rate Base</t>
  </si>
  <si>
    <t xml:space="preserve">Income Tax Component = </t>
  </si>
  <si>
    <t xml:space="preserve"> enter positive</t>
  </si>
  <si>
    <t xml:space="preserve">     CIT=(T/1-T) * Investment Return * (1-(WCLTD/R)) =</t>
  </si>
  <si>
    <t>Plant Allocation Factors</t>
  </si>
  <si>
    <t>1/8th Rule</t>
  </si>
  <si>
    <t>Total</t>
  </si>
  <si>
    <t>B</t>
  </si>
  <si>
    <t>Proprietary Capital</t>
  </si>
  <si>
    <t>T / (1-T)</t>
  </si>
  <si>
    <t>Amortized Investment Tax Credit</t>
  </si>
  <si>
    <t>Transmission Accumulated Depreciation</t>
  </si>
  <si>
    <t>Electric Plant in Service</t>
  </si>
  <si>
    <t>Investment Return</t>
  </si>
  <si>
    <t>Income Taxes</t>
  </si>
  <si>
    <t>Criteria for Allocation:</t>
  </si>
  <si>
    <t xml:space="preserve">Wages &amp; Salary Allocator </t>
  </si>
  <si>
    <t>Attachment 5 - Cost Support</t>
  </si>
  <si>
    <t>Attachment 6 - Estimate and Reconciliation Worksheet</t>
  </si>
  <si>
    <t>p219.29.c</t>
  </si>
  <si>
    <t>p207.94.g</t>
  </si>
  <si>
    <t>Reconciliation - TO adds the difference between the Reconciliation in Step 8 and the forecast in Line 5 with interest to the result of Step 7 (this difference is also added to Step 8 in the subsequent year)</t>
  </si>
  <si>
    <t>Result of Formula for Reconciliation</t>
  </si>
  <si>
    <t>The Reconciliation in Step 8</t>
  </si>
  <si>
    <t>The difference between the Reconciliation in Step 8 and the forecast in Prior Year with interest</t>
  </si>
  <si>
    <t>Gross Revenue Requirement</t>
  </si>
  <si>
    <t xml:space="preserve">    Less EPRI Dues</t>
  </si>
  <si>
    <t>1/(1-T)</t>
  </si>
  <si>
    <t>T/(1-T)</t>
  </si>
  <si>
    <t>p</t>
  </si>
  <si>
    <t>(percent of federal income tax deductible for state purposes)</t>
  </si>
  <si>
    <t>Notes</t>
  </si>
  <si>
    <t>Allocator</t>
  </si>
  <si>
    <t>enter negative</t>
  </si>
  <si>
    <t>Fixed</t>
  </si>
  <si>
    <t>T</t>
  </si>
  <si>
    <t>Net Revenue Requirement</t>
  </si>
  <si>
    <t xml:space="preserve">     Less Account 565</t>
  </si>
  <si>
    <t>Subtotal</t>
  </si>
  <si>
    <t>Electric portion only</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</si>
  <si>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</si>
  <si>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</si>
  <si>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</si>
  <si>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</si>
  <si>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</si>
  <si>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</si>
  <si>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</si>
  <si>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</si>
  <si>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</si>
  <si>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</si>
  <si>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</si>
  <si>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</si>
  <si>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</si>
  <si>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</si>
  <si>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</si>
  <si>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</si>
  <si>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</si>
  <si>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</si>
  <si>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</si>
  <si>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Remove all investment below 69 kV or generator step up transformers included in transmission plant in service that </t>
  </si>
  <si>
    <t>are not a result of the RTEP Process</t>
  </si>
  <si>
    <t>Amount of transmission plant excluded from rates per Attachment 5.</t>
  </si>
  <si>
    <t>Real Estate</t>
  </si>
  <si>
    <t>Interest Expense Adjustment</t>
  </si>
  <si>
    <t>Transmission-related = all FERC dockets per p.350-351, excl. FERC annual charge.
Includes allocated portion of regulatory costs for issuing debt.</t>
  </si>
  <si>
    <t>Adjustment to Amortize Losses Associated with Interest Rate Swaps</t>
  </si>
  <si>
    <t>Long Term Interest per Form 1</t>
  </si>
  <si>
    <t>Total Long Term Interest</t>
  </si>
  <si>
    <t>Rate of Return on Rate Base ( ROR )</t>
  </si>
  <si>
    <t>Undistributed Stores Expense</t>
  </si>
  <si>
    <t>Plus any increased ROE calculated on Attachment 7 other than PJM Sch. 12 projects not paid by other PJM transmission zones</t>
  </si>
  <si>
    <t xml:space="preserve">Includes Regulatory Commission Expenses directly related to transmission service, RTO filings, or transmission siting itemized in Form 1 at 351.h. </t>
  </si>
  <si>
    <t xml:space="preserve">Includes Safety related advertising included in Account 930.1  </t>
  </si>
  <si>
    <t xml:space="preserve">Includes all Regulatory Commission Expenses </t>
  </si>
  <si>
    <t>The currently effective income tax rate where FIT is the Federal income tax rate; SIT is the State income tax rate, and p =</t>
  </si>
  <si>
    <t xml:space="preserve">overheads shall be treated as in footnote B above. </t>
  </si>
  <si>
    <t>West Loop 345 kV</t>
  </si>
  <si>
    <t>West Loop 345 kV (CWIP)</t>
  </si>
  <si>
    <t>Excludes prior period adjustments in the first year of the formula's operation and reconciliation for the first year.</t>
  </si>
  <si>
    <t>TO estimates all transmission Cap Adds during Year 3 weighted based on Months expected to be in service in Year 3</t>
  </si>
  <si>
    <t xml:space="preserve">    Power Procurement Expense  (SAC chgs)</t>
  </si>
  <si>
    <t>Late Payment Penalties Allocated to Transmission</t>
  </si>
  <si>
    <t>Accounts 450 &amp; 451</t>
  </si>
  <si>
    <t>(Sum Lines 1-11)</t>
  </si>
  <si>
    <t>p354.21.b</t>
  </si>
  <si>
    <t>p354.28.b</t>
  </si>
  <si>
    <t>p354.27.b</t>
  </si>
  <si>
    <t>State Income Taxes - Temporary</t>
  </si>
  <si>
    <t>W  11.5 % ROE</t>
  </si>
  <si>
    <t xml:space="preserve"> Note 3: If the facilities associated with the revenues are not included in the formula, the revenue is shown here, but not included in the total above and explained in the Cost Support. For example revenues associated with distribution facilities.  In addition Revenues from Schedule 12 are not included in the total above to the extent they are credited under Schedule 12. </t>
  </si>
  <si>
    <t>Professional Services</t>
  </si>
  <si>
    <t>Rent or Attachment Fees associated with Transmission Facilities</t>
  </si>
  <si>
    <t xml:space="preserve">Rent from Electric Property - Transmission Related </t>
  </si>
  <si>
    <t xml:space="preserve">Note:  At each annual update, company will provide for each parcel of land a description of its intended use within a 15 year period. </t>
  </si>
  <si>
    <t xml:space="preserve">    Plus:  Fixed PBOP expense</t>
  </si>
  <si>
    <t xml:space="preserve">ROE will be supported in the original filing and no change in ROE will be made absent a filing at FERC.  </t>
  </si>
  <si>
    <t xml:space="preserve">    Fixed PBOP expense</t>
  </si>
  <si>
    <t xml:space="preserve">    Salaries and Benefits of specified Exelon Corp top executives</t>
  </si>
  <si>
    <t xml:space="preserve">    Actual PBOP expense</t>
  </si>
  <si>
    <t xml:space="preserve">    Less:  Power Procurement Expense</t>
  </si>
  <si>
    <t>Includes Transmission portion only.  At each annual informational filing, Company will identify for each parcel of land an intended use within a 15 year period.</t>
  </si>
  <si>
    <t>fixed</t>
  </si>
  <si>
    <t>As provided for in Section 34.1 of the PJM OATT; the PJM established billing determinants will not be revised or updated in the annual rate reconciliations.</t>
  </si>
  <si>
    <t xml:space="preserve">    Less Accumulated Other Comprehensive Income Account 219</t>
  </si>
  <si>
    <t>p112.15.c</t>
  </si>
  <si>
    <t>Total Net Property, Plant &amp; Equipment</t>
  </si>
  <si>
    <t>Total Adjustment to Rate Base</t>
  </si>
  <si>
    <t>Adjustments to Transmission O&amp;M</t>
  </si>
  <si>
    <t>Appendix A Line #s, Descriptions, Notes, Form 1 Page #s and Instructions</t>
  </si>
  <si>
    <t>Total Wages Less A&amp;G Wages Expense</t>
  </si>
  <si>
    <t>Wage &amp; Salary Allocator</t>
  </si>
  <si>
    <t>From Acct. 282 total, below</t>
  </si>
  <si>
    <t>From Acct. 283 total, below</t>
  </si>
  <si>
    <t>From Acct. 190 total, below</t>
  </si>
  <si>
    <t>Total Transmission Plant</t>
  </si>
  <si>
    <t>Sum lines 1 through 3</t>
  </si>
  <si>
    <t xml:space="preserve"> Sum Cols. C, D, E; Enter as negative Appendix A, line 42.</t>
  </si>
  <si>
    <t>row 4</t>
  </si>
  <si>
    <t>In filling out this attachment, a full and complete description of each item and justification for the allocation to Columns B-F and each separate ADIT item will be listed,</t>
  </si>
  <si>
    <t>dissimilar items with amounts exceeding $100,000 will be listed separately.</t>
  </si>
  <si>
    <t>Total Undistributed Stores Expense Allocated to Transmission</t>
  </si>
  <si>
    <t xml:space="preserve">  1/8</t>
  </si>
  <si>
    <t>p352 &amp; 353</t>
  </si>
  <si>
    <t>Subtotal - Accounts 928 and 930.1 - Transmission Related</t>
  </si>
  <si>
    <t>Total Accounts 928 and 930.1 - General</t>
  </si>
  <si>
    <t>5. Deferred income taxes arise when items are included in taxable income in different periods than they are included in rates, therefore if the item giving rise to the ADIT is not included in the formula, the associated ADIT amount shall be excluded.</t>
  </si>
  <si>
    <t>Total, Included and Excluded (Line 20 + Line 28)</t>
  </si>
  <si>
    <t>Operations &amp; Maintenance Expense</t>
  </si>
  <si>
    <t>Revenue Requirement</t>
  </si>
  <si>
    <t xml:space="preserve">Taxes Other than Income Taxes                                                   </t>
  </si>
  <si>
    <t>Taxes Other than Income Taxes</t>
  </si>
  <si>
    <t>Total Taxes Other than Income Taxes</t>
  </si>
  <si>
    <t>Return \ Capitalization Calculations</t>
  </si>
  <si>
    <t xml:space="preserve">     Plus Transmission Revenue Requirement of Commonwealth Edison of Indiana booked to Account 565</t>
  </si>
  <si>
    <t>Difference  (Line 29 - Line 30)</t>
  </si>
  <si>
    <t>Reconciliation Details</t>
  </si>
  <si>
    <t>p336.7.b&amp;c&amp;d</t>
  </si>
  <si>
    <t>Formula Rate -- Appendix A</t>
  </si>
  <si>
    <t>H</t>
  </si>
  <si>
    <t xml:space="preserve"> &lt; From Acct 283, below</t>
  </si>
  <si>
    <t>Commonwealth Edison Company</t>
  </si>
  <si>
    <t>Unemployment &amp; state unemployment</t>
  </si>
  <si>
    <t>City of Chicago</t>
  </si>
  <si>
    <t>Vehicle Use</t>
  </si>
  <si>
    <t>Electricity Excise Tax</t>
  </si>
  <si>
    <t>Illinois Use Tax on Purchases</t>
  </si>
  <si>
    <t>Electricity Distribution</t>
  </si>
  <si>
    <t>Infrastructure Tax</t>
  </si>
  <si>
    <t>Chicago Use</t>
  </si>
  <si>
    <t>Chicago Transaction</t>
  </si>
  <si>
    <t>Public Utility Fund</t>
  </si>
  <si>
    <t>State Franchise Tax</t>
  </si>
  <si>
    <t>Taxes Other Than Income Taxes</t>
  </si>
  <si>
    <t>CPS Energy Efficiency Fund - reserve change</t>
  </si>
  <si>
    <t>Incentive Compensation Plan</t>
  </si>
  <si>
    <t>Liability For Severance Plans</t>
  </si>
  <si>
    <t xml:space="preserve">     (T/1-T) * Investment Return * (1-(WCLTD/ROR)) =</t>
  </si>
  <si>
    <t>Transmission for Others (Note 3)</t>
  </si>
  <si>
    <t>Net revenues associated with Network Integration Transmission Service (NITS) for which the load is not included in the divisor (difference between NITS credits from PJM and PJM NITS charges paid by Transmission Owner) (Note 3)</t>
  </si>
  <si>
    <t xml:space="preserve">  towards the construction of Network Transmission Facilities consistent with Paragraph 657 of Order 2003-A. </t>
  </si>
  <si>
    <t>CWIP (weighted monthly balances)</t>
  </si>
  <si>
    <t>Total Column D</t>
  </si>
  <si>
    <t>Total Column E</t>
  </si>
  <si>
    <t>Amort</t>
  </si>
  <si>
    <t>No</t>
  </si>
  <si>
    <t>Merger Costs</t>
  </si>
  <si>
    <t>p214.47.d</t>
  </si>
  <si>
    <t>Amortization related to Interest Rate Swaps</t>
  </si>
  <si>
    <t>Balance of General Depreciation Expense</t>
  </si>
  <si>
    <t>Amount of General Depreciation Expense Associated with Acct. 397</t>
  </si>
  <si>
    <t>Q</t>
  </si>
  <si>
    <t>I</t>
  </si>
  <si>
    <t>IL</t>
  </si>
  <si>
    <t>1 / (1-T)</t>
  </si>
  <si>
    <t>CIT = T / (1-T)</t>
  </si>
  <si>
    <t>Other Accrued Expenses</t>
  </si>
  <si>
    <t>Obsolete Materials - net change in provision</t>
  </si>
  <si>
    <t>Accrued Vacation Pay Provision</t>
  </si>
  <si>
    <t>Accrued Holiday Pay Provision</t>
  </si>
  <si>
    <t>Regulatory (Asset)/Liab:  Transmission Rates Recovery</t>
  </si>
  <si>
    <t>Provision for Bad Debt: Uncollectible Accounts Reserve</t>
  </si>
  <si>
    <t>Regulatory (Asset)/Liab:  AMP - retired meters and AMI costs</t>
  </si>
  <si>
    <t>Regulatory (Asset)/Liab:  AMP - other costs</t>
  </si>
  <si>
    <t>Per the hold harmless clause of the order approving the Constellation merger, merger related costs are removed.</t>
  </si>
  <si>
    <r>
      <t>FERC Form 1 --</t>
    </r>
    <r>
      <rPr>
        <sz val="10"/>
        <rFont val="Arial"/>
        <family val="2"/>
      </rPr>
      <t xml:space="preserve"> p111.57.c</t>
    </r>
  </si>
  <si>
    <t>Depreciation - Capital Related to CTA Merger</t>
  </si>
  <si>
    <t>Other Current</t>
  </si>
  <si>
    <t>Partnerships</t>
  </si>
  <si>
    <t>Regulatory (Asset)/Liab: Distribution Formula Rate</t>
  </si>
  <si>
    <t>Regulatory (Asset)/Liab: Distribution - Other Deferred (Merger)</t>
  </si>
  <si>
    <t>Regulatory (Asset)/Liab: Distribution - Other Deferred (Storm)</t>
  </si>
  <si>
    <t>Grand Prairie
CWIP EOY
Balance and
Increments</t>
  </si>
  <si>
    <t>Transmission (1)</t>
  </si>
  <si>
    <t>General and Intangible Plant</t>
  </si>
  <si>
    <t>Acount 390: Structures and Improvement</t>
  </si>
  <si>
    <t>Account 391.01: Office Furniture &amp; Equipment: Office Machines</t>
  </si>
  <si>
    <t>Account 391.02: Office Furniture &amp; Equipment: Furniture/Equipment</t>
  </si>
  <si>
    <t>Account 391.03: Office Furniture &amp; Equipment: Computer Equipment</t>
  </si>
  <si>
    <t>Account 392.00: Transportation Equipment - Passenger Cars</t>
  </si>
  <si>
    <t>Account 392.01: Transportation Equipment - Tractor Trucks</t>
  </si>
  <si>
    <t>Account 392.02: Transportation Equipment - Trailers</t>
  </si>
  <si>
    <t>Account 392.05: Transportation Equipment - Trucks &lt; 13,000 pounds</t>
  </si>
  <si>
    <t>Account 392.06: Transportation Equipment - Trucks &gt; 13,000 pounds</t>
  </si>
  <si>
    <t>Account 393: Stores Equipment</t>
  </si>
  <si>
    <t>Account 394: Tools, Shop, &amp; Garage Equipment</t>
  </si>
  <si>
    <t>Account 395: Laboratory Equipment</t>
  </si>
  <si>
    <t>Account 396: Power Operated Equipment</t>
  </si>
  <si>
    <t>Account 397: Communications Equipment</t>
  </si>
  <si>
    <t>Account 397.01: Communications Equipment: Mesh Comm. Network Devices</t>
  </si>
  <si>
    <t>Account 398: Miscellaneous Equipment</t>
  </si>
  <si>
    <t>Account 303: Miscellaneous Intangible Plant</t>
  </si>
  <si>
    <t>Source:  Docket ER14-1203-000</t>
  </si>
  <si>
    <t>(1) ComEd applies a single composite depreciation rate to Transmission Plant.</t>
  </si>
  <si>
    <t>The composite rate is determined by calculating the weighted average rate of</t>
  </si>
  <si>
    <t>Accounts 350-359.</t>
  </si>
  <si>
    <t>Pending Litigation Reserve</t>
  </si>
  <si>
    <t>The book expense on Jan 1 of calendar year; accelerated tax expense taken in previous calendar year. Related to all functions.</t>
  </si>
  <si>
    <t>Capitalized portion of vacation pay earned and expensed for books, tax takes the deduction when paid out. Related to all functions.</t>
  </si>
  <si>
    <t>For book, expense taken when identified as obsolete; For tax, the expense is taken when actually disposed. Relates to all functions.</t>
  </si>
  <si>
    <t>Retail bad debt. For book, expense taken as it's identified; tax deduction not taken until fully written-off and all collection efforts abandoned. Relates to retail operations.</t>
  </si>
  <si>
    <t>Book expense for damage as identified; tax deduction when fully written-off and all collection efforts abandoned. Relates to all functions.</t>
  </si>
  <si>
    <t>Property taxes. Book records on an accrual method based on the prior year; tax reverses the book accrual and deducts the actual payments made. . Relates to all functions.</t>
  </si>
  <si>
    <t>Book records an accrual in filing year on estimated payouts; tax reverses the accrual and deducts the actual paid out.  Relates to all functions.</t>
  </si>
  <si>
    <t>Book records an accrual; tax takes the deduction when actually paid. Relates to all functions.</t>
  </si>
  <si>
    <t>Relates to agreement between ComEd and Chicago Public School to implement energy efficiency project funds.  Book records based on an accrual; tax records when payment actually made. Relates to retail functions, thus non-jurisdictional.</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</si>
  <si>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</si>
  <si>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Book is recording accruals for other non-jurisdictional expenses.</t>
  </si>
  <si>
    <t>Reg asset established to recover transmission rate under/over recoveries. Deferred tax asset/liability will unwind as fluctuations are recovered or billed to the rate payers. The fluctuation is not included in taxable income.</t>
  </si>
  <si>
    <t>Book records estimated accrued compensation; tax deducts only upon the retirement or other separation from service by the employees. Relates to all functions.</t>
  </si>
  <si>
    <t>Use tax on out of state purchases. Book accrues for the tax expense when known; tax recognizes when paid out. Relates to all functions.</t>
  </si>
  <si>
    <t>Relates to Accounts Payables. Book records the expense as known; tax records when paid out. Relates to all functions.</t>
  </si>
  <si>
    <t xml:space="preserve">Relates to potential refunds that are unrelated to transmission operations. Excluded from rate base. </t>
  </si>
  <si>
    <t>Executive uninsured death benefits after retirement</t>
  </si>
  <si>
    <t>FAS 109 ITC</t>
  </si>
  <si>
    <t>Deferred Stock Bonus Plan</t>
  </si>
  <si>
    <t>FAS 123R - Stock Options; Other Equity Based Compensation</t>
  </si>
  <si>
    <t>Redemption of long-term debt-revalued discount due to merger</t>
  </si>
  <si>
    <t>Deferred Rent Expense</t>
  </si>
  <si>
    <t>Investment in partnerships.  Book/Tax difference as Book has written them all off.  Tax still has some losses being reflected. Non jurisdictional.</t>
  </si>
  <si>
    <t>Rent expense deferred and amortized ratably for books, tax deduction when paid - energy delivery facilities used for all functions.</t>
  </si>
  <si>
    <t>Reserve is not tax deductible, expense for books, tax expensed when payments made. Related to all functions.</t>
  </si>
  <si>
    <t>Related to unamortized investment tax credit. Tax credit not yet recognized for book purposes thus creating a book/tax timing difference. The regulatory liability is not reflected in rate base therefore neither is the deferred tax asset.</t>
  </si>
  <si>
    <t>No current book activity, tax deduction as distributions are made from the trust - employees in all functions.</t>
  </si>
  <si>
    <t>Book expense recorded when stock is granted, tax expense when stock is issued at market price - employees in all functions.</t>
  </si>
  <si>
    <t>Book premium and discounts were revalued and expensed/incurred at time of merger, tax did not revalue the debt and amortization remained the same; non utility.</t>
  </si>
  <si>
    <t>Costs incurred with UNICOM merger (2001). Not related to wholesale operations.</t>
  </si>
  <si>
    <t>Supplemental management retirement plan</t>
  </si>
  <si>
    <t>Midwest Generation Settlement</t>
  </si>
  <si>
    <t>Regulatory (Asset)/Liab:  Docket No 07-0566 - 3 YR</t>
  </si>
  <si>
    <t>Book accrues anticipated Supplemental Management Retirement costs based on actuarial analysis.  Tax deducts retirement benefits only when the amounts are paid.  Related to employees in all functions.</t>
  </si>
  <si>
    <t>Book expense recognized at the time of determination, not recognized for taxes until paid out.  Related to employees in all functions.</t>
  </si>
  <si>
    <t>This settlement is a capacity reservation agreement guarantee in connection with the City of Chicago agreement.  Book amortizes over the life of the franchise.  Tax deducted when payments were made. Generation related. Non jurisdictional.</t>
  </si>
  <si>
    <t>Related to CTC, Fossil sales, and like kind exchange.  Not related to wholesale operations.</t>
  </si>
  <si>
    <t>Tracks anticipated recoveries for costs for Original Cost Audit, 05-0597 Rehearing, Lease Abandonment of the AT&amp;T building and the 2007 ICC Rate Case.  Not related to wholesale operations.</t>
  </si>
  <si>
    <t>Regulatory (Asset)/Liab:  2011 IL State Tax Rate Change</t>
  </si>
  <si>
    <t>ADIT related to regulatory liability established as a result of the 2011 IL State Income Tax increase.  Reg liability not included in rate base.</t>
  </si>
  <si>
    <t>Property basis difference resulting from accelerated tax depreciation versus depreciation used for ratemaking purposes. Related to all functions.</t>
  </si>
  <si>
    <t>Competitive Transition Charge (CTC)</t>
  </si>
  <si>
    <t>Allowance for borrowed funds used during construction</t>
  </si>
  <si>
    <t>Relates to the deferred recognition of CTC revenues.</t>
  </si>
  <si>
    <t>AFUDC - book tax timing difference. Debt portion. Related to all functions.</t>
  </si>
  <si>
    <t>Amortization of deferred gain - Like Kind Exchange</t>
  </si>
  <si>
    <t>FIN47</t>
  </si>
  <si>
    <t>Interest capitalized under Code Section 263A</t>
  </si>
  <si>
    <t>Computer software costs</t>
  </si>
  <si>
    <t>Overheads capitalized</t>
  </si>
  <si>
    <t>Pension capitalized for books</t>
  </si>
  <si>
    <t>Proceeds from contributions in aid of construction</t>
  </si>
  <si>
    <t>Proceeds from CIAC: Tax Gross-up</t>
  </si>
  <si>
    <t>Property Revaluation Due To Merger</t>
  </si>
  <si>
    <t>Real estate taxes capitalized under Code Section 263A</t>
  </si>
  <si>
    <t>Repair allowances</t>
  </si>
  <si>
    <t>Repairs - Distribution</t>
  </si>
  <si>
    <t>Repairs - Transmission</t>
  </si>
  <si>
    <t>Transmission Upgrade - East/West</t>
  </si>
  <si>
    <t>Regulatory (Asset)/Liab:  FAS 109 - Tax Rate Changes</t>
  </si>
  <si>
    <t>Actual Like Kind Exchange - generation related, not in rate base.</t>
  </si>
  <si>
    <t>Accrual of future removal/retirements.  Book recognized the expense estimate accrual, tax recognizes when paid. Related to all functions.</t>
  </si>
  <si>
    <t>Interest capitalized for book and tax purposes at different rates - related to all functions.</t>
  </si>
  <si>
    <t>Book capitalizes software development costs.  Tax is allowed to deduct certain internally developed software as expenses are incurred.  This represents both the current deduction and the reversal of the book amortization. Related to all functions.</t>
  </si>
  <si>
    <t>Represents Sales and Use tax capitalized for book purposes, but is currently deductible for tax purposes. Related to all functions.</t>
  </si>
  <si>
    <t>Book accrues and capitalizes anticipated Pension costs on actuarial analysis.  Tax deducts or capitalizes retirement benefits only when the amounts are paid. Related to all functions.</t>
  </si>
  <si>
    <t xml:space="preserve">Payments for new or additional services are not considered income for book purposes. Tax recognizes when received. Related to all functions.  </t>
  </si>
  <si>
    <t xml:space="preserve">Beginning in 2009, CIAC is grossed up for income taxes. Tax gross-up amounts are now collected from customers paying the CIAC. Deferred tax for these amounts is not included in rate base. </t>
  </si>
  <si>
    <t xml:space="preserve">Non-utility. </t>
  </si>
  <si>
    <t>Capitalization of real estate taxes for tax purposes.  Related to all functions.</t>
  </si>
  <si>
    <t>This represents an amount for repairs that is deductible for tax purposes but is required to be capitalized for book.  Related to all functions.</t>
  </si>
  <si>
    <t>This represents an amount for repairs that is deductible for tax purposes but is required to be capitalized for book.  Related to Distribution</t>
  </si>
  <si>
    <t>This represents an amount for repairs that is deductible for tax purposes but is required to be capitalized for book.  Related to Transmission</t>
  </si>
  <si>
    <t>Relates to contributions received from a subsidiary for an upgrade to the transmission system.</t>
  </si>
  <si>
    <t xml:space="preserve">Regulatory asset established to recognize the change in income tax rates and flow through timing difference between those in effect when plant related deferred taxes were established and those in effect when they are expensed. The corresponding regulatory asset represents the amount of future revenue and the related increase in future tax expense that will be recovered when the temporary difference reverses. The regulatory asset is not reflected in rate base therefore neither is the deferred tax liability. </t>
  </si>
  <si>
    <t>Regulatory Asset: AAF</t>
  </si>
  <si>
    <t>Accrued Benefits</t>
  </si>
  <si>
    <t>Purchased Energy Adjustment. Related to supply. Non jurisdictional.</t>
  </si>
  <si>
    <t>Related to a third party’s right to use our optical fibers within cables over a 30 year contract.  For GAAP purposes, the revenue is deferred and amortized.  For tax, the income cannot be deferred and was already recognized in a prior year.</t>
  </si>
  <si>
    <t>Relate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</si>
  <si>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Chicago Arbitration settlement</t>
  </si>
  <si>
    <t>Deferred Gain on Sale of Easements</t>
  </si>
  <si>
    <t>Incentive pay capitalized (Global Settlement)</t>
  </si>
  <si>
    <t>Loss on reacquired debt</t>
  </si>
  <si>
    <t>Other Comprehensive Income - unrealized appreciation</t>
  </si>
  <si>
    <t>Pension Contribution - Net of Book Provision - 9.5%</t>
  </si>
  <si>
    <t>PJM start-up costs</t>
  </si>
  <si>
    <t>Swap and hedging transactions</t>
  </si>
  <si>
    <t>Amortization of regulatory asset - MGP - Enviromental Remediation</t>
  </si>
  <si>
    <t>Amortization of regulatory asset - Severance Cost</t>
  </si>
  <si>
    <t>Regulatory (Asset)/Liab:  Rider UF</t>
  </si>
  <si>
    <t>Regulatory Asset of Distribution Rate Case Matters</t>
  </si>
  <si>
    <t>Relates to 1992 franchise agreement with City of Chicago.  Non jurisdictional.</t>
  </si>
  <si>
    <t>ComEd sold easements and deferred the gain. Related to all functions.</t>
  </si>
  <si>
    <t>Represents the 2003 Agreement relating to various programs and initiatives.  Book recorded the liability and is amortizing monthly.  Tax deducted the payments in each of the 4 years when made. Not wholesale related.</t>
  </si>
  <si>
    <t>Book recapitalizes costs incurred to retire or reacquire debt issuances.  Tax deducts these costs when incurred. Included in debt capitalization ratio on Appendix A, line 111.</t>
  </si>
  <si>
    <t>Unrealized gain/loss on equity received as compensation for payment of services. Related to all functions.</t>
  </si>
  <si>
    <t>Book accrues and capitalizes anticipated Pension costs based on actuarial analysis.  Tax deducts or capitalizes retirement benefits only when the amounts are paid.  Related to all functions.</t>
  </si>
  <si>
    <t>Amount netted from Prepaid Pension Asset on Attachment 5 for the calculation of the return on the pension asset on Appendix A, line 82.</t>
  </si>
  <si>
    <t>Costs incurred to join PJM were set up to reg liability and are amortized over the FERC approved recovery period for book purposes.  For tax purposes, these were deducted when paid. Costs not included in wholesale charges.</t>
  </si>
  <si>
    <t>Book amount amortized over the life of the debt, tax amortized over the life of the swap. These cost are included in cost of debt calculations.</t>
  </si>
  <si>
    <t>Reg Asset was established to record the estimated recoverable MGP clean up costs as authorized in a rate case.  Non jurisdictional.</t>
  </si>
  <si>
    <t xml:space="preserve">Reg Asset relating to severance costs incurred as result of "Exelon Way" program. Tax deducted in 2003-2004 as incurred and paid. Reg asset not included in rate base. </t>
  </si>
  <si>
    <t>State income taxes accrued but not yet paid to the state related to discrete items under audit that have not yet settled.  These state taxes will be deductible once paid.</t>
  </si>
  <si>
    <t>Reg Asset established for under/over recovery of uncollectable amounts. Not wholesale related.</t>
  </si>
  <si>
    <t>Regulatory assets/liabilities that have not yet been approved by the ICC for collection but are expected to be approved and collected in the future.</t>
  </si>
  <si>
    <t>Deferred tax on reg asset related to AMI Program. Not related to wholesale operations.</t>
  </si>
  <si>
    <t>Related to reg asset associated with Distribution Filing reconcilliations.  Not related to wholesale operations.</t>
  </si>
  <si>
    <t>Related to reg asset associated to Distribution Filing.  Not related to wholesale operations.</t>
  </si>
  <si>
    <t>Regulatory (Asset)/Liab:  2011 IL Tax Rate Change</t>
  </si>
  <si>
    <t xml:space="preserve">Accelerated Depr AMI - Related to Reg Assets </t>
  </si>
  <si>
    <t>ADIT related to regulatory asset established as a result of the 2011 IL State Income Tax increase.  Reg asset not included in rate base.</t>
  </si>
  <si>
    <t>Accelerated depreciation on old meters in AMI program. Not related to wholesale operations.</t>
  </si>
  <si>
    <t>Regulatory (Asset)/Liab:  PORCB</t>
  </si>
  <si>
    <t>Related to reg asset associated with PORCB which was established to recover uncollected amounts related to the consolidated billing provided under the program.</t>
  </si>
  <si>
    <t>Regulatory (Asset)/Liab:  Capital Leases</t>
  </si>
  <si>
    <t>p337.43.b*e</t>
  </si>
  <si>
    <t>Assignment based on locational analysis performed pursuant to protocol 1.g.iii.7.v and detailed in Attachment accompanying Annual Update Filing.</t>
  </si>
  <si>
    <t>Stockholder contributed portion is shown on FERC Form 1 - p233.25.f  
Note:  Attachment 1 excludes from transmission rate base the associated ADIT balance.</t>
  </si>
  <si>
    <t>Public Utility Fund Contribution</t>
  </si>
  <si>
    <t>Account 190</t>
  </si>
  <si>
    <t>Account 283</t>
  </si>
  <si>
    <t>Environmental Cleanup Costs - Non MGP (Mfg Gas Plants)</t>
  </si>
  <si>
    <t>Management Deferred Compensation Plan</t>
  </si>
  <si>
    <t>Post Retirement Health Care Liability - Provision</t>
  </si>
  <si>
    <t>Manufactured Gas Plants - Provision</t>
  </si>
  <si>
    <t>Workers Compensation and Bodily Injury Reserve</t>
  </si>
  <si>
    <t>Deferred Revenue - Fiber Optics Lease</t>
  </si>
  <si>
    <t>Yes</t>
  </si>
  <si>
    <t>Byron to Wayne 345 kV circuit</t>
  </si>
  <si>
    <t>Interest on projected tax deficiencies</t>
  </si>
  <si>
    <t>Related to reg asset associated with Willis Tower Lease.  Not related to wholesale operations.</t>
  </si>
  <si>
    <t>These accounts are reserves for public claims, workers compensation and other third party incidents.  For tax purposes these are not deductible until paid. Related to all functions.</t>
  </si>
  <si>
    <t>The MGP liability account is used to record the estimated remediation costs.  The estimated remediation costs are not deductible for tax purposes. Associated expenses are run through Rider ECR. Not related to wholesale operations.</t>
  </si>
  <si>
    <t>Book accrues anticipated post retirement costs based on actuarial analysis.  Tax deducts retirement benefits only when the amounts are paid or contributed to a fund. Related liability not deducted from rate base.</t>
  </si>
  <si>
    <t>Reserves for remediation of Superfund sites.  Reserves are not deductible for tax purposes. Not fixed and determinable. Book liability (taken to the expense on book), for taxes these are non-recognized until settled/paid.  Superfund is reimbursed. Not related to wholesale operations.</t>
  </si>
  <si>
    <r>
      <rPr>
        <b/>
        <sz val="10"/>
        <rFont val="Arial"/>
        <family val="2"/>
      </rPr>
      <t>NEW:</t>
    </r>
    <r>
      <rPr>
        <sz val="10"/>
        <rFont val="Arial"/>
        <family val="2"/>
      </rPr>
      <t xml:space="preserve"> Relates to April-December 2015 Public Utility Fund accrual.  Legislation expired March 2015 however books continued to accrue.  Accruals made after legislation expired is not tax deductible until payment is made.</t>
    </r>
  </si>
  <si>
    <t>Note: ADIT associated with Gain or Loss on Reacquired Debt is included in Column A here and included in Cost of Debt on Appendix A, Line 111</t>
  </si>
  <si>
    <t xml:space="preserve">Elective adjustment to certain payroll and benefit costs of Exelon Corp’s senior executive team.  As detailed in Attachment No. 15.  </t>
  </si>
  <si>
    <r>
      <t xml:space="preserve">ComEd does not currently pay annual EPRI dues.  All </t>
    </r>
    <r>
      <rPr>
        <sz val="10"/>
        <color rgb="FF0000FF"/>
        <rFont val="Arial"/>
        <family val="2"/>
      </rPr>
      <t>2016</t>
    </r>
    <r>
      <rPr>
        <sz val="10"/>
        <rFont val="Arial"/>
        <family val="2"/>
      </rPr>
      <t xml:space="preserve"> expenses were related to projects.</t>
    </r>
  </si>
  <si>
    <t>Charitable Contributions</t>
  </si>
  <si>
    <t>NEW</t>
  </si>
  <si>
    <t>Federal NOL DTA</t>
  </si>
  <si>
    <t>Regulatory (Asset)/Liab: Distribution - Other Deferred (A-Base)</t>
  </si>
  <si>
    <t>12+0</t>
  </si>
  <si>
    <t>Byron to Wayne 345 kV circuit (CWIP)</t>
  </si>
  <si>
    <t>2017 Forecast</t>
  </si>
  <si>
    <r>
      <rPr>
        <sz val="10"/>
        <rFont val="Arial"/>
        <family val="2"/>
      </rPr>
      <t xml:space="preserve">12 months </t>
    </r>
    <r>
      <rPr>
        <sz val="10"/>
        <color rgb="FF0000FF"/>
        <rFont val="Arial"/>
        <family val="2"/>
      </rPr>
      <t>June16 - May17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</si>
</sst>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0.0000%"/>
    <numFmt numFmtId="173" formatCode="0.00000%"/>
    <numFmt numFmtId="174" formatCode="0.000000%"/>
    <numFmt numFmtId="175" formatCode="0_)"/>
    <numFmt numFmtId="176" formatCode="0_);\(0\)"/>
    <numFmt numFmtId="177" formatCode="#,##0.00000000"/>
  </numFmts>
  <fonts count="91">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color indexed="12"/>
      <name val="Arial"/>
      <family val="2"/>
    </font>
    <font>
      <b/>
      <sz val="12"/>
      <color indexed="10"/>
      <name val="Arial"/>
      <family val="2"/>
    </font>
    <font>
      <sz val="12"/>
      <color indexed="10"/>
      <name val="Arial"/>
      <family val="2"/>
    </font>
    <font>
      <b/>
      <sz val="10"/>
      <color indexed="10"/>
      <name val="Arial"/>
      <family val="2"/>
    </font>
    <font>
      <sz val="12"/>
      <name val="Arial MT"/>
      <family val="2"/>
    </font>
    <font>
      <sz val="10"/>
      <color indexed="12"/>
      <name val="Arial"/>
      <family val="2"/>
    </font>
    <font>
      <b/>
      <sz val="14"/>
      <name val="Arial"/>
      <family val="2"/>
    </font>
    <font>
      <sz val="12"/>
      <color indexed="12"/>
      <name val="Helv"/>
      <family val="2"/>
    </font>
    <font>
      <sz val="12"/>
      <name val="Helv"/>
      <family val="2"/>
    </font>
    <font>
      <b/>
      <sz val="12"/>
      <name val="Helv"/>
      <family val="2"/>
    </font>
    <font>
      <b/>
      <sz val="12"/>
      <color indexed="10"/>
      <name val="Helv"/>
      <family val="2"/>
    </font>
    <font>
      <b/>
      <sz val="12"/>
      <color indexed="12"/>
      <name val="Helv"/>
      <family val="2"/>
    </font>
    <font>
      <sz val="12"/>
      <color indexed="13"/>
      <name val="Arial"/>
      <family val="2"/>
    </font>
    <font>
      <b/>
      <sz val="12"/>
      <color indexed="13"/>
      <name val="Arial"/>
      <family val="2"/>
    </font>
    <font>
      <b/>
      <sz val="12"/>
      <color indexed="13"/>
      <name val="Helv"/>
      <family val="2"/>
    </font>
    <font>
      <sz val="14"/>
      <name val="Arial"/>
      <family val="2"/>
    </font>
    <font>
      <sz val="12"/>
      <name val="Arial Narrow"/>
      <family val="2"/>
    </font>
    <font>
      <b/>
      <sz val="12"/>
      <color indexed="10"/>
      <name val="Arial Narrow"/>
      <family val="2"/>
    </font>
    <font>
      <b/>
      <sz val="18"/>
      <name val="Arial"/>
      <family val="2"/>
    </font>
    <font>
      <sz val="12"/>
      <color indexed="10"/>
      <name val="Helv"/>
      <family val="2"/>
    </font>
    <font>
      <b/>
      <i/>
      <sz val="10"/>
      <name val="Arial"/>
      <family val="2"/>
    </font>
    <font>
      <b/>
      <sz val="10"/>
      <color indexed="10"/>
      <name val="Helv"/>
      <family val="2"/>
    </font>
    <font>
      <b/>
      <i/>
      <sz val="12"/>
      <name val="Arial"/>
      <family val="2"/>
    </font>
    <font>
      <b/>
      <i/>
      <sz val="12"/>
      <color indexed="14"/>
      <name val="Arial"/>
      <family val="2"/>
    </font>
    <font>
      <sz val="10"/>
      <name val="Arial Narrow"/>
      <family val="2"/>
    </font>
    <font>
      <b/>
      <sz val="10"/>
      <color indexed="14"/>
      <name val="Arial"/>
      <family val="2"/>
    </font>
    <font>
      <sz val="11"/>
      <name val="Arial"/>
      <family val="2"/>
    </font>
    <font>
      <b/>
      <sz val="10"/>
      <name val="Arial Narrow"/>
      <family val="2"/>
    </font>
    <font>
      <b/>
      <sz val="14"/>
      <name val="Arial Narrow"/>
      <family val="2"/>
    </font>
    <font>
      <b/>
      <sz val="16"/>
      <color indexed="10"/>
      <name val="Arial"/>
      <family val="2"/>
    </font>
    <font>
      <b/>
      <sz val="12"/>
      <color indexed="13"/>
      <name val="Helvetica"/>
      <family val="2"/>
    </font>
    <font>
      <sz val="12"/>
      <color indexed="43"/>
      <name val="Arial"/>
      <family val="2"/>
    </font>
    <font>
      <b/>
      <u/>
      <sz val="10"/>
      <name val="Arial"/>
      <family val="2"/>
    </font>
    <font>
      <sz val="10"/>
      <color indexed="14"/>
      <name val="Arial"/>
      <family val="2"/>
    </font>
    <font>
      <b/>
      <sz val="11"/>
      <name val="Arial"/>
      <family val="2"/>
    </font>
    <font>
      <sz val="8"/>
      <color indexed="10"/>
      <name val="Arial"/>
      <family val="2"/>
    </font>
    <font>
      <sz val="8"/>
      <color indexed="10"/>
      <name val="Arial Narrow"/>
      <family val="2"/>
    </font>
    <font>
      <sz val="10"/>
      <color indexed="10"/>
      <name val="Arial Narrow"/>
      <family val="2"/>
    </font>
    <font>
      <b/>
      <u/>
      <sz val="12"/>
      <name val="Arial"/>
      <family val="2"/>
    </font>
    <font>
      <b/>
      <sz val="16"/>
      <name val="Arial"/>
      <family val="2"/>
    </font>
    <font>
      <sz val="14"/>
      <color indexed="10"/>
      <name val="Arial"/>
      <family val="2"/>
    </font>
    <font>
      <sz val="10"/>
      <name val="MS Sans Serif"/>
      <family val="2"/>
    </font>
    <font>
      <b/>
      <sz val="10"/>
      <name val="MS Sans Serif"/>
      <family val="2"/>
    </font>
    <font>
      <sz val="16"/>
      <name val="Arial"/>
      <family val="2"/>
    </font>
    <font>
      <b/>
      <sz val="16"/>
      <color indexed="10"/>
      <name val="Helv"/>
      <family val="2"/>
    </font>
    <font>
      <sz val="16"/>
      <name val="Helv"/>
      <family val="2"/>
    </font>
    <font>
      <b/>
      <sz val="16"/>
      <name val="Arial Narrow"/>
      <family val="2"/>
    </font>
    <font>
      <sz val="16"/>
      <name val="Arial Narrow"/>
      <family val="2"/>
    </font>
    <font>
      <b/>
      <sz val="16"/>
      <color indexed="13"/>
      <name val="Arial Narrow"/>
      <family val="2"/>
    </font>
    <font>
      <b/>
      <sz val="16"/>
      <color indexed="13"/>
      <name val="Arial"/>
      <family val="2"/>
    </font>
    <font>
      <sz val="10"/>
      <color indexed="14"/>
      <name val="Arial Narrow"/>
      <family val="2"/>
    </font>
    <font>
      <b/>
      <sz val="12"/>
      <color indexed="53"/>
      <name val="Arial"/>
      <family val="2"/>
    </font>
    <font>
      <sz val="14"/>
      <color indexed="12"/>
      <name val="Arial"/>
      <family val="2"/>
    </font>
    <font>
      <b/>
      <sz val="14"/>
      <color indexed="12"/>
      <name val="Arial"/>
      <family val="2"/>
    </font>
    <font>
      <b/>
      <sz val="10"/>
      <color indexed="12"/>
      <name val="Arial"/>
      <family val="2"/>
    </font>
    <font>
      <b/>
      <sz val="10"/>
      <name val="Helv"/>
      <family val="2"/>
    </font>
    <font>
      <b/>
      <sz val="10"/>
      <color indexed="13"/>
      <name val="Arial"/>
      <family val="2"/>
    </font>
    <font>
      <b/>
      <i/>
      <sz val="14"/>
      <name val="Arial"/>
      <family val="2"/>
    </font>
    <font>
      <b/>
      <sz val="8"/>
      <color indexed="10"/>
      <name val="Arial"/>
      <family val="2"/>
    </font>
    <font>
      <b/>
      <i/>
      <u/>
      <sz val="10"/>
      <name val="Arial"/>
      <family val="2"/>
    </font>
    <font>
      <b/>
      <i/>
      <u/>
      <sz val="12"/>
      <name val="Arial"/>
      <family val="2"/>
    </font>
    <font>
      <b/>
      <sz val="14"/>
      <color indexed="10"/>
      <name val="Arial"/>
      <family val="2"/>
    </font>
    <font>
      <b/>
      <sz val="8"/>
      <color indexed="12"/>
      <name val="Arial"/>
      <family val="2"/>
    </font>
    <font>
      <sz val="10"/>
      <color indexed="8"/>
      <name val="Arial"/>
      <family val="2"/>
    </font>
    <font>
      <sz val="10"/>
      <color indexed="12"/>
      <name val="Arial Narrow"/>
      <family val="2"/>
    </font>
    <font>
      <sz val="9"/>
      <color indexed="51"/>
      <name val="Arial"/>
      <family val="2"/>
    </font>
    <font>
      <b/>
      <sz val="9"/>
      <color indexed="9"/>
      <name val="Arial"/>
      <family val="2"/>
    </font>
    <font>
      <b/>
      <sz val="10"/>
      <color indexed="9"/>
      <name val="Arial"/>
      <family val="2"/>
    </font>
    <font>
      <b/>
      <sz val="9"/>
      <color indexed="12"/>
      <name val="Arial"/>
      <family val="2"/>
    </font>
    <font>
      <strike/>
      <sz val="10"/>
      <color indexed="10"/>
      <name val="Arial"/>
      <family val="2"/>
    </font>
    <font>
      <sz val="8"/>
      <name val="Arial"/>
      <family val="2"/>
    </font>
    <font>
      <b/>
      <i/>
      <sz val="8"/>
      <name val="Arial"/>
      <family val="2"/>
    </font>
    <font>
      <b/>
      <sz val="10"/>
      <color rgb="FFFF0000"/>
      <name val="Arial"/>
      <family val="2"/>
    </font>
    <font>
      <sz val="10"/>
      <color rgb="FF0000FF"/>
      <name val="Arial"/>
      <family val="2"/>
    </font>
    <font>
      <sz val="8"/>
      <color rgb="FFC00000"/>
      <name val="Arial"/>
      <family val="2"/>
    </font>
    <font>
      <sz val="10"/>
      <color rgb="FF0000FF"/>
      <name val="Arial Narrow"/>
      <family val="2"/>
    </font>
    <font>
      <sz val="10"/>
      <color rgb="FFFF66FF"/>
      <name val="Arial"/>
      <family val="2"/>
    </font>
    <font>
      <sz val="11"/>
      <color theme="3" tint="0.59996337778862885"/>
      <name val="Arial"/>
      <family val="2"/>
    </font>
    <font>
      <b/>
      <sz val="10"/>
      <color theme="3" tint="0.59996337778862885"/>
      <name val="Arial"/>
      <family val="2"/>
    </font>
    <font>
      <b/>
      <u/>
      <sz val="10"/>
      <color theme="3" tint="0.59996337778862885"/>
      <name val="Arial"/>
      <family val="2"/>
    </font>
    <font>
      <sz val="11"/>
      <color indexed="8"/>
      <name val="Calibri"/>
      <family val="2"/>
    </font>
    <font>
      <b/>
      <sz val="10"/>
      <color rgb="FFFF0000"/>
      <name val="Arial Narrow"/>
      <family val="2"/>
    </font>
    <font>
      <sz val="10"/>
      <color theme="1"/>
      <name val="Arial Narrow"/>
      <family val="2"/>
    </font>
    <font>
      <sz val="10"/>
      <name val="Arial"/>
      <family val="2"/>
    </font>
    <font>
      <sz val="10"/>
      <color rgb="FFFF0000"/>
      <name val="Arial"/>
      <family val="2"/>
    </font>
  </fonts>
  <fills count="13">
    <fill>
      <patternFill patternType="none"/>
    </fill>
    <fill>
      <patternFill patternType="gray125"/>
    </fill>
    <fill>
      <patternFill patternType="mediumGray">
        <fgColor indexed="22"/>
      </patternFill>
    </fill>
    <fill>
      <patternFill patternType="solid">
        <fgColor indexed="8"/>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
      <patternFill patternType="solid">
        <fgColor indexed="10"/>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top/>
      <bottom style="medium">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55"/>
      </left>
      <right style="thin">
        <color indexed="55"/>
      </right>
      <top style="thin">
        <color auto="1"/>
      </top>
      <bottom style="double">
        <color auto="1"/>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medium">
        <color auto="1"/>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indexed="55"/>
      </right>
      <top style="thin">
        <color indexed="55"/>
      </top>
      <bottom style="thin">
        <color indexed="55"/>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thin">
        <color indexed="55"/>
      </left>
      <right/>
      <top style="thin">
        <color auto="1"/>
      </top>
      <bottom style="double">
        <color auto="1"/>
      </bottom>
      <diagonal/>
    </border>
    <border>
      <left/>
      <right style="thin">
        <color indexed="55"/>
      </right>
      <top style="thin">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medium">
        <color auto="1"/>
      </bottom>
      <diagonal/>
    </border>
  </borders>
  <cellStyleXfs count="16">
    <xf numFmtId="0" fontId="0" fillId="0" borderId="0"/>
    <xf numFmtId="9" fontId="89" fillId="0" borderId="0" applyFont="0" applyFill="0" applyBorder="0" applyAlignment="0" applyProtection="0"/>
    <xf numFmtId="44" fontId="89" fillId="0" borderId="0" applyFont="0" applyFill="0" applyBorder="0" applyAlignment="0" applyProtection="0"/>
    <xf numFmtId="42" fontId="89" fillId="0" borderId="0" applyFont="0" applyFill="0" applyBorder="0" applyAlignment="0" applyProtection="0"/>
    <xf numFmtId="43" fontId="89" fillId="0" borderId="0" applyFont="0" applyFill="0" applyBorder="0" applyAlignment="0" applyProtection="0"/>
    <xf numFmtId="41" fontId="89" fillId="0" borderId="0" applyFont="0" applyFill="0" applyBorder="0" applyAlignment="0" applyProtection="0"/>
    <xf numFmtId="165" fontId="5" fillId="0" borderId="0"/>
    <xf numFmtId="0" fontId="89" fillId="0" borderId="0"/>
    <xf numFmtId="0" fontId="89" fillId="0" borderId="0"/>
    <xf numFmtId="0" fontId="47" fillId="0" borderId="0" applyNumberFormat="0" applyFont="0" applyFill="0" applyBorder="0" applyProtection="0"/>
    <xf numFmtId="15" fontId="47" fillId="0" borderId="0" applyFont="0" applyFill="0" applyBorder="0" applyAlignment="0" applyProtection="0"/>
    <xf numFmtId="4" fontId="47" fillId="0" borderId="0" applyFont="0" applyFill="0" applyBorder="0" applyAlignment="0" applyProtection="0"/>
    <xf numFmtId="0" fontId="48" fillId="0" borderId="1">
      <alignment horizontal="center"/>
    </xf>
    <xf numFmtId="3" fontId="47" fillId="0" borderId="0" applyFont="0" applyFill="0" applyBorder="0" applyAlignment="0" applyProtection="0"/>
    <xf numFmtId="0" fontId="47" fillId="2" borderId="0" applyNumberFormat="0" applyFont="0" applyBorder="0" applyAlignment="0" applyProtection="0"/>
    <xf numFmtId="43" fontId="86" fillId="0" borderId="0" applyFont="0" applyFill="0" applyBorder="0" applyAlignment="0" applyProtection="0"/>
  </cellStyleXfs>
  <cellXfs count="1305">
    <xf numFmtId="0" fontId="0" fillId="0" borderId="0" xfId="0"/>
    <xf numFmtId="0" fontId="2" fillId="0" borderId="0" xfId="0" applyFont="1"/>
    <xf numFmtId="0" fontId="0" fillId="0" borderId="0" xfId="0" applyFill="1"/>
    <xf numFmtId="0" fontId="4" fillId="0" borderId="0" xfId="0" applyNumberFormat="1" applyFont="1" applyAlignment="1"/>
    <xf numFmtId="0" fontId="4" fillId="0" borderId="0" xfId="0" applyNumberFormat="1" applyFont="1" applyAlignment="1">
      <alignment horizontal="left"/>
    </xf>
    <xf numFmtId="3" fontId="4" fillId="0" borderId="0" xfId="0" applyNumberFormat="1" applyFont="1" applyAlignment="1"/>
    <xf numFmtId="0" fontId="4" fillId="0" borderId="0" xfId="0" applyNumberFormat="1" applyFont="1" applyAlignment="1">
      <alignment horizontal="center"/>
    </xf>
    <xf numFmtId="3" fontId="4" fillId="0" borderId="0" xfId="0" applyNumberFormat="1" applyFont="1"/>
    <xf numFmtId="169" fontId="4" fillId="0" borderId="0" xfId="0" applyNumberFormat="1" applyFont="1" applyAlignment="1"/>
    <xf numFmtId="0" fontId="4" fillId="0" borderId="0" xfId="0" applyFont="1" applyAlignment="1"/>
    <xf numFmtId="3" fontId="4" fillId="0" borderId="0" xfId="0" applyNumberFormat="1" applyFont="1" applyFill="1" applyAlignment="1"/>
    <xf numFmtId="168" fontId="4" fillId="0" borderId="0" xfId="0" applyNumberFormat="1" applyFont="1" applyAlignment="1">
      <alignment horizontal="center"/>
    </xf>
    <xf numFmtId="168" fontId="4" fillId="0" borderId="0" xfId="0" applyNumberFormat="1" applyFont="1" applyAlignment="1">
      <alignment horizontal="left"/>
    </xf>
    <xf numFmtId="169" fontId="4" fillId="0" borderId="0" xfId="0" applyNumberFormat="1" applyFont="1" applyAlignment="1">
      <alignment horizontal="center"/>
    </xf>
    <xf numFmtId="10" fontId="4" fillId="0" borderId="0" xfId="0" applyNumberFormat="1" applyFont="1" applyFill="1" applyAlignment="1">
      <alignment horizontal="right"/>
    </xf>
    <xf numFmtId="3" fontId="4" fillId="0" borderId="0" xfId="0" applyNumberFormat="1" applyFont="1" applyFill="1" applyAlignment="1">
      <alignment horizontal="right"/>
    </xf>
    <xf numFmtId="3" fontId="4" fillId="0" borderId="0" xfId="0" applyNumberFormat="1" applyFont="1" applyAlignment="1">
      <alignment horizontal="center"/>
    </xf>
    <xf numFmtId="166" fontId="4" fillId="0" borderId="0" xfId="0" applyNumberFormat="1" applyFont="1" applyAlignment="1"/>
    <xf numFmtId="170" fontId="4" fillId="0" borderId="0" xfId="0" applyNumberFormat="1" applyFont="1" applyAlignment="1"/>
    <xf numFmtId="0" fontId="2" fillId="0" borderId="0" xfId="0" applyNumberFormat="1" applyFont="1" applyFill="1" applyAlignment="1"/>
    <xf numFmtId="3" fontId="4" fillId="0" borderId="0" xfId="0" applyNumberFormat="1" applyFont="1" applyBorder="1" applyAlignment="1"/>
    <xf numFmtId="0" fontId="4" fillId="0" borderId="0" xfId="0" applyNumberFormat="1" applyFont="1" applyFill="1" applyAlignment="1"/>
    <xf numFmtId="0" fontId="4" fillId="0" borderId="0" xfId="0" applyFont="1" applyFill="1" applyAlignment="1"/>
    <xf numFmtId="3" fontId="4" fillId="0" borderId="0" xfId="0" applyNumberFormat="1" applyFont="1" applyFill="1" applyAlignment="1">
      <alignment horizontal="center"/>
    </xf>
    <xf numFmtId="0" fontId="4" fillId="0" borderId="0" xfId="0" applyNumberFormat="1" applyFont="1" applyFill="1" applyAlignment="1">
      <alignment horizontal="center"/>
    </xf>
    <xf numFmtId="3" fontId="4" fillId="0" borderId="0" xfId="0" quotePrefix="1" applyNumberFormat="1" applyFont="1" applyAlignment="1">
      <alignment horizontal="right"/>
    </xf>
    <xf numFmtId="0" fontId="4" fillId="0" borderId="0" xfId="0" applyNumberFormat="1" applyFont="1" applyAlignment="1">
      <alignment horizontal="center"/>
    </xf>
    <xf numFmtId="0" fontId="4" fillId="0" borderId="0" xfId="0" applyFont="1" applyAlignment="1"/>
    <xf numFmtId="0" fontId="10" fillId="0" borderId="0" xfId="0" applyNumberFormat="1" applyFont="1" applyFill="1"/>
    <xf numFmtId="0" fontId="8" fillId="0" borderId="0" xfId="0" applyNumberFormat="1" applyFont="1" applyFill="1" applyAlignment="1"/>
    <xf numFmtId="3" fontId="4" fillId="0" borderId="2" xfId="0" applyNumberFormat="1" applyFont="1" applyBorder="1" applyAlignment="1"/>
    <xf numFmtId="0" fontId="4" fillId="0" borderId="0" xfId="0" applyFont="1"/>
    <xf numFmtId="0" fontId="4" fillId="0" borderId="0" xfId="0" applyFont="1" applyBorder="1" applyAlignment="1"/>
    <xf numFmtId="172" fontId="2" fillId="0" borderId="0" xfId="1" applyNumberFormat="1" applyFont="1" applyAlignment="1"/>
    <xf numFmtId="3" fontId="2" fillId="0" borderId="3" xfId="0" applyNumberFormat="1" applyFont="1" applyBorder="1" applyAlignment="1"/>
    <xf numFmtId="3" fontId="4" fillId="0" borderId="0" xfId="0" applyNumberFormat="1" applyFont="1" applyFill="1" applyBorder="1" applyAlignment="1"/>
    <xf numFmtId="0" fontId="2" fillId="0" borderId="0" xfId="0" applyNumberFormat="1" applyFont="1" applyFill="1" applyAlignment="1">
      <alignment horizontal="center"/>
    </xf>
    <xf numFmtId="0" fontId="4" fillId="0" borderId="0" xfId="0" applyNumberFormat="1" applyFont="1" applyFill="1" applyBorder="1" applyAlignment="1"/>
    <xf numFmtId="0" fontId="4" fillId="0" borderId="2" xfId="0" applyNumberFormat="1" applyFont="1" applyFill="1" applyBorder="1" applyAlignment="1"/>
    <xf numFmtId="0" fontId="4" fillId="0" borderId="0" xfId="0" applyFont="1"/>
    <xf numFmtId="0" fontId="4" fillId="0" borderId="0" xfId="0" applyNumberFormat="1" applyFont="1" applyAlignment="1">
      <alignment horizontal="left"/>
    </xf>
    <xf numFmtId="0" fontId="4" fillId="0" borderId="0" xfId="0" applyNumberFormat="1" applyFont="1" applyFill="1" applyAlignment="1">
      <alignment horizontal="right"/>
    </xf>
    <xf numFmtId="0" fontId="4" fillId="0" borderId="0" xfId="0" applyNumberFormat="1" applyFont="1" applyFill="1" applyAlignment="1">
      <alignment horizontal="left"/>
    </xf>
    <xf numFmtId="0" fontId="4" fillId="0" borderId="0" xfId="0" applyFont="1" applyFill="1" applyAlignment="1"/>
    <xf numFmtId="0" fontId="4" fillId="0" borderId="0" xfId="0" applyFont="1" applyFill="1"/>
    <xf numFmtId="0" fontId="4" fillId="0" borderId="2" xfId="0" applyFont="1" applyFill="1" applyBorder="1" applyAlignment="1"/>
    <xf numFmtId="0" fontId="4" fillId="0" borderId="2" xfId="0" applyFont="1" applyBorder="1"/>
    <xf numFmtId="0" fontId="4" fillId="0" borderId="2" xfId="0" applyFont="1" applyFill="1" applyBorder="1"/>
    <xf numFmtId="3" fontId="4" fillId="0" borderId="2" xfId="0" applyNumberFormat="1" applyFont="1" applyFill="1" applyBorder="1" applyAlignment="1"/>
    <xf numFmtId="0" fontId="4" fillId="0" borderId="2" xfId="0" applyFont="1" applyBorder="1" applyAlignment="1"/>
    <xf numFmtId="3" fontId="13" fillId="0" borderId="0" xfId="0" applyNumberFormat="1" applyFont="1" applyAlignment="1">
      <alignment horizontal="right"/>
    </xf>
    <xf numFmtId="0" fontId="4" fillId="0" borderId="0" xfId="0" applyFont="1" applyBorder="1" applyAlignment="1"/>
    <xf numFmtId="172" fontId="4" fillId="0" borderId="0" xfId="0" applyNumberFormat="1" applyFont="1" applyAlignment="1">
      <alignment horizontal="right"/>
    </xf>
    <xf numFmtId="3" fontId="14" fillId="0" borderId="0" xfId="0" applyNumberFormat="1" applyFont="1" applyBorder="1" applyAlignment="1">
      <alignment horizontal="right"/>
    </xf>
    <xf numFmtId="0" fontId="4" fillId="0" borderId="0" xfId="0" applyFont="1" applyFill="1" applyAlignment="1">
      <alignment horizontal="left"/>
    </xf>
    <xf numFmtId="0" fontId="4" fillId="0" borderId="0" xfId="0" applyFont="1" applyAlignment="1">
      <alignment horizontal="left"/>
    </xf>
    <xf numFmtId="3" fontId="4" fillId="0" borderId="2" xfId="0" applyNumberFormat="1" applyFont="1" applyBorder="1" applyAlignment="1">
      <alignment horizontal="right"/>
    </xf>
    <xf numFmtId="0" fontId="2" fillId="0" borderId="2" xfId="0" applyFont="1" applyBorder="1"/>
    <xf numFmtId="3" fontId="17" fillId="0" borderId="2" xfId="0" applyNumberFormat="1" applyFont="1" applyBorder="1" applyAlignment="1">
      <alignment horizontal="right"/>
    </xf>
    <xf numFmtId="3" fontId="2" fillId="0" borderId="2" xfId="0" applyNumberFormat="1" applyFont="1" applyBorder="1"/>
    <xf numFmtId="0" fontId="2" fillId="0" borderId="2" xfId="0" applyFont="1" applyBorder="1" applyAlignment="1">
      <alignment horizontal="left"/>
    </xf>
    <xf numFmtId="0" fontId="2" fillId="0" borderId="0" xfId="0" applyFont="1"/>
    <xf numFmtId="3" fontId="2" fillId="0" borderId="2" xfId="0" applyNumberFormat="1" applyFont="1" applyBorder="1" applyAlignment="1">
      <alignment horizontal="right"/>
    </xf>
    <xf numFmtId="0" fontId="4" fillId="0" borderId="0" xfId="0" applyFont="1" applyAlignment="1">
      <alignment horizontal="right"/>
    </xf>
    <xf numFmtId="166" fontId="2" fillId="0" borderId="0" xfId="0" applyNumberFormat="1" applyFont="1" applyAlignment="1"/>
    <xf numFmtId="0" fontId="4" fillId="0" borderId="0" xfId="0" applyNumberFormat="1" applyFont="1" applyFill="1" applyAlignment="1">
      <alignment horizontal="center"/>
    </xf>
    <xf numFmtId="0" fontId="4" fillId="0" borderId="0" xfId="0" applyNumberFormat="1" applyFont="1" applyBorder="1" applyAlignment="1">
      <alignment horizontal="center"/>
    </xf>
    <xf numFmtId="0" fontId="4" fillId="0" borderId="0" xfId="0" applyNumberFormat="1" applyFont="1" applyBorder="1" applyAlignment="1">
      <alignment horizontal="left"/>
    </xf>
    <xf numFmtId="0" fontId="4" fillId="0" borderId="0" xfId="0" applyFont="1" applyFill="1" applyBorder="1" applyAlignment="1"/>
    <xf numFmtId="3" fontId="13" fillId="0" borderId="0" xfId="0" applyNumberFormat="1" applyFont="1" applyBorder="1" applyAlignment="1">
      <alignment horizontal="right"/>
    </xf>
    <xf numFmtId="0" fontId="4" fillId="0" borderId="0" xfId="0" applyFont="1" applyBorder="1"/>
    <xf numFmtId="3" fontId="13" fillId="0" borderId="2" xfId="0" applyNumberFormat="1" applyFont="1" applyBorder="1" applyAlignment="1">
      <alignment horizontal="right"/>
    </xf>
    <xf numFmtId="0" fontId="2" fillId="0" borderId="0" xfId="0" applyNumberFormat="1" applyFont="1" applyBorder="1" applyAlignment="1"/>
    <xf numFmtId="3" fontId="2" fillId="0" borderId="0" xfId="0" applyNumberFormat="1" applyFont="1" applyBorder="1" applyAlignment="1"/>
    <xf numFmtId="3" fontId="2" fillId="0" borderId="0" xfId="0" quotePrefix="1" applyNumberFormat="1" applyFont="1" applyBorder="1" applyAlignment="1">
      <alignment horizontal="right"/>
    </xf>
    <xf numFmtId="3" fontId="4" fillId="0" borderId="0" xfId="0" applyNumberFormat="1" applyFont="1"/>
    <xf numFmtId="0" fontId="2" fillId="0" borderId="2" xfId="0" applyNumberFormat="1" applyFont="1" applyBorder="1" applyAlignment="1"/>
    <xf numFmtId="0" fontId="4" fillId="0" borderId="0" xfId="0" applyFont="1" applyAlignment="1">
      <alignment horizontal="center"/>
    </xf>
    <xf numFmtId="0" fontId="4" fillId="0" borderId="0" xfId="0" applyFont="1" applyFill="1" applyAlignment="1">
      <alignment horizontal="center"/>
    </xf>
    <xf numFmtId="0" fontId="14" fillId="0" borderId="4" xfId="0" applyNumberFormat="1" applyFont="1" applyFill="1" applyBorder="1" applyAlignment="1">
      <alignment horizontal="left"/>
    </xf>
    <xf numFmtId="0" fontId="4" fillId="0" borderId="4" xfId="0" applyFont="1" applyFill="1" applyBorder="1" applyAlignment="1">
      <alignment horizontal="left"/>
    </xf>
    <xf numFmtId="0" fontId="4" fillId="0" borderId="4" xfId="0" applyNumberFormat="1" applyFont="1" applyBorder="1" applyAlignment="1">
      <alignment horizontal="left"/>
    </xf>
    <xf numFmtId="3" fontId="13" fillId="0" borderId="4" xfId="0" applyNumberFormat="1" applyFont="1" applyBorder="1" applyAlignment="1">
      <alignment horizontal="right"/>
    </xf>
    <xf numFmtId="0" fontId="4" fillId="0" borderId="0" xfId="0" applyFont="1" applyFill="1" applyBorder="1" applyAlignment="1">
      <alignment horizontal="left"/>
    </xf>
    <xf numFmtId="0" fontId="4" fillId="0" borderId="4" xfId="0" applyFont="1" applyBorder="1" applyAlignment="1"/>
    <xf numFmtId="0" fontId="2" fillId="0" borderId="3" xfId="0" applyFont="1" applyBorder="1" applyAlignment="1">
      <alignment horizontal="right"/>
    </xf>
    <xf numFmtId="0" fontId="2" fillId="0" borderId="0" xfId="0" applyNumberFormat="1" applyFont="1" applyAlignment="1">
      <alignment horizontal="left"/>
    </xf>
    <xf numFmtId="0" fontId="8" fillId="0" borderId="0" xfId="0" applyNumberFormat="1" applyFont="1" applyFill="1" applyAlignment="1">
      <alignment horizontal="center"/>
    </xf>
    <xf numFmtId="0" fontId="4" fillId="0" borderId="0" xfId="0" applyFont="1" applyFill="1" applyAlignment="1">
      <alignment horizontal="right"/>
    </xf>
    <xf numFmtId="0" fontId="4" fillId="0" borderId="0" xfId="0" applyFont="1" applyFill="1" applyBorder="1"/>
    <xf numFmtId="0" fontId="2" fillId="0" borderId="3" xfId="0" applyFont="1" applyBorder="1" applyAlignment="1"/>
    <xf numFmtId="0" fontId="4" fillId="0" borderId="3" xfId="0" applyFont="1" applyBorder="1"/>
    <xf numFmtId="3" fontId="4" fillId="0" borderId="4" xfId="0" applyNumberFormat="1" applyFont="1" applyBorder="1" applyAlignment="1"/>
    <xf numFmtId="3" fontId="4" fillId="0" borderId="4" xfId="0" applyNumberFormat="1" applyFont="1" applyBorder="1" applyAlignment="1">
      <alignment horizontal="right"/>
    </xf>
    <xf numFmtId="3" fontId="4" fillId="0" borderId="4" xfId="0" applyNumberFormat="1" applyFont="1" applyFill="1" applyBorder="1" applyAlignment="1"/>
    <xf numFmtId="168" fontId="2" fillId="0" borderId="3" xfId="0" applyNumberFormat="1" applyFont="1" applyBorder="1" applyAlignment="1">
      <alignment horizontal="left"/>
    </xf>
    <xf numFmtId="169" fontId="2" fillId="0" borderId="3" xfId="0" applyNumberFormat="1" applyFont="1" applyBorder="1" applyAlignment="1">
      <alignment horizontal="center"/>
    </xf>
    <xf numFmtId="0" fontId="4" fillId="0" borderId="0" xfId="0" applyFont="1" applyFill="1" applyBorder="1" applyAlignment="1">
      <alignment horizontal="center" wrapText="1"/>
    </xf>
    <xf numFmtId="0" fontId="4" fillId="3" borderId="0" xfId="0" applyFont="1" applyFill="1" applyBorder="1" applyAlignment="1"/>
    <xf numFmtId="0" fontId="4" fillId="3" borderId="0" xfId="0" applyFont="1" applyFill="1" applyBorder="1"/>
    <xf numFmtId="0" fontId="4" fillId="0" borderId="3" xfId="0" applyFont="1" applyFill="1" applyBorder="1" applyAlignment="1"/>
    <xf numFmtId="0" fontId="4" fillId="0" borderId="3" xfId="0" applyFont="1" applyBorder="1" applyAlignment="1"/>
    <xf numFmtId="0" fontId="18" fillId="0" borderId="0" xfId="0" applyFont="1" applyFill="1" applyBorder="1" applyAlignment="1">
      <alignment horizontal="center"/>
    </xf>
    <xf numFmtId="0" fontId="19" fillId="0" borderId="0" xfId="0" applyFont="1" applyFill="1" applyBorder="1" applyAlignment="1"/>
    <xf numFmtId="0" fontId="20" fillId="3" borderId="0" xfId="0" applyFont="1" applyFill="1" applyAlignment="1">
      <alignment horizontal="left"/>
    </xf>
    <xf numFmtId="0" fontId="20" fillId="3" borderId="0" xfId="0" applyFont="1" applyFill="1" applyAlignment="1"/>
    <xf numFmtId="0" fontId="15" fillId="3" borderId="0" xfId="0" applyNumberFormat="1" applyFont="1" applyFill="1" applyAlignment="1">
      <alignment horizontal="left"/>
    </xf>
    <xf numFmtId="0" fontId="4" fillId="3" borderId="0" xfId="0" applyFont="1" applyFill="1" applyAlignment="1"/>
    <xf numFmtId="0" fontId="4" fillId="3" borderId="0" xfId="0" applyFont="1" applyFill="1"/>
    <xf numFmtId="0" fontId="4" fillId="3" borderId="0" xfId="0" applyFont="1" applyFill="1" applyBorder="1" applyAlignment="1">
      <alignment horizontal="center" wrapText="1"/>
    </xf>
    <xf numFmtId="0" fontId="4" fillId="0" borderId="0" xfId="0" applyNumberFormat="1" applyFont="1" applyBorder="1"/>
    <xf numFmtId="0" fontId="2" fillId="0" borderId="0" xfId="0" applyFont="1" applyBorder="1" applyAlignment="1"/>
    <xf numFmtId="172" fontId="4" fillId="0" borderId="0" xfId="0" applyNumberFormat="1" applyFont="1" applyBorder="1" applyAlignment="1">
      <alignment horizontal="right"/>
    </xf>
    <xf numFmtId="0" fontId="14" fillId="0" borderId="0" xfId="0" applyFont="1" applyAlignment="1"/>
    <xf numFmtId="169" fontId="2" fillId="0" borderId="3" xfId="0" applyNumberFormat="1" applyFont="1" applyBorder="1" applyAlignment="1"/>
    <xf numFmtId="168" fontId="2" fillId="0" borderId="0" xfId="0" applyNumberFormat="1" applyFont="1" applyBorder="1" applyAlignment="1">
      <alignment horizontal="left"/>
    </xf>
    <xf numFmtId="173" fontId="4" fillId="0" borderId="0" xfId="1" applyNumberFormat="1" applyFont="1" applyFill="1" applyAlignment="1">
      <alignment horizontal="right"/>
    </xf>
    <xf numFmtId="0" fontId="2" fillId="0" borderId="2" xfId="0" applyNumberFormat="1" applyFont="1" applyBorder="1" applyAlignment="1">
      <alignment horizontal="left"/>
    </xf>
    <xf numFmtId="3" fontId="2" fillId="0" borderId="2" xfId="0" applyNumberFormat="1" applyFont="1" applyBorder="1"/>
    <xf numFmtId="37" fontId="14" fillId="0" borderId="0" xfId="0" applyNumberFormat="1" applyFont="1" applyBorder="1" applyAlignment="1">
      <alignment horizontal="left"/>
    </xf>
    <xf numFmtId="0" fontId="2" fillId="0" borderId="0" xfId="0" applyFont="1" applyFill="1" applyBorder="1"/>
    <xf numFmtId="0" fontId="3" fillId="0" borderId="0" xfId="0" applyFont="1"/>
    <xf numFmtId="0" fontId="21" fillId="0" borderId="5" xfId="0" applyNumberFormat="1" applyFont="1" applyBorder="1" applyAlignment="1">
      <alignment horizontal="center"/>
    </xf>
    <xf numFmtId="0" fontId="12" fillId="0" borderId="5" xfId="0" applyFont="1" applyFill="1" applyBorder="1" applyAlignment="1"/>
    <xf numFmtId="0" fontId="21" fillId="0" borderId="5" xfId="0" applyFont="1" applyBorder="1" applyAlignment="1"/>
    <xf numFmtId="0" fontId="12" fillId="0" borderId="6" xfId="0" applyNumberFormat="1" applyFont="1" applyBorder="1" applyAlignment="1">
      <alignment horizontal="center"/>
    </xf>
    <xf numFmtId="164" fontId="4" fillId="0" borderId="0" xfId="4" applyNumberFormat="1" applyFont="1"/>
    <xf numFmtId="3" fontId="13" fillId="0" borderId="0" xfId="0" applyNumberFormat="1" applyFont="1" applyFill="1" applyAlignment="1">
      <alignment horizontal="right"/>
    </xf>
    <xf numFmtId="0" fontId="4" fillId="0" borderId="4" xfId="0" applyNumberFormat="1" applyFont="1" applyFill="1" applyBorder="1" applyAlignment="1">
      <alignment horizontal="left"/>
    </xf>
    <xf numFmtId="0" fontId="2" fillId="0" borderId="0" xfId="0" applyNumberFormat="1" applyFont="1" applyBorder="1" applyAlignment="1">
      <alignment horizontal="left"/>
    </xf>
    <xf numFmtId="0" fontId="4" fillId="0" borderId="0" xfId="0" applyNumberFormat="1" applyFont="1" applyFill="1" applyAlignment="1">
      <alignment horizontal="left"/>
    </xf>
    <xf numFmtId="0" fontId="4" fillId="0" borderId="0" xfId="0" applyNumberFormat="1" applyFont="1" applyBorder="1" applyAlignment="1">
      <alignment horizontal="left"/>
    </xf>
    <xf numFmtId="3" fontId="4" fillId="0" borderId="0" xfId="0" applyNumberFormat="1" applyFont="1" applyAlignment="1">
      <alignment horizontal="left"/>
    </xf>
    <xf numFmtId="164" fontId="4" fillId="0" borderId="0" xfId="4" applyNumberFormat="1" applyFont="1" applyFill="1" applyAlignment="1"/>
    <xf numFmtId="164" fontId="2" fillId="0" borderId="3" xfId="4" applyNumberFormat="1" applyFont="1" applyFill="1" applyBorder="1" applyAlignment="1">
      <alignment horizontal="right"/>
    </xf>
    <xf numFmtId="0" fontId="4" fillId="0" borderId="4" xfId="0" applyNumberFormat="1" applyFont="1" applyBorder="1" applyAlignment="1">
      <alignment horizontal="center"/>
    </xf>
    <xf numFmtId="0" fontId="4" fillId="0" borderId="4" xfId="0" applyNumberFormat="1" applyFont="1" applyBorder="1" applyAlignment="1">
      <alignment horizontal="left"/>
    </xf>
    <xf numFmtId="0" fontId="4" fillId="0" borderId="4" xfId="0" applyNumberFormat="1" applyFont="1" applyBorder="1" applyAlignment="1"/>
    <xf numFmtId="0" fontId="6" fillId="0" borderId="0" xfId="0" applyFont="1" applyFill="1" applyAlignment="1">
      <alignment horizontal="center"/>
    </xf>
    <xf numFmtId="0" fontId="2" fillId="0" borderId="3" xfId="0" applyFont="1" applyBorder="1" applyAlignment="1">
      <alignment horizontal="center"/>
    </xf>
    <xf numFmtId="0" fontId="15" fillId="3" borderId="0" xfId="0" applyNumberFormat="1" applyFont="1" applyFill="1" applyAlignment="1">
      <alignment horizontal="center"/>
    </xf>
    <xf numFmtId="0" fontId="4" fillId="0" borderId="0" xfId="0" applyNumberFormat="1" applyFont="1" applyFill="1" applyBorder="1" applyAlignment="1">
      <alignment horizontal="center"/>
    </xf>
    <xf numFmtId="0" fontId="16" fillId="0" borderId="0" xfId="0" applyFont="1" applyBorder="1" applyAlignment="1">
      <alignment horizontal="center"/>
    </xf>
    <xf numFmtId="0" fontId="4" fillId="0" borderId="4" xfId="0" applyFont="1" applyFill="1" applyBorder="1" applyAlignment="1"/>
    <xf numFmtId="0" fontId="6" fillId="0" borderId="0" xfId="0" applyFont="1" applyFill="1" applyBorder="1" applyAlignment="1">
      <alignment horizontal="center"/>
    </xf>
    <xf numFmtId="0" fontId="6" fillId="0" borderId="2" xfId="0" applyFont="1" applyFill="1" applyBorder="1" applyAlignment="1"/>
    <xf numFmtId="0" fontId="6" fillId="0" borderId="4" xfId="0" applyFont="1" applyFill="1" applyBorder="1" applyAlignment="1"/>
    <xf numFmtId="0" fontId="6" fillId="0" borderId="2" xfId="0" applyNumberFormat="1" applyFont="1" applyFill="1" applyBorder="1" applyAlignment="1">
      <alignment horizontal="center"/>
    </xf>
    <xf numFmtId="0" fontId="6" fillId="0" borderId="0" xfId="0" applyFont="1" applyFill="1" applyAlignment="1">
      <alignment horizontal="left"/>
    </xf>
    <xf numFmtId="10" fontId="4" fillId="0" borderId="0" xfId="1" applyNumberFormat="1" applyFont="1" applyFill="1" applyAlignment="1"/>
    <xf numFmtId="10" fontId="7" fillId="0" borderId="0" xfId="0" applyNumberFormat="1" applyFont="1" applyFill="1" applyAlignment="1">
      <alignment horizontal="right"/>
    </xf>
    <xf numFmtId="3" fontId="8" fillId="0" borderId="0" xfId="0" applyNumberFormat="1" applyFont="1" applyBorder="1" applyAlignment="1"/>
    <xf numFmtId="3" fontId="25" fillId="0" borderId="0" xfId="0" applyNumberFormat="1" applyFont="1" applyBorder="1" applyAlignment="1">
      <alignment horizontal="right"/>
    </xf>
    <xf numFmtId="3" fontId="16" fillId="0" borderId="0" xfId="0" applyNumberFormat="1" applyFont="1" applyBorder="1" applyAlignment="1">
      <alignment horizontal="right"/>
    </xf>
    <xf numFmtId="0" fontId="8" fillId="0" borderId="0" xfId="0" applyNumberFormat="1" applyFont="1" applyFill="1" applyBorder="1" applyAlignment="1">
      <alignment horizontal="center"/>
    </xf>
    <xf numFmtId="0" fontId="0" fillId="4" borderId="0" xfId="0" applyFill="1"/>
    <xf numFmtId="0" fontId="26" fillId="0" borderId="0" xfId="0" applyFont="1"/>
    <xf numFmtId="0" fontId="0" fillId="0" borderId="0" xfId="0" applyAlignment="1">
      <alignment horizontal="center"/>
    </xf>
    <xf numFmtId="0" fontId="0" fillId="0" borderId="0" xfId="0" applyAlignment="1">
      <alignment horizontal="left" wrapText="1"/>
    </xf>
    <xf numFmtId="0" fontId="0" fillId="0" borderId="0" xfId="0" applyFont="1" applyFill="1"/>
    <xf numFmtId="0" fontId="29" fillId="0" borderId="0" xfId="0" applyFont="1" applyAlignment="1">
      <alignment horizontal="left"/>
    </xf>
    <xf numFmtId="0" fontId="29" fillId="0" borderId="0" xfId="0" applyFont="1"/>
    <xf numFmtId="0" fontId="30" fillId="0" borderId="0" xfId="0" applyFont="1"/>
    <xf numFmtId="0" fontId="30" fillId="0" borderId="0" xfId="0" applyFont="1" applyBorder="1"/>
    <xf numFmtId="0" fontId="30" fillId="0" borderId="0" xfId="0" applyFont="1" applyFill="1" applyBorder="1"/>
    <xf numFmtId="0" fontId="9" fillId="0" borderId="0" xfId="0" applyFont="1"/>
    <xf numFmtId="0" fontId="4" fillId="0" borderId="0" xfId="0" applyFont="1" applyAlignment="1">
      <alignment horizontal="left"/>
    </xf>
    <xf numFmtId="0" fontId="31" fillId="0" borderId="0" xfId="0" applyFont="1" applyAlignment="1">
      <alignment horizontal="center"/>
    </xf>
    <xf numFmtId="0" fontId="9" fillId="0" borderId="0" xfId="0" applyFont="1" applyFill="1"/>
    <xf numFmtId="3" fontId="4" fillId="0" borderId="0" xfId="0" applyNumberFormat="1" applyFont="1" applyFill="1" applyBorder="1" applyAlignment="1">
      <alignment horizontal="right"/>
    </xf>
    <xf numFmtId="0" fontId="4" fillId="0" borderId="4" xfId="0" applyFont="1" applyBorder="1" applyAlignment="1"/>
    <xf numFmtId="0" fontId="2" fillId="0" borderId="0" xfId="0" applyFont="1" applyFill="1" applyBorder="1" applyAlignment="1"/>
    <xf numFmtId="0" fontId="2" fillId="0" borderId="0" xfId="0" applyFont="1" applyFill="1" applyBorder="1" applyAlignment="1">
      <alignment horizontal="center" wrapText="1"/>
    </xf>
    <xf numFmtId="0" fontId="2" fillId="0" borderId="0" xfId="0" applyFont="1" applyFill="1" applyBorder="1" applyAlignment="1">
      <alignment horizontal="center" wrapText="1"/>
    </xf>
    <xf numFmtId="0" fontId="2" fillId="0" borderId="0" xfId="0" applyFont="1" applyFill="1"/>
    <xf numFmtId="0" fontId="4" fillId="0" borderId="0" xfId="0" applyFont="1" applyAlignment="1">
      <alignment wrapText="1"/>
    </xf>
    <xf numFmtId="0" fontId="4" fillId="0" borderId="4" xfId="0" applyFont="1" applyBorder="1"/>
    <xf numFmtId="10" fontId="4" fillId="0" borderId="0" xfId="1" applyNumberFormat="1" applyFont="1" applyFill="1"/>
    <xf numFmtId="43" fontId="0" fillId="0" borderId="0" xfId="0" applyNumberFormat="1"/>
    <xf numFmtId="0" fontId="0" fillId="0" borderId="0" xfId="0" applyBorder="1"/>
    <xf numFmtId="0" fontId="1" fillId="0" borderId="0" xfId="0" applyFont="1" applyAlignment="1">
      <alignment horizontal="left"/>
    </xf>
    <xf numFmtId="0" fontId="2" fillId="0" borderId="0" xfId="0" applyNumberFormat="1" applyFont="1" applyFill="1" applyBorder="1" applyAlignment="1">
      <alignment horizontal="left"/>
    </xf>
    <xf numFmtId="0" fontId="2" fillId="0" borderId="0" xfId="0" applyFont="1" applyBorder="1" applyAlignment="1">
      <alignment horizontal="left"/>
    </xf>
    <xf numFmtId="0" fontId="2" fillId="0" borderId="0" xfId="0" applyFont="1" applyBorder="1"/>
    <xf numFmtId="164" fontId="2" fillId="0" borderId="0" xfId="4" applyNumberFormat="1" applyFont="1" applyFill="1" applyAlignment="1"/>
    <xf numFmtId="10" fontId="10" fillId="0" borderId="0" xfId="0" applyNumberFormat="1" applyFont="1" applyFill="1"/>
    <xf numFmtId="0" fontId="0" fillId="0" borderId="0" xfId="0" applyNumberFormat="1" applyFont="1" applyFill="1" applyBorder="1" applyAlignment="1">
      <alignment horizontal="left"/>
    </xf>
    <xf numFmtId="0" fontId="30" fillId="0" borderId="7" xfId="0" applyFont="1" applyBorder="1"/>
    <xf numFmtId="0" fontId="30" fillId="0" borderId="8" xfId="0" applyFont="1" applyBorder="1"/>
    <xf numFmtId="0" fontId="30" fillId="0" borderId="0" xfId="0" applyFont="1" applyFill="1" applyBorder="1" applyAlignment="1">
      <alignment horizontal="center"/>
    </xf>
    <xf numFmtId="0" fontId="30" fillId="0" borderId="7" xfId="0" applyFont="1" applyFill="1" applyBorder="1" applyAlignment="1">
      <alignment horizontal="center"/>
    </xf>
    <xf numFmtId="3" fontId="2" fillId="0" borderId="0" xfId="0" applyNumberFormat="1" applyFont="1" applyAlignment="1">
      <alignment horizontal="left"/>
    </xf>
    <xf numFmtId="3" fontId="4" fillId="0" borderId="0" xfId="0" applyNumberFormat="1" applyFont="1" applyBorder="1" applyAlignment="1">
      <alignment horizontal="left"/>
    </xf>
    <xf numFmtId="3" fontId="4" fillId="0" borderId="0" xfId="0" applyNumberFormat="1" applyFont="1" applyFill="1" applyAlignment="1">
      <alignment horizontal="left"/>
    </xf>
    <xf numFmtId="0" fontId="4" fillId="0" borderId="0" xfId="0" applyFont="1" applyFill="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2" fillId="0" borderId="0" xfId="0" applyFont="1" applyBorder="1" applyAlignment="1">
      <alignment horizontal="left"/>
    </xf>
    <xf numFmtId="3" fontId="2" fillId="0" borderId="3" xfId="0" applyNumberFormat="1" applyFont="1" applyBorder="1" applyAlignment="1">
      <alignment horizontal="left"/>
    </xf>
    <xf numFmtId="0" fontId="30" fillId="0" borderId="9" xfId="0" applyFont="1" applyBorder="1"/>
    <xf numFmtId="0" fontId="30" fillId="0" borderId="10" xfId="0" applyFont="1" applyBorder="1" applyAlignment="1">
      <alignment horizontal="center"/>
    </xf>
    <xf numFmtId="0" fontId="33" fillId="0" borderId="9" xfId="0" applyFont="1" applyBorder="1" applyAlignment="1">
      <alignment horizontal="center"/>
    </xf>
    <xf numFmtId="0" fontId="33" fillId="0" borderId="10" xfId="0" applyFont="1" applyBorder="1" applyAlignment="1">
      <alignment horizontal="center"/>
    </xf>
    <xf numFmtId="0" fontId="33" fillId="0" borderId="11" xfId="0" applyFont="1" applyBorder="1" applyAlignment="1">
      <alignment horizontal="center"/>
    </xf>
    <xf numFmtId="0" fontId="30" fillId="0" borderId="0" xfId="0" applyFont="1" applyBorder="1" applyAlignment="1">
      <alignment horizontal="center"/>
    </xf>
    <xf numFmtId="164" fontId="30" fillId="0" borderId="7" xfId="4" applyNumberFormat="1" applyFont="1" applyBorder="1" applyAlignment="1">
      <alignment horizontal="center"/>
    </xf>
    <xf numFmtId="0" fontId="30" fillId="0" borderId="7" xfId="0" applyFont="1" applyBorder="1" applyAlignment="1">
      <alignment horizontal="center"/>
    </xf>
    <xf numFmtId="164" fontId="30" fillId="0" borderId="7" xfId="4" applyNumberFormat="1" applyFont="1" applyBorder="1"/>
    <xf numFmtId="164" fontId="30" fillId="0" borderId="8" xfId="4" applyNumberFormat="1" applyFont="1" applyBorder="1"/>
    <xf numFmtId="164" fontId="30" fillId="0" borderId="0" xfId="4" applyNumberFormat="1" applyFont="1" applyBorder="1"/>
    <xf numFmtId="0" fontId="33" fillId="0" borderId="12" xfId="0" applyFont="1" applyBorder="1" applyAlignment="1">
      <alignment horizontal="center"/>
    </xf>
    <xf numFmtId="0" fontId="30" fillId="0" borderId="13" xfId="0" applyFont="1" applyBorder="1" applyAlignment="1">
      <alignment horizontal="center"/>
    </xf>
    <xf numFmtId="164" fontId="30" fillId="0" borderId="0" xfId="0" applyNumberFormat="1" applyFont="1" applyBorder="1"/>
    <xf numFmtId="167" fontId="30" fillId="0" borderId="7" xfId="0" applyNumberFormat="1" applyFont="1" applyBorder="1"/>
    <xf numFmtId="164" fontId="30" fillId="0" borderId="8" xfId="0" applyNumberFormat="1" applyFont="1" applyBorder="1"/>
    <xf numFmtId="164" fontId="33" fillId="0" borderId="13" xfId="0" applyNumberFormat="1" applyFont="1" applyBorder="1"/>
    <xf numFmtId="164" fontId="33" fillId="0" borderId="0" xfId="0" applyNumberFormat="1" applyFont="1" applyBorder="1"/>
    <xf numFmtId="164" fontId="33" fillId="0" borderId="7" xfId="4" applyNumberFormat="1" applyFont="1" applyBorder="1"/>
    <xf numFmtId="164" fontId="33" fillId="0" borderId="14" xfId="0" applyNumberFormat="1" applyFont="1" applyBorder="1"/>
    <xf numFmtId="164" fontId="33" fillId="0" borderId="1" xfId="0" applyNumberFormat="1" applyFont="1" applyBorder="1"/>
    <xf numFmtId="164" fontId="33" fillId="0" borderId="15" xfId="4" applyNumberFormat="1" applyFont="1" applyBorder="1"/>
    <xf numFmtId="0" fontId="30" fillId="0" borderId="0" xfId="0" applyFont="1" applyAlignment="1">
      <alignment horizontal="center"/>
    </xf>
    <xf numFmtId="164" fontId="30" fillId="0" borderId="0" xfId="4" applyNumberFormat="1" applyFont="1"/>
    <xf numFmtId="167" fontId="30" fillId="0" borderId="0" xfId="2" applyNumberFormat="1" applyFont="1"/>
    <xf numFmtId="0" fontId="33" fillId="0" borderId="12" xfId="0" applyFont="1" applyFill="1" applyBorder="1" applyAlignment="1">
      <alignment horizontal="center"/>
    </xf>
    <xf numFmtId="167" fontId="30" fillId="0" borderId="13" xfId="2" applyNumberFormat="1" applyFont="1" applyBorder="1"/>
    <xf numFmtId="0" fontId="30" fillId="0" borderId="8" xfId="0" applyFont="1" applyFill="1" applyBorder="1"/>
    <xf numFmtId="164" fontId="30" fillId="0" borderId="0" xfId="4" applyNumberFormat="1" applyFont="1" applyFill="1" applyBorder="1"/>
    <xf numFmtId="164" fontId="30" fillId="0" borderId="7" xfId="4" applyNumberFormat="1" applyFont="1" applyFill="1" applyBorder="1"/>
    <xf numFmtId="37" fontId="14" fillId="0" borderId="0" xfId="0" applyNumberFormat="1" applyFont="1" applyFill="1" applyBorder="1" applyAlignment="1">
      <alignment horizontal="left"/>
    </xf>
    <xf numFmtId="0" fontId="0" fillId="0" borderId="0" xfId="0" applyFill="1" applyBorder="1" applyAlignment="1">
      <alignment horizontal="center"/>
    </xf>
    <xf numFmtId="0" fontId="0" fillId="0" borderId="0" xfId="0" applyFill="1" applyBorder="1"/>
    <xf numFmtId="0" fontId="30" fillId="0" borderId="11" xfId="0" applyFont="1" applyBorder="1"/>
    <xf numFmtId="0" fontId="36" fillId="3" borderId="0" xfId="0" applyFont="1" applyFill="1"/>
    <xf numFmtId="0" fontId="21" fillId="0" borderId="0" xfId="0" applyNumberFormat="1" applyFont="1" applyFill="1" applyBorder="1" applyAlignment="1">
      <alignment horizontal="center"/>
    </xf>
    <xf numFmtId="3" fontId="4" fillId="0" borderId="0" xfId="0" applyNumberFormat="1" applyFont="1" applyAlignment="1">
      <alignment horizontal="center"/>
    </xf>
    <xf numFmtId="0" fontId="2" fillId="0" borderId="7" xfId="0" applyFont="1" applyBorder="1"/>
    <xf numFmtId="0" fontId="2" fillId="5" borderId="1" xfId="0" applyFont="1" applyFill="1" applyBorder="1" applyAlignment="1"/>
    <xf numFmtId="0" fontId="15" fillId="5" borderId="1" xfId="0" applyNumberFormat="1" applyFont="1" applyFill="1" applyBorder="1" applyAlignment="1">
      <alignment horizontal="center"/>
    </xf>
    <xf numFmtId="0" fontId="2" fillId="5" borderId="15" xfId="0" applyFont="1" applyFill="1" applyBorder="1" applyAlignment="1">
      <alignment horizontal="center" wrapText="1"/>
    </xf>
    <xf numFmtId="0" fontId="4" fillId="0" borderId="0" xfId="0" applyFont="1" applyFill="1"/>
    <xf numFmtId="0" fontId="0" fillId="0" borderId="0" xfId="0" applyFill="1" applyAlignment="1">
      <alignment wrapText="1"/>
    </xf>
    <xf numFmtId="0" fontId="3" fillId="0" borderId="0" xfId="0" applyFont="1" applyFill="1"/>
    <xf numFmtId="0" fontId="1" fillId="0" borderId="0" xfId="0" applyFont="1" applyAlignment="1"/>
    <xf numFmtId="0" fontId="0" fillId="0" borderId="0" xfId="0" applyAlignment="1">
      <alignment horizontal="left"/>
    </xf>
    <xf numFmtId="0" fontId="0" fillId="0" borderId="0" xfId="0" applyFont="1" applyFill="1" applyAlignment="1"/>
    <xf numFmtId="0" fontId="0" fillId="0" borderId="0" xfId="0" applyFont="1"/>
    <xf numFmtId="0" fontId="4" fillId="0" borderId="4" xfId="0" applyNumberFormat="1" applyFont="1" applyFill="1" applyBorder="1" applyAlignment="1">
      <alignment horizontal="left"/>
    </xf>
    <xf numFmtId="164" fontId="0" fillId="0" borderId="0" xfId="4" applyNumberFormat="1" applyFont="1"/>
    <xf numFmtId="172" fontId="0" fillId="0" borderId="0" xfId="1" applyNumberFormat="1" applyFont="1"/>
    <xf numFmtId="3" fontId="32" fillId="0" borderId="0" xfId="0" applyNumberFormat="1" applyFont="1"/>
    <xf numFmtId="0" fontId="30" fillId="4" borderId="8" xfId="0" applyFont="1" applyFill="1" applyBorder="1" applyAlignment="1">
      <alignment horizontal="center"/>
    </xf>
    <xf numFmtId="164" fontId="30" fillId="4" borderId="8" xfId="4" applyNumberFormat="1" applyFont="1" applyFill="1" applyBorder="1"/>
    <xf numFmtId="164" fontId="0" fillId="0" borderId="0" xfId="4" applyNumberFormat="1" applyFont="1" applyFill="1" applyBorder="1" applyAlignment="1"/>
    <xf numFmtId="0" fontId="1" fillId="0" borderId="0" xfId="0" applyFont="1" applyFill="1" applyAlignment="1">
      <alignment horizontal="center"/>
    </xf>
    <xf numFmtId="0" fontId="30" fillId="0" borderId="10" xfId="0" applyFont="1" applyBorder="1"/>
    <xf numFmtId="0" fontId="26" fillId="0" borderId="0" xfId="0" applyFont="1" applyBorder="1"/>
    <xf numFmtId="0" fontId="0" fillId="0" borderId="0" xfId="0" applyFill="1" applyAlignment="1"/>
    <xf numFmtId="0" fontId="37" fillId="0" borderId="0" xfId="0" applyFont="1" applyFill="1" applyBorder="1"/>
    <xf numFmtId="0" fontId="4" fillId="0" borderId="2" xfId="0" applyFont="1" applyFill="1" applyBorder="1" applyAlignment="1"/>
    <xf numFmtId="0" fontId="0" fillId="0" borderId="0" xfId="0" applyBorder="1" applyAlignment="1">
      <alignment horizontal="center"/>
    </xf>
    <xf numFmtId="0" fontId="0" fillId="0" borderId="7" xfId="0" applyBorder="1" applyAlignment="1">
      <alignment horizontal="center"/>
    </xf>
    <xf numFmtId="164" fontId="0" fillId="0" borderId="0" xfId="4" applyNumberFormat="1" applyFont="1" applyFill="1" applyAlignment="1"/>
    <xf numFmtId="0" fontId="0" fillId="0" borderId="0" xfId="0" applyFont="1" applyFill="1"/>
    <xf numFmtId="0" fontId="4" fillId="0" borderId="2" xfId="0" applyFont="1" applyFill="1" applyBorder="1" applyAlignment="1">
      <alignment horizontal="left"/>
    </xf>
    <xf numFmtId="164" fontId="4" fillId="0" borderId="0" xfId="4" applyNumberFormat="1" applyFont="1" applyFill="1"/>
    <xf numFmtId="164" fontId="10" fillId="0" borderId="0" xfId="0" applyNumberFormat="1" applyFont="1" applyFill="1"/>
    <xf numFmtId="9" fontId="10" fillId="0" borderId="0" xfId="0" applyNumberFormat="1" applyFont="1" applyFill="1"/>
    <xf numFmtId="0" fontId="23" fillId="0" borderId="0" xfId="0" applyNumberFormat="1" applyFont="1" applyFill="1"/>
    <xf numFmtId="0" fontId="9" fillId="0" borderId="0" xfId="0" applyFont="1" applyFill="1" applyAlignment="1"/>
    <xf numFmtId="0" fontId="30" fillId="0" borderId="9" xfId="0" applyFont="1" applyFill="1" applyBorder="1"/>
    <xf numFmtId="0" fontId="1" fillId="0" borderId="0" xfId="0" applyFont="1" applyFill="1"/>
    <xf numFmtId="0" fontId="0" fillId="0" borderId="0" xfId="0" applyFont="1" applyFill="1" applyBorder="1"/>
    <xf numFmtId="0" fontId="8" fillId="0" borderId="0" xfId="0" applyFont="1" applyFill="1" applyAlignment="1"/>
    <xf numFmtId="0" fontId="8" fillId="0" borderId="0" xfId="0" applyFont="1" applyFill="1" applyBorder="1" applyAlignment="1"/>
    <xf numFmtId="0" fontId="4" fillId="0" borderId="0" xfId="0" applyFont="1" applyFill="1" applyAlignment="1">
      <alignment wrapText="1"/>
    </xf>
    <xf numFmtId="0" fontId="36" fillId="0" borderId="0" xfId="0" applyFont="1" applyFill="1"/>
    <xf numFmtId="0" fontId="2" fillId="0" borderId="0" xfId="0" applyFont="1" applyFill="1" applyAlignment="1">
      <alignment horizontal="center"/>
    </xf>
    <xf numFmtId="3" fontId="4" fillId="0" borderId="4" xfId="0" applyNumberFormat="1" applyFont="1" applyBorder="1"/>
    <xf numFmtId="3" fontId="12" fillId="0" borderId="5" xfId="0" applyNumberFormat="1" applyFont="1" applyFill="1" applyBorder="1" applyAlignment="1"/>
    <xf numFmtId="0" fontId="12" fillId="0" borderId="0" xfId="0" applyNumberFormat="1" applyFont="1" applyFill="1" applyBorder="1" applyAlignment="1">
      <alignment horizontal="center"/>
    </xf>
    <xf numFmtId="0" fontId="41" fillId="0" borderId="0" xfId="0" applyFont="1" applyBorder="1"/>
    <xf numFmtId="43" fontId="30" fillId="4" borderId="8" xfId="4" applyNumberFormat="1" applyFont="1" applyFill="1" applyBorder="1"/>
    <xf numFmtId="164" fontId="33" fillId="0" borderId="10" xfId="4" applyNumberFormat="1" applyFont="1" applyBorder="1" applyAlignment="1">
      <alignment horizontal="center"/>
    </xf>
    <xf numFmtId="164" fontId="33" fillId="0" borderId="8" xfId="0" applyNumberFormat="1" applyFont="1" applyBorder="1"/>
    <xf numFmtId="164" fontId="33" fillId="0" borderId="16" xfId="0" applyNumberFormat="1" applyFont="1" applyBorder="1"/>
    <xf numFmtId="167" fontId="0" fillId="0" borderId="0" xfId="0" applyNumberFormat="1"/>
    <xf numFmtId="0" fontId="43" fillId="0" borderId="0" xfId="0" applyFont="1" applyFill="1" applyBorder="1" applyAlignment="1">
      <alignment horizontal="left"/>
    </xf>
    <xf numFmtId="0" fontId="43" fillId="0" borderId="0" xfId="0" applyFont="1" applyFill="1" applyBorder="1" applyAlignment="1">
      <alignment horizontal="center"/>
    </xf>
    <xf numFmtId="0" fontId="43" fillId="0" borderId="7" xfId="0" applyFont="1" applyFill="1" applyBorder="1" applyAlignment="1">
      <alignment horizontal="center"/>
    </xf>
    <xf numFmtId="0" fontId="2" fillId="0" borderId="0" xfId="0" applyNumberFormat="1" applyFont="1" applyFill="1" applyAlignment="1">
      <alignment horizontal="left"/>
    </xf>
    <xf numFmtId="0" fontId="44" fillId="0" borderId="0" xfId="0" applyNumberFormat="1" applyFont="1" applyFill="1" applyAlignment="1">
      <alignment horizontal="left"/>
    </xf>
    <xf numFmtId="0" fontId="30" fillId="0" borderId="8" xfId="0" applyFont="1" applyFill="1" applyBorder="1"/>
    <xf numFmtId="3" fontId="2" fillId="0" borderId="0" xfId="0" applyNumberFormat="1" applyFont="1" applyFill="1" applyAlignment="1">
      <alignment horizontal="right"/>
    </xf>
    <xf numFmtId="37" fontId="2" fillId="0" borderId="0" xfId="0" applyNumberFormat="1" applyFont="1" applyBorder="1" applyAlignment="1">
      <alignment horizontal="right"/>
    </xf>
    <xf numFmtId="4" fontId="6" fillId="0" borderId="0" xfId="0" applyNumberFormat="1" applyFont="1" applyFill="1" applyAlignment="1">
      <alignment horizontal="right"/>
    </xf>
    <xf numFmtId="3" fontId="6" fillId="0" borderId="0" xfId="0" applyNumberFormat="1" applyFont="1" applyFill="1" applyAlignment="1">
      <alignment horizontal="right"/>
    </xf>
    <xf numFmtId="0" fontId="1" fillId="0" borderId="0" xfId="0" applyFont="1" applyFill="1" applyAlignment="1">
      <alignment horizontal="left"/>
    </xf>
    <xf numFmtId="0" fontId="0" fillId="0" borderId="0" xfId="0" applyFont="1" applyFill="1" applyAlignment="1">
      <alignment wrapText="1"/>
    </xf>
    <xf numFmtId="164" fontId="0" fillId="0" borderId="0" xfId="0" applyNumberFormat="1" applyFont="1" applyFill="1"/>
    <xf numFmtId="167" fontId="2" fillId="0" borderId="0" xfId="2" applyNumberFormat="1" applyFont="1" applyBorder="1" applyAlignment="1">
      <alignment horizontal="right"/>
    </xf>
    <xf numFmtId="0" fontId="0" fillId="0" borderId="0" xfId="0" applyFont="1" applyFill="1" applyAlignment="1">
      <alignment horizontal="center"/>
    </xf>
    <xf numFmtId="0" fontId="0" fillId="0" borderId="0" xfId="0" applyFont="1" applyFill="1" applyAlignment="1">
      <alignment horizontal="center"/>
    </xf>
    <xf numFmtId="0" fontId="0" fillId="0" borderId="0" xfId="0" applyFont="1"/>
    <xf numFmtId="0" fontId="38" fillId="0" borderId="0" xfId="0" applyFont="1" applyFill="1" applyAlignment="1"/>
    <xf numFmtId="164" fontId="0" fillId="0" borderId="0" xfId="4" applyNumberFormat="1" applyFont="1" applyFill="1" applyBorder="1" applyAlignment="1"/>
    <xf numFmtId="0" fontId="0" fillId="0" borderId="0" xfId="0" applyFont="1" applyFill="1" applyAlignment="1">
      <alignment horizontal="center" vertical="top"/>
    </xf>
    <xf numFmtId="0" fontId="30" fillId="0" borderId="0" xfId="0" applyFont="1" applyFill="1" applyAlignment="1">
      <alignment vertical="center" wrapText="1"/>
    </xf>
    <xf numFmtId="0" fontId="4" fillId="0" borderId="0" xfId="0" applyNumberFormat="1" applyFont="1" applyFill="1"/>
    <xf numFmtId="0" fontId="12" fillId="0" borderId="5" xfId="0" applyNumberFormat="1" applyFont="1" applyFill="1" applyBorder="1" applyAlignment="1"/>
    <xf numFmtId="0" fontId="2" fillId="0" borderId="2" xfId="0" applyFont="1" applyFill="1" applyBorder="1" applyAlignment="1"/>
    <xf numFmtId="0" fontId="4" fillId="0" borderId="4" xfId="0" applyFont="1" applyFill="1" applyBorder="1"/>
    <xf numFmtId="0" fontId="4" fillId="0" borderId="2" xfId="0" applyNumberFormat="1" applyFont="1" applyFill="1" applyBorder="1" applyAlignment="1">
      <alignment horizontal="left"/>
    </xf>
    <xf numFmtId="0" fontId="6" fillId="0" borderId="0" xfId="0" applyNumberFormat="1" applyFont="1" applyFill="1" applyAlignment="1"/>
    <xf numFmtId="0" fontId="20" fillId="3" borderId="0" xfId="0" applyNumberFormat="1" applyFont="1" applyFill="1" applyAlignment="1">
      <alignment horizontal="left"/>
    </xf>
    <xf numFmtId="0" fontId="1" fillId="0" borderId="0" xfId="0" applyFont="1"/>
    <xf numFmtId="0" fontId="0" fillId="0" borderId="0" xfId="0" applyFill="1" applyAlignment="1">
      <alignment horizontal="left" wrapText="1"/>
    </xf>
    <xf numFmtId="0" fontId="0" fillId="0" borderId="10" xfId="0" applyBorder="1" applyAlignment="1">
      <alignment horizontal="center"/>
    </xf>
    <xf numFmtId="0" fontId="0" fillId="0" borderId="10" xfId="0" applyBorder="1"/>
    <xf numFmtId="0" fontId="0" fillId="0" borderId="11" xfId="0" applyBorder="1" applyAlignment="1">
      <alignment horizontal="center"/>
    </xf>
    <xf numFmtId="0" fontId="30" fillId="0" borderId="12" xfId="0" applyFont="1" applyBorder="1"/>
    <xf numFmtId="0" fontId="30" fillId="0" borderId="13" xfId="0" applyFont="1" applyBorder="1"/>
    <xf numFmtId="0" fontId="30" fillId="0" borderId="13" xfId="0" applyFont="1" applyFill="1" applyBorder="1" applyAlignment="1">
      <alignment horizontal="center"/>
    </xf>
    <xf numFmtId="0" fontId="30" fillId="0" borderId="14" xfId="0" applyFont="1" applyBorder="1"/>
    <xf numFmtId="2" fontId="30" fillId="4" borderId="8" xfId="0" applyNumberFormat="1" applyFont="1" applyFill="1" applyBorder="1" applyAlignment="1">
      <alignment horizontal="center"/>
    </xf>
    <xf numFmtId="3" fontId="13" fillId="0" borderId="4" xfId="0" applyNumberFormat="1" applyFont="1" applyFill="1" applyBorder="1" applyAlignment="1">
      <alignment horizontal="right"/>
    </xf>
    <xf numFmtId="10" fontId="4" fillId="0" borderId="0" xfId="0" applyNumberFormat="1" applyFont="1" applyFill="1"/>
    <xf numFmtId="0" fontId="30" fillId="0" borderId="15" xfId="0" applyFont="1" applyFill="1" applyBorder="1"/>
    <xf numFmtId="0" fontId="45" fillId="0" borderId="0" xfId="0" applyNumberFormat="1" applyFont="1" applyFill="1" applyBorder="1" applyAlignment="1">
      <alignment horizontal="center"/>
    </xf>
    <xf numFmtId="0" fontId="45" fillId="0" borderId="0" xfId="0" applyNumberFormat="1" applyFont="1" applyFill="1" applyBorder="1" applyAlignment="1">
      <alignment horizontal="left"/>
    </xf>
    <xf numFmtId="0" fontId="49" fillId="0" borderId="0" xfId="0" applyFont="1" applyFill="1" applyBorder="1" applyAlignment="1"/>
    <xf numFmtId="0" fontId="50" fillId="0" borderId="0" xfId="0" applyFont="1" applyFill="1" applyBorder="1" applyAlignment="1">
      <alignment horizontal="center"/>
    </xf>
    <xf numFmtId="37" fontId="51" fillId="0" borderId="0" xfId="0" applyNumberFormat="1" applyFont="1" applyFill="1" applyBorder="1" applyAlignment="1">
      <alignment horizontal="left"/>
    </xf>
    <xf numFmtId="0" fontId="52" fillId="0" borderId="0" xfId="0" applyNumberFormat="1" applyFont="1" applyFill="1" applyBorder="1" applyAlignment="1">
      <alignment horizontal="center"/>
    </xf>
    <xf numFmtId="0" fontId="53" fillId="0" borderId="0" xfId="0" applyNumberFormat="1" applyFont="1" applyFill="1" applyAlignment="1">
      <alignment horizontal="center"/>
    </xf>
    <xf numFmtId="0" fontId="54" fillId="0" borderId="0" xfId="0" applyNumberFormat="1" applyFont="1" applyFill="1" applyBorder="1" applyAlignment="1">
      <alignment horizontal="left"/>
    </xf>
    <xf numFmtId="0" fontId="49" fillId="0" borderId="0" xfId="0" applyNumberFormat="1" applyFont="1" applyFill="1" applyBorder="1" applyAlignment="1">
      <alignment horizontal="center"/>
    </xf>
    <xf numFmtId="0" fontId="49" fillId="0" borderId="0" xfId="0" applyNumberFormat="1" applyFont="1" applyFill="1" applyAlignment="1">
      <alignment horizontal="left"/>
    </xf>
    <xf numFmtId="0" fontId="55" fillId="0" borderId="0" xfId="0" applyNumberFormat="1" applyFont="1" applyFill="1" applyAlignment="1">
      <alignment horizontal="left"/>
    </xf>
    <xf numFmtId="0" fontId="49" fillId="0" borderId="0" xfId="0" applyFont="1" applyFill="1" applyAlignment="1">
      <alignment horizontal="left"/>
    </xf>
    <xf numFmtId="37" fontId="12" fillId="0" borderId="0" xfId="0" applyNumberFormat="1" applyFont="1" applyFill="1" applyBorder="1" applyAlignment="1">
      <alignment horizontal="right"/>
    </xf>
    <xf numFmtId="0" fontId="21" fillId="0" borderId="0" xfId="0" applyFont="1" applyFill="1" applyAlignment="1"/>
    <xf numFmtId="0" fontId="21" fillId="0" borderId="0" xfId="0" applyFont="1" applyFill="1"/>
    <xf numFmtId="37" fontId="21" fillId="0" borderId="0" xfId="0" applyNumberFormat="1" applyFont="1" applyFill="1" applyBorder="1" applyAlignment="1">
      <alignment horizontal="left"/>
    </xf>
    <xf numFmtId="0" fontId="21" fillId="0" borderId="0" xfId="0" applyFont="1" applyFill="1" applyBorder="1" applyAlignment="1">
      <alignment horizontal="left"/>
    </xf>
    <xf numFmtId="0" fontId="0" fillId="0" borderId="0" xfId="0" applyFont="1" applyFill="1" applyAlignment="1">
      <alignment horizontal="left"/>
    </xf>
    <xf numFmtId="0" fontId="1" fillId="0" borderId="0" xfId="0" applyFont="1" applyFill="1" applyAlignment="1"/>
    <xf numFmtId="0" fontId="30" fillId="0" borderId="16" xfId="0" applyFont="1" applyFill="1" applyBorder="1"/>
    <xf numFmtId="0" fontId="33" fillId="0" borderId="9" xfId="0" applyFont="1" applyFill="1" applyBorder="1" applyAlignment="1">
      <alignment horizontal="center" wrapText="1"/>
    </xf>
    <xf numFmtId="0" fontId="33" fillId="0" borderId="11" xfId="0" applyFont="1" applyFill="1" applyBorder="1" applyAlignment="1">
      <alignment horizontal="center" wrapText="1"/>
    </xf>
    <xf numFmtId="167" fontId="30" fillId="0" borderId="8" xfId="0" applyNumberFormat="1" applyFont="1" applyBorder="1"/>
    <xf numFmtId="0" fontId="4" fillId="0" borderId="0" xfId="0" applyNumberFormat="1" applyFont="1" applyFill="1" applyBorder="1" applyAlignment="1">
      <alignment horizontal="left"/>
    </xf>
    <xf numFmtId="164" fontId="4" fillId="0" borderId="4" xfId="4" applyNumberFormat="1" applyFont="1" applyFill="1" applyBorder="1"/>
    <xf numFmtId="3" fontId="2" fillId="0" borderId="4" xfId="0" applyNumberFormat="1" applyFont="1" applyBorder="1" applyAlignment="1"/>
    <xf numFmtId="170" fontId="4" fillId="0" borderId="0" xfId="0" applyNumberFormat="1" applyFont="1" applyFill="1" applyAlignment="1"/>
    <xf numFmtId="3" fontId="4" fillId="0" borderId="4" xfId="0" applyNumberFormat="1" applyFont="1" applyFill="1" applyBorder="1" applyAlignment="1">
      <alignment horizontal="left"/>
    </xf>
    <xf numFmtId="0" fontId="2" fillId="0" borderId="0" xfId="0" applyFont="1" applyAlignment="1">
      <alignment horizontal="left"/>
    </xf>
    <xf numFmtId="10" fontId="4" fillId="0" borderId="0" xfId="1" applyNumberFormat="1" applyFont="1" applyFill="1" applyBorder="1"/>
    <xf numFmtId="0" fontId="41" fillId="0" borderId="0" xfId="0" applyFont="1" applyFill="1" applyBorder="1"/>
    <xf numFmtId="0" fontId="42" fillId="0" borderId="0" xfId="0" applyFont="1" applyFill="1" applyBorder="1" applyAlignment="1">
      <alignment horizontal="left"/>
    </xf>
    <xf numFmtId="164" fontId="30" fillId="0" borderId="7" xfId="4" applyNumberFormat="1" applyFont="1" applyFill="1" applyBorder="1" applyAlignment="1">
      <alignment horizontal="center"/>
    </xf>
    <xf numFmtId="0" fontId="0" fillId="0" borderId="0" xfId="0" applyFont="1" applyAlignment="1">
      <alignment horizontal="left"/>
    </xf>
    <xf numFmtId="0" fontId="7" fillId="0" borderId="0" xfId="0" applyFont="1" applyFill="1"/>
    <xf numFmtId="0" fontId="57" fillId="0" borderId="0" xfId="0" applyFont="1" applyFill="1"/>
    <xf numFmtId="0" fontId="35" fillId="0" borderId="0" xfId="0" applyFont="1" applyFill="1"/>
    <xf numFmtId="172" fontId="30" fillId="0" borderId="8" xfId="0" applyNumberFormat="1" applyFont="1" applyBorder="1"/>
    <xf numFmtId="0" fontId="22" fillId="0" borderId="0" xfId="0" applyFont="1" applyFill="1" applyAlignment="1">
      <alignment vertical="center" wrapText="1"/>
    </xf>
    <xf numFmtId="0" fontId="0" fillId="0" borderId="4" xfId="0" applyBorder="1" applyAlignment="1">
      <alignment horizontal="center"/>
    </xf>
    <xf numFmtId="49" fontId="0" fillId="0" borderId="0" xfId="0" applyNumberFormat="1" applyAlignment="1">
      <alignment horizontal="left" indent="1"/>
    </xf>
    <xf numFmtId="0" fontId="40" fillId="0" borderId="0" xfId="0" applyFont="1" applyFill="1" applyBorder="1"/>
    <xf numFmtId="0" fontId="1" fillId="0" borderId="0" xfId="0" applyFont="1" applyFill="1" applyBorder="1" applyAlignment="1">
      <alignment horizontal="center" wrapText="1"/>
    </xf>
    <xf numFmtId="0" fontId="0" fillId="0" borderId="0" xfId="0" applyFont="1" applyFill="1" applyBorder="1" applyAlignment="1">
      <alignment horizontal="center" wrapText="1"/>
    </xf>
    <xf numFmtId="0" fontId="1" fillId="0" borderId="0" xfId="0" applyFont="1" applyFill="1" applyBorder="1" applyAlignment="1">
      <alignment horizontal="center"/>
    </xf>
    <xf numFmtId="0" fontId="58" fillId="0" borderId="0" xfId="0" applyFont="1" applyFill="1" applyBorder="1" applyAlignment="1"/>
    <xf numFmtId="0" fontId="59" fillId="0" borderId="0" xfId="0" applyFont="1" applyFill="1" applyBorder="1" applyAlignment="1">
      <alignment horizontal="center"/>
    </xf>
    <xf numFmtId="0" fontId="58" fillId="0" borderId="0" xfId="0" applyFont="1" applyFill="1" applyAlignment="1"/>
    <xf numFmtId="0" fontId="58" fillId="0" borderId="0" xfId="0" applyNumberFormat="1" applyFont="1" applyFill="1" applyBorder="1" applyAlignment="1">
      <alignment horizontal="center"/>
    </xf>
    <xf numFmtId="0" fontId="21" fillId="0" borderId="0" xfId="0" applyFont="1" applyFill="1" applyBorder="1" applyAlignment="1"/>
    <xf numFmtId="0" fontId="12" fillId="0" borderId="0" xfId="0" applyFont="1" applyFill="1" applyBorder="1" applyAlignment="1">
      <alignment horizontal="center"/>
    </xf>
    <xf numFmtId="172" fontId="2" fillId="0" borderId="0" xfId="1" applyNumberFormat="1" applyFont="1" applyAlignment="1"/>
    <xf numFmtId="3" fontId="2" fillId="0" borderId="0" xfId="0" applyNumberFormat="1" applyFont="1" applyFill="1" applyBorder="1"/>
    <xf numFmtId="0" fontId="2" fillId="0" borderId="0" xfId="0" applyNumberFormat="1" applyFont="1" applyAlignment="1">
      <alignment horizontal="left"/>
    </xf>
    <xf numFmtId="0" fontId="16" fillId="0" borderId="0" xfId="0" applyFont="1" applyFill="1" applyAlignment="1"/>
    <xf numFmtId="3" fontId="4" fillId="0" borderId="0" xfId="0" applyNumberFormat="1" applyFont="1" applyFill="1" applyBorder="1" applyAlignment="1"/>
    <xf numFmtId="0" fontId="2" fillId="0" borderId="0" xfId="0" applyNumberFormat="1" applyFont="1" applyBorder="1" applyAlignment="1">
      <alignment horizontal="center"/>
    </xf>
    <xf numFmtId="0" fontId="2" fillId="0" borderId="0" xfId="0" applyNumberFormat="1" applyFont="1" applyFill="1" applyBorder="1" applyAlignment="1"/>
    <xf numFmtId="3" fontId="2" fillId="0" borderId="0" xfId="0" applyNumberFormat="1" applyFont="1" applyBorder="1" applyAlignment="1"/>
    <xf numFmtId="0" fontId="2" fillId="0" borderId="0" xfId="0" applyNumberFormat="1" applyFont="1" applyBorder="1" applyAlignment="1">
      <alignment horizontal="center"/>
    </xf>
    <xf numFmtId="0" fontId="2" fillId="0" borderId="0" xfId="0" applyNumberFormat="1" applyFont="1" applyBorder="1" applyAlignment="1">
      <alignment horizontal="left"/>
    </xf>
    <xf numFmtId="0" fontId="4" fillId="0" borderId="0" xfId="0" applyNumberFormat="1" applyFont="1" applyFill="1" applyBorder="1" applyAlignment="1"/>
    <xf numFmtId="3" fontId="4" fillId="0" borderId="0" xfId="0" applyNumberFormat="1" applyFont="1" applyFill="1" applyBorder="1"/>
    <xf numFmtId="0" fontId="4" fillId="0" borderId="4" xfId="0" applyNumberFormat="1" applyFont="1" applyFill="1" applyBorder="1" applyAlignment="1"/>
    <xf numFmtId="0" fontId="2" fillId="0" borderId="4" xfId="0" applyFont="1" applyFill="1" applyBorder="1" applyAlignment="1"/>
    <xf numFmtId="3" fontId="4" fillId="0" borderId="4" xfId="0" applyNumberFormat="1" applyFont="1" applyFill="1" applyBorder="1" applyAlignment="1"/>
    <xf numFmtId="3" fontId="4" fillId="0" borderId="4" xfId="0" applyNumberFormat="1" applyFont="1" applyFill="1" applyBorder="1"/>
    <xf numFmtId="0" fontId="2" fillId="0" borderId="2" xfId="0" applyFont="1" applyFill="1" applyBorder="1"/>
    <xf numFmtId="0" fontId="2" fillId="0" borderId="2" xfId="0" applyFont="1" applyBorder="1" applyAlignment="1"/>
    <xf numFmtId="168" fontId="4" fillId="0" borderId="0" xfId="0" applyNumberFormat="1" applyFont="1" applyBorder="1" applyAlignment="1">
      <alignment horizontal="left"/>
    </xf>
    <xf numFmtId="0" fontId="2" fillId="0" borderId="0" xfId="0" applyNumberFormat="1" applyFont="1" applyFill="1" applyAlignment="1">
      <alignment horizontal="center"/>
    </xf>
    <xf numFmtId="0" fontId="2" fillId="0" borderId="0" xfId="0" applyNumberFormat="1" applyFont="1" applyFill="1" applyAlignment="1"/>
    <xf numFmtId="3" fontId="4" fillId="0" borderId="0" xfId="0" applyNumberFormat="1" applyFont="1" applyFill="1" applyAlignment="1"/>
    <xf numFmtId="3" fontId="4" fillId="0" borderId="0" xfId="0" applyNumberFormat="1" applyFont="1" applyAlignment="1"/>
    <xf numFmtId="0" fontId="4" fillId="0" borderId="2" xfId="0" applyNumberFormat="1" applyFont="1" applyFill="1" applyBorder="1" applyAlignment="1"/>
    <xf numFmtId="3" fontId="4" fillId="0" borderId="2" xfId="0" applyNumberFormat="1" applyFont="1" applyBorder="1" applyAlignment="1"/>
    <xf numFmtId="3" fontId="4" fillId="0" borderId="2" xfId="0" applyNumberFormat="1" applyFont="1" applyFill="1" applyBorder="1" applyAlignment="1"/>
    <xf numFmtId="0" fontId="4" fillId="0" borderId="0" xfId="0" applyNumberFormat="1" applyFont="1" applyAlignment="1"/>
    <xf numFmtId="0" fontId="2" fillId="0" borderId="3" xfId="0" applyNumberFormat="1" applyFont="1" applyFill="1" applyBorder="1" applyAlignment="1"/>
    <xf numFmtId="3" fontId="4" fillId="0" borderId="3" xfId="0" applyNumberFormat="1" applyFont="1" applyFill="1" applyBorder="1" applyAlignment="1"/>
    <xf numFmtId="0" fontId="2" fillId="0" borderId="3" xfId="0" applyFont="1" applyBorder="1"/>
    <xf numFmtId="0" fontId="4" fillId="0" borderId="0" xfId="0" applyNumberFormat="1" applyFont="1" applyFill="1" applyAlignment="1"/>
    <xf numFmtId="3" fontId="2" fillId="0" borderId="0" xfId="0" applyNumberFormat="1" applyFont="1" applyFill="1" applyAlignment="1"/>
    <xf numFmtId="3" fontId="4" fillId="0" borderId="0" xfId="0" applyNumberFormat="1" applyFont="1" applyBorder="1" applyAlignment="1"/>
    <xf numFmtId="0" fontId="2" fillId="0" borderId="0" xfId="0" applyNumberFormat="1" applyFont="1" applyFill="1" applyAlignment="1">
      <alignment horizontal="right"/>
    </xf>
    <xf numFmtId="3" fontId="2" fillId="0" borderId="0" xfId="0" applyNumberFormat="1" applyFont="1" applyFill="1" applyBorder="1" applyAlignment="1"/>
    <xf numFmtId="0" fontId="2" fillId="0" borderId="2" xfId="0" applyNumberFormat="1" applyFont="1" applyFill="1" applyBorder="1" applyAlignment="1"/>
    <xf numFmtId="0" fontId="2" fillId="0" borderId="3" xfId="0" applyFont="1" applyFill="1" applyBorder="1"/>
    <xf numFmtId="3" fontId="2" fillId="0" borderId="3" xfId="0" applyNumberFormat="1" applyFont="1" applyFill="1" applyBorder="1" applyAlignment="1"/>
    <xf numFmtId="3" fontId="2" fillId="0" borderId="3" xfId="0" applyNumberFormat="1" applyFont="1" applyBorder="1"/>
    <xf numFmtId="168" fontId="4" fillId="0" borderId="0" xfId="0" applyNumberFormat="1" applyFont="1" applyAlignment="1">
      <alignment horizontal="center"/>
    </xf>
    <xf numFmtId="0" fontId="2" fillId="0" borderId="3" xfId="0" applyFont="1" applyBorder="1" applyAlignment="1">
      <alignment horizontal="left"/>
    </xf>
    <xf numFmtId="0" fontId="2" fillId="0" borderId="0" xfId="0" applyFont="1" applyFill="1" applyAlignment="1"/>
    <xf numFmtId="0" fontId="4" fillId="0" borderId="0" xfId="0" applyFont="1" applyFill="1" applyBorder="1" applyAlignment="1">
      <alignment horizontal="right"/>
    </xf>
    <xf numFmtId="0" fontId="2" fillId="0" borderId="0" xfId="0" applyNumberFormat="1" applyFont="1" applyFill="1" applyAlignment="1">
      <alignment horizontal="left"/>
    </xf>
    <xf numFmtId="3" fontId="4" fillId="0" borderId="0" xfId="0" applyNumberFormat="1" applyFont="1" applyFill="1" applyAlignment="1">
      <alignment horizontal="right"/>
    </xf>
    <xf numFmtId="10" fontId="4" fillId="0" borderId="0" xfId="0" applyNumberFormat="1" applyFont="1" applyFill="1" applyAlignment="1">
      <alignment horizontal="right"/>
    </xf>
    <xf numFmtId="0" fontId="2" fillId="0" borderId="2" xfId="0" applyNumberFormat="1" applyFont="1" applyFill="1" applyBorder="1" applyAlignment="1">
      <alignment horizontal="left"/>
    </xf>
    <xf numFmtId="3" fontId="2" fillId="0" borderId="2" xfId="0" applyNumberFormat="1" applyFont="1" applyBorder="1" applyAlignment="1">
      <alignment horizontal="right"/>
    </xf>
    <xf numFmtId="3" fontId="2" fillId="0" borderId="3" xfId="0" applyNumberFormat="1" applyFont="1" applyFill="1" applyBorder="1"/>
    <xf numFmtId="3" fontId="2" fillId="0" borderId="2" xfId="0" applyNumberFormat="1" applyFont="1" applyFill="1" applyBorder="1" applyAlignment="1"/>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4" fillId="0" borderId="0" xfId="0" applyNumberFormat="1" applyFont="1" applyBorder="1" applyAlignment="1">
      <alignment horizontal="right"/>
    </xf>
    <xf numFmtId="0" fontId="2" fillId="0" borderId="3" xfId="0" applyNumberFormat="1" applyFont="1" applyBorder="1" applyAlignment="1">
      <alignment horizontal="left"/>
    </xf>
    <xf numFmtId="0" fontId="2" fillId="0" borderId="3" xfId="0" applyFont="1" applyBorder="1" applyAlignment="1"/>
    <xf numFmtId="3" fontId="2" fillId="0" borderId="3" xfId="0" applyNumberFormat="1" applyFont="1" applyBorder="1" applyAlignment="1"/>
    <xf numFmtId="3" fontId="2" fillId="0" borderId="3" xfId="0" applyNumberFormat="1" applyFont="1" applyBorder="1" applyAlignment="1">
      <alignment horizontal="right"/>
    </xf>
    <xf numFmtId="165" fontId="4" fillId="0" borderId="4" xfId="6" applyFont="1" applyFill="1" applyBorder="1" applyAlignment="1">
      <alignment vertical="center"/>
    </xf>
    <xf numFmtId="3" fontId="4" fillId="0" borderId="4" xfId="0" applyNumberFormat="1" applyFont="1" applyBorder="1" applyAlignment="1"/>
    <xf numFmtId="3" fontId="2" fillId="0" borderId="0" xfId="0" applyNumberFormat="1" applyFont="1" applyAlignment="1"/>
    <xf numFmtId="0" fontId="2" fillId="0" borderId="0" xfId="0" applyNumberFormat="1" applyFont="1" applyAlignment="1"/>
    <xf numFmtId="171" fontId="4" fillId="0" borderId="0" xfId="0" applyNumberFormat="1" applyFont="1" applyAlignment="1"/>
    <xf numFmtId="3" fontId="4" fillId="0" borderId="0" xfId="0" applyNumberFormat="1" applyFont="1" applyAlignment="1">
      <alignment horizontal="left"/>
    </xf>
    <xf numFmtId="3" fontId="4" fillId="0" borderId="0" xfId="0" quotePrefix="1" applyNumberFormat="1" applyFont="1" applyAlignment="1">
      <alignment horizontal="right"/>
    </xf>
    <xf numFmtId="0" fontId="4" fillId="0" borderId="4" xfId="0" applyNumberFormat="1" applyFont="1" applyBorder="1" applyAlignment="1"/>
    <xf numFmtId="3" fontId="4" fillId="0" borderId="4" xfId="0" applyNumberFormat="1" applyFont="1" applyBorder="1" applyAlignment="1">
      <alignment horizontal="right"/>
    </xf>
    <xf numFmtId="0" fontId="2" fillId="0" borderId="0" xfId="0" applyNumberFormat="1" applyFont="1" applyBorder="1" applyAlignment="1"/>
    <xf numFmtId="0" fontId="2" fillId="0" borderId="0" xfId="0" applyFont="1" applyBorder="1" applyAlignment="1"/>
    <xf numFmtId="3" fontId="2" fillId="0" borderId="0" xfId="0" quotePrefix="1" applyNumberFormat="1" applyFont="1" applyBorder="1" applyAlignment="1">
      <alignment horizontal="right"/>
    </xf>
    <xf numFmtId="166" fontId="2" fillId="0" borderId="0" xfId="0" applyNumberFormat="1" applyFont="1" applyAlignment="1"/>
    <xf numFmtId="0" fontId="2" fillId="0" borderId="0" xfId="0" applyNumberFormat="1" applyFont="1" applyAlignment="1">
      <alignment horizontal="center"/>
    </xf>
    <xf numFmtId="168" fontId="2" fillId="0" borderId="3" xfId="0" applyNumberFormat="1" applyFont="1" applyBorder="1" applyAlignment="1">
      <alignment horizontal="left"/>
    </xf>
    <xf numFmtId="169" fontId="2" fillId="0" borderId="3" xfId="0" applyNumberFormat="1" applyFont="1" applyBorder="1" applyAlignment="1">
      <alignment horizontal="center"/>
    </xf>
    <xf numFmtId="168" fontId="2" fillId="0" borderId="0" xfId="0" applyNumberFormat="1" applyFont="1" applyBorder="1" applyAlignment="1">
      <alignment horizontal="left"/>
    </xf>
    <xf numFmtId="169" fontId="4" fillId="0" borderId="0" xfId="0" applyNumberFormat="1" applyFont="1" applyAlignment="1">
      <alignment horizontal="center"/>
    </xf>
    <xf numFmtId="0" fontId="4" fillId="0" borderId="0" xfId="0" applyNumberFormat="1" applyFont="1" applyFill="1"/>
    <xf numFmtId="170" fontId="4" fillId="0" borderId="0" xfId="0" applyNumberFormat="1" applyFont="1" applyAlignment="1"/>
    <xf numFmtId="168" fontId="4" fillId="0" borderId="0" xfId="0" applyNumberFormat="1" applyFont="1" applyFill="1" applyAlignment="1">
      <alignment horizontal="left"/>
    </xf>
    <xf numFmtId="0" fontId="4" fillId="0" borderId="0" xfId="0" applyFont="1" applyFill="1" applyAlignment="1">
      <alignment horizontal="center"/>
    </xf>
    <xf numFmtId="0" fontId="4" fillId="0" borderId="0" xfId="0" applyFont="1" applyFill="1"/>
    <xf numFmtId="10" fontId="4" fillId="0" borderId="0" xfId="0" applyNumberFormat="1" applyFont="1" applyFill="1"/>
    <xf numFmtId="0" fontId="4" fillId="0" borderId="0" xfId="0" applyFont="1"/>
    <xf numFmtId="10" fontId="4" fillId="0" borderId="0" xfId="1" applyNumberFormat="1" applyFont="1" applyAlignment="1"/>
    <xf numFmtId="169" fontId="4" fillId="0" borderId="0" xfId="0" applyNumberFormat="1" applyFont="1" applyFill="1" applyAlignment="1">
      <alignment horizontal="center"/>
    </xf>
    <xf numFmtId="0" fontId="2" fillId="0" borderId="2" xfId="0" applyNumberFormat="1" applyFont="1" applyBorder="1" applyAlignment="1">
      <alignment horizontal="left"/>
    </xf>
    <xf numFmtId="169" fontId="2" fillId="0" borderId="3" xfId="0" applyNumberFormat="1" applyFont="1" applyBorder="1" applyAlignment="1"/>
    <xf numFmtId="164" fontId="2" fillId="0" borderId="3" xfId="4" applyNumberFormat="1" applyFont="1" applyFill="1" applyBorder="1" applyAlignment="1">
      <alignment horizontal="right"/>
    </xf>
    <xf numFmtId="168" fontId="4" fillId="0" borderId="0" xfId="0" applyNumberFormat="1" applyFont="1" applyAlignment="1">
      <alignment horizontal="left"/>
    </xf>
    <xf numFmtId="169" fontId="4" fillId="0" borderId="0" xfId="0" applyNumberFormat="1" applyFont="1" applyAlignment="1"/>
    <xf numFmtId="0" fontId="60" fillId="0" borderId="4" xfId="0" applyFont="1" applyFill="1" applyBorder="1" applyAlignment="1">
      <alignment horizontal="center"/>
    </xf>
    <xf numFmtId="0" fontId="61" fillId="0" borderId="0" xfId="0" applyNumberFormat="1" applyFont="1" applyFill="1" applyBorder="1" applyAlignment="1">
      <alignment horizontal="center"/>
    </xf>
    <xf numFmtId="0" fontId="61" fillId="3" borderId="0" xfId="0" applyNumberFormat="1" applyFont="1" applyFill="1" applyBorder="1" applyAlignment="1">
      <alignment horizontal="center"/>
    </xf>
    <xf numFmtId="3" fontId="0" fillId="0" borderId="0" xfId="0" applyNumberFormat="1" applyFont="1" applyAlignment="1">
      <alignment horizontal="center"/>
    </xf>
    <xf numFmtId="0" fontId="0" fillId="0" borderId="0" xfId="0" applyFont="1" applyAlignment="1">
      <alignment horizontal="center"/>
    </xf>
    <xf numFmtId="0" fontId="0" fillId="0" borderId="0" xfId="0" applyFont="1" applyBorder="1" applyAlignment="1">
      <alignment horizontal="center"/>
    </xf>
    <xf numFmtId="3" fontId="0" fillId="0" borderId="2" xfId="0" applyNumberFormat="1" applyFont="1" applyBorder="1" applyAlignment="1">
      <alignment horizontal="center"/>
    </xf>
    <xf numFmtId="3" fontId="0" fillId="0" borderId="3" xfId="0" applyNumberFormat="1" applyFont="1" applyFill="1" applyBorder="1" applyAlignment="1">
      <alignment horizontal="center"/>
    </xf>
    <xf numFmtId="3" fontId="0" fillId="0" borderId="0" xfId="0" applyNumberFormat="1" applyFont="1" applyFill="1" applyAlignment="1">
      <alignment horizontal="center"/>
    </xf>
    <xf numFmtId="0" fontId="11" fillId="0" borderId="0" xfId="0" applyFont="1" applyFill="1" applyBorder="1" applyAlignment="1">
      <alignment horizontal="center"/>
    </xf>
    <xf numFmtId="0" fontId="0" fillId="0" borderId="0" xfId="0" applyFont="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3" fontId="0" fillId="0" borderId="0" xfId="0" applyNumberFormat="1" applyFont="1" applyFill="1" applyAlignment="1">
      <alignment horizontal="center"/>
    </xf>
    <xf numFmtId="0" fontId="0" fillId="0" borderId="2" xfId="0" applyFont="1" applyFill="1" applyBorder="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3" fontId="0" fillId="0" borderId="2" xfId="0" applyNumberFormat="1" applyFont="1" applyFill="1" applyBorder="1" applyAlignment="1">
      <alignment horizontal="center"/>
    </xf>
    <xf numFmtId="3" fontId="0" fillId="0" borderId="4" xfId="0" applyNumberFormat="1" applyFont="1" applyFill="1" applyBorder="1" applyAlignment="1">
      <alignment horizontal="center"/>
    </xf>
    <xf numFmtId="3" fontId="0" fillId="0" borderId="0" xfId="0" applyNumberFormat="1" applyFont="1" applyFill="1" applyBorder="1" applyAlignment="1">
      <alignment horizontal="center"/>
    </xf>
    <xf numFmtId="0" fontId="1" fillId="0" borderId="3" xfId="0" applyFont="1" applyFill="1" applyBorder="1" applyAlignment="1">
      <alignment horizontal="center"/>
    </xf>
    <xf numFmtId="0" fontId="1" fillId="0" borderId="3" xfId="0" applyFont="1" applyBorder="1" applyAlignment="1">
      <alignment horizontal="center"/>
    </xf>
    <xf numFmtId="0" fontId="0" fillId="0" borderId="0" xfId="0" applyFont="1" applyFill="1" applyAlignment="1">
      <alignment horizontal="right"/>
    </xf>
    <xf numFmtId="0" fontId="0" fillId="0" borderId="0" xfId="0" applyFont="1" applyFill="1" applyBorder="1" applyAlignment="1">
      <alignment horizontal="center"/>
    </xf>
    <xf numFmtId="0" fontId="0" fillId="0" borderId="0" xfId="0" applyFont="1" applyFill="1" applyBorder="1" applyAlignment="1">
      <alignment horizontal="left"/>
    </xf>
    <xf numFmtId="0" fontId="0" fillId="0" borderId="0" xfId="0" applyNumberFormat="1" applyFont="1" applyAlignment="1">
      <alignment horizontal="center"/>
    </xf>
    <xf numFmtId="0" fontId="3" fillId="0" borderId="0" xfId="0" applyFont="1" applyFill="1" applyAlignment="1">
      <alignment horizontal="center"/>
    </xf>
    <xf numFmtId="0" fontId="0" fillId="0" borderId="4" xfId="0" applyNumberFormat="1" applyFont="1" applyFill="1" applyBorder="1" applyAlignment="1">
      <alignment horizontal="center"/>
    </xf>
    <xf numFmtId="0" fontId="0" fillId="0" borderId="0" xfId="0" applyNumberFormat="1" applyFont="1" applyFill="1" applyAlignment="1">
      <alignment horizontal="center"/>
    </xf>
    <xf numFmtId="0" fontId="1" fillId="0" borderId="2" xfId="0" applyNumberFormat="1" applyFont="1" applyBorder="1" applyAlignment="1">
      <alignment horizontal="center"/>
    </xf>
    <xf numFmtId="0" fontId="0" fillId="0" borderId="0" xfId="0" applyNumberFormat="1" applyFont="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61" fillId="3" borderId="0" xfId="0" applyNumberFormat="1" applyFont="1" applyFill="1" applyAlignment="1">
      <alignment horizontal="center"/>
    </xf>
    <xf numFmtId="0" fontId="61" fillId="0" borderId="0" xfId="0" applyNumberFormat="1" applyFont="1" applyFill="1" applyAlignment="1">
      <alignment horizontal="center"/>
    </xf>
    <xf numFmtId="3" fontId="0" fillId="0" borderId="2" xfId="0" applyNumberFormat="1" applyFont="1" applyBorder="1" applyAlignment="1">
      <alignment horizontal="center"/>
    </xf>
    <xf numFmtId="3" fontId="0" fillId="0" borderId="0" xfId="0" applyNumberFormat="1" applyFont="1" applyBorder="1" applyAlignment="1">
      <alignment horizontal="center"/>
    </xf>
    <xf numFmtId="0" fontId="3" fillId="0" borderId="0" xfId="0" applyFont="1" applyFill="1" applyAlignment="1">
      <alignment horizontal="center"/>
    </xf>
    <xf numFmtId="3" fontId="0" fillId="0" borderId="3" xfId="0" applyNumberFormat="1" applyFont="1" applyFill="1" applyBorder="1" applyAlignment="1">
      <alignment horizontal="center"/>
    </xf>
    <xf numFmtId="3" fontId="0" fillId="0" borderId="0" xfId="0" applyNumberFormat="1" applyFont="1" applyAlignment="1">
      <alignment horizontal="center"/>
    </xf>
    <xf numFmtId="0" fontId="0" fillId="0" borderId="0" xfId="0" applyNumberFormat="1" applyFont="1" applyFill="1" applyBorder="1" applyAlignment="1">
      <alignment horizontal="center"/>
    </xf>
    <xf numFmtId="0" fontId="1" fillId="0" borderId="3" xfId="0" applyNumberFormat="1" applyFont="1" applyBorder="1" applyAlignment="1">
      <alignment horizontal="center"/>
    </xf>
    <xf numFmtId="0" fontId="62" fillId="3" borderId="0" xfId="0" applyFont="1" applyFill="1" applyBorder="1" applyAlignment="1">
      <alignment horizontal="center"/>
    </xf>
    <xf numFmtId="3" fontId="0" fillId="0" borderId="0" xfId="0" applyNumberFormat="1" applyFont="1" applyBorder="1" applyAlignment="1">
      <alignment horizontal="center"/>
    </xf>
    <xf numFmtId="0" fontId="0" fillId="0" borderId="0" xfId="0" applyFont="1" applyBorder="1" applyAlignment="1">
      <alignment horizontal="center"/>
    </xf>
    <xf numFmtId="3" fontId="1" fillId="0" borderId="3" xfId="0" applyNumberFormat="1" applyFont="1" applyBorder="1" applyAlignment="1">
      <alignment horizontal="center"/>
    </xf>
    <xf numFmtId="0" fontId="0" fillId="0" borderId="0" xfId="0" applyFont="1" applyFill="1"/>
    <xf numFmtId="168" fontId="0" fillId="0" borderId="0" xfId="0" applyNumberFormat="1" applyFont="1" applyAlignment="1">
      <alignment horizontal="center"/>
    </xf>
    <xf numFmtId="0" fontId="0" fillId="0" borderId="4" xfId="0" applyNumberFormat="1" applyFont="1" applyBorder="1" applyAlignment="1">
      <alignment horizontal="center"/>
    </xf>
    <xf numFmtId="0" fontId="3" fillId="0" borderId="0" xfId="0" applyNumberFormat="1" applyFont="1" applyFill="1" applyBorder="1" applyAlignment="1">
      <alignment horizontal="center"/>
    </xf>
    <xf numFmtId="168" fontId="0" fillId="0" borderId="0" xfId="0" applyNumberFormat="1" applyFont="1" applyAlignment="1">
      <alignment horizontal="center"/>
    </xf>
    <xf numFmtId="3" fontId="1" fillId="0" borderId="2" xfId="0" applyNumberFormat="1" applyFont="1" applyBorder="1" applyAlignment="1">
      <alignment horizontal="center"/>
    </xf>
    <xf numFmtId="3" fontId="1" fillId="0" borderId="5" xfId="0" applyNumberFormat="1" applyFont="1" applyBorder="1" applyAlignment="1">
      <alignment horizontal="center"/>
    </xf>
    <xf numFmtId="3" fontId="1" fillId="0" borderId="0" xfId="0" applyNumberFormat="1" applyFont="1" applyBorder="1" applyAlignment="1">
      <alignment horizontal="center"/>
    </xf>
    <xf numFmtId="3" fontId="1" fillId="0" borderId="0" xfId="0" applyNumberFormat="1" applyFont="1" applyFill="1" applyBorder="1" applyAlignment="1">
      <alignment horizontal="center"/>
    </xf>
    <xf numFmtId="3" fontId="1" fillId="0" borderId="4" xfId="0" applyNumberFormat="1" applyFont="1" applyBorder="1" applyAlignment="1">
      <alignment horizontal="center"/>
    </xf>
    <xf numFmtId="0" fontId="1" fillId="0" borderId="5" xfId="0" applyFont="1" applyBorder="1" applyAlignment="1">
      <alignment horizontal="center"/>
    </xf>
    <xf numFmtId="0" fontId="27" fillId="0" borderId="0" xfId="0" applyFont="1" applyFill="1" applyBorder="1" applyAlignment="1">
      <alignment horizontal="center"/>
    </xf>
    <xf numFmtId="0" fontId="27" fillId="0" borderId="0" xfId="0" applyFont="1" applyBorder="1" applyAlignment="1">
      <alignment horizontal="center"/>
    </xf>
    <xf numFmtId="0" fontId="1" fillId="0" borderId="5" xfId="0" applyNumberFormat="1" applyFont="1" applyBorder="1" applyAlignment="1">
      <alignment horizontal="center"/>
    </xf>
    <xf numFmtId="0" fontId="2" fillId="0" borderId="6" xfId="0" applyNumberFormat="1" applyFont="1" applyBorder="1" applyAlignment="1">
      <alignment horizontal="center"/>
    </xf>
    <xf numFmtId="0" fontId="2" fillId="0" borderId="5" xfId="0" applyFont="1" applyBorder="1"/>
    <xf numFmtId="0" fontId="2" fillId="0" borderId="5" xfId="0" applyNumberFormat="1" applyFont="1" applyBorder="1" applyAlignment="1">
      <alignment horizontal="left"/>
    </xf>
    <xf numFmtId="0" fontId="2" fillId="0" borderId="5" xfId="0" applyFont="1" applyFill="1" applyBorder="1"/>
    <xf numFmtId="3" fontId="2" fillId="0" borderId="5" xfId="0" applyNumberFormat="1" applyFont="1" applyBorder="1" applyAlignment="1"/>
    <xf numFmtId="0" fontId="2" fillId="0" borderId="5" xfId="0" applyFont="1" applyBorder="1" applyAlignment="1"/>
    <xf numFmtId="0" fontId="2" fillId="0" borderId="5" xfId="0" applyNumberFormat="1" applyFont="1" applyBorder="1" applyAlignment="1">
      <alignment horizontal="center"/>
    </xf>
    <xf numFmtId="0" fontId="0" fillId="0" borderId="4" xfId="0" applyFont="1" applyBorder="1" applyAlignment="1">
      <alignment horizontal="center"/>
    </xf>
    <xf numFmtId="0" fontId="0" fillId="0" borderId="0" xfId="0" applyFont="1" applyBorder="1"/>
    <xf numFmtId="0" fontId="0" fillId="0" borderId="8" xfId="0" applyFont="1" applyBorder="1"/>
    <xf numFmtId="3" fontId="0" fillId="0" borderId="0" xfId="0" applyNumberFormat="1" applyFont="1" applyFill="1" applyBorder="1" applyAlignment="1">
      <alignment horizontal="right"/>
    </xf>
    <xf numFmtId="3" fontId="0" fillId="0" borderId="0" xfId="0" applyNumberFormat="1" applyFont="1" applyFill="1" applyBorder="1" applyAlignment="1">
      <alignment horizontal="center"/>
    </xf>
    <xf numFmtId="0" fontId="0" fillId="0" borderId="8" xfId="0" applyFont="1" applyFill="1" applyBorder="1"/>
    <xf numFmtId="0" fontId="0" fillId="0" borderId="0" xfId="0" applyFont="1" applyFill="1" applyBorder="1" applyAlignment="1">
      <alignment horizontal="left" wrapText="1"/>
    </xf>
    <xf numFmtId="0" fontId="0" fillId="0" borderId="7" xfId="0" applyFont="1" applyFill="1" applyBorder="1" applyAlignment="1">
      <alignment horizontal="left" wrapText="1"/>
    </xf>
    <xf numFmtId="0" fontId="0" fillId="0" borderId="16" xfId="0" applyFont="1" applyBorder="1"/>
    <xf numFmtId="0" fontId="0" fillId="0" borderId="1" xfId="0" applyFont="1" applyBorder="1"/>
    <xf numFmtId="0" fontId="0" fillId="0" borderId="1" xfId="0" applyFont="1" applyFill="1" applyBorder="1"/>
    <xf numFmtId="0" fontId="0" fillId="0" borderId="0" xfId="0" applyFont="1" applyFill="1" applyBorder="1" applyAlignment="1">
      <alignment horizontal="left"/>
    </xf>
    <xf numFmtId="0" fontId="0" fillId="0" borderId="1" xfId="0" applyNumberFormat="1" applyFont="1" applyFill="1" applyBorder="1" applyAlignment="1">
      <alignment horizontal="left"/>
    </xf>
    <xf numFmtId="0" fontId="0" fillId="0" borderId="1" xfId="0" applyFont="1" applyFill="1" applyBorder="1" applyAlignment="1">
      <alignment horizontal="center"/>
    </xf>
    <xf numFmtId="0" fontId="1" fillId="0" borderId="8" xfId="0" applyFont="1" applyBorder="1"/>
    <xf numFmtId="0" fontId="1" fillId="0" borderId="8" xfId="0" applyFont="1" applyBorder="1" applyAlignment="1">
      <alignment horizontal="center"/>
    </xf>
    <xf numFmtId="0" fontId="0" fillId="0" borderId="0" xfId="0" applyFont="1" applyFill="1" applyBorder="1" applyAlignment="1">
      <alignment horizontal="right"/>
    </xf>
    <xf numFmtId="164" fontId="0" fillId="0" borderId="0" xfId="4" applyNumberFormat="1" applyFont="1" applyFill="1" applyBorder="1"/>
    <xf numFmtId="0" fontId="0" fillId="0" borderId="0" xfId="0" applyFont="1" applyBorder="1" applyAlignment="1">
      <alignment horizontal="left"/>
    </xf>
    <xf numFmtId="0" fontId="0" fillId="0" borderId="7" xfId="0" applyFont="1" applyBorder="1" applyAlignment="1">
      <alignment horizontal="left"/>
    </xf>
    <xf numFmtId="0" fontId="0" fillId="0" borderId="7" xfId="0" applyFont="1" applyFill="1" applyBorder="1" applyAlignment="1">
      <alignment horizontal="left"/>
    </xf>
    <xf numFmtId="0" fontId="1" fillId="0" borderId="0" xfId="0" applyFont="1" applyBorder="1"/>
    <xf numFmtId="0" fontId="0" fillId="0" borderId="1" xfId="0" applyFont="1" applyBorder="1"/>
    <xf numFmtId="0" fontId="0" fillId="0" borderId="8" xfId="0" applyFont="1" applyBorder="1" applyAlignment="1">
      <alignment horizontal="center"/>
    </xf>
    <xf numFmtId="0" fontId="0" fillId="0" borderId="0" xfId="0" applyFont="1" applyBorder="1" applyAlignment="1"/>
    <xf numFmtId="2" fontId="0" fillId="0" borderId="0" xfId="0" applyNumberFormat="1" applyFont="1" applyFill="1" applyBorder="1" applyAlignment="1">
      <alignment horizontal="center"/>
    </xf>
    <xf numFmtId="0" fontId="0" fillId="0" borderId="0" xfId="0" applyNumberFormat="1" applyFont="1" applyFill="1" applyBorder="1" applyAlignment="1">
      <alignment horizontal="left"/>
    </xf>
    <xf numFmtId="0" fontId="59" fillId="0" borderId="0" xfId="0" applyNumberFormat="1" applyFont="1" applyFill="1" applyBorder="1" applyAlignment="1">
      <alignment horizontal="center"/>
    </xf>
    <xf numFmtId="0" fontId="0" fillId="6" borderId="0" xfId="0" applyFont="1" applyFill="1"/>
    <xf numFmtId="0" fontId="0" fillId="6" borderId="0" xfId="0" applyFont="1" applyFill="1"/>
    <xf numFmtId="0" fontId="1" fillId="6" borderId="0" xfId="0" applyFont="1" applyFill="1" applyBorder="1" applyAlignment="1">
      <alignment horizontal="center"/>
    </xf>
    <xf numFmtId="0" fontId="12" fillId="6" borderId="0" xfId="0" applyFont="1" applyFill="1" applyAlignment="1">
      <alignment horizontal="center"/>
    </xf>
    <xf numFmtId="0" fontId="63" fillId="6" borderId="0" xfId="0" applyFont="1" applyFill="1" applyAlignment="1">
      <alignment horizontal="center"/>
    </xf>
    <xf numFmtId="0" fontId="1" fillId="6" borderId="0" xfId="0" applyNumberFormat="1" applyFont="1" applyFill="1" applyBorder="1" applyAlignment="1">
      <alignment horizontal="center"/>
    </xf>
    <xf numFmtId="0" fontId="0" fillId="6" borderId="0" xfId="0" applyNumberFormat="1" applyFont="1" applyFill="1" applyBorder="1" applyAlignment="1">
      <alignment horizontal="center"/>
    </xf>
    <xf numFmtId="0" fontId="0" fillId="6" borderId="0" xfId="0" applyFont="1" applyFill="1" applyBorder="1" applyAlignment="1"/>
    <xf numFmtId="0" fontId="9" fillId="6" borderId="0" xfId="0" applyFont="1" applyFill="1" applyBorder="1" applyAlignment="1">
      <alignment horizontal="center"/>
    </xf>
    <xf numFmtId="37" fontId="0" fillId="6" borderId="0" xfId="0" applyNumberFormat="1" applyFont="1" applyFill="1" applyBorder="1" applyAlignment="1">
      <alignment horizontal="left"/>
    </xf>
    <xf numFmtId="0" fontId="9" fillId="6" borderId="0" xfId="0" applyFont="1" applyFill="1"/>
    <xf numFmtId="0" fontId="1" fillId="0" borderId="0" xfId="0" applyNumberFormat="1" applyFont="1" applyFill="1" applyBorder="1" applyAlignment="1"/>
    <xf numFmtId="0" fontId="0" fillId="0" borderId="8" xfId="0" applyNumberFormat="1" applyFont="1" applyFill="1" applyBorder="1" applyAlignment="1">
      <alignment horizontal="center"/>
    </xf>
    <xf numFmtId="0" fontId="11" fillId="0" borderId="0" xfId="0" applyNumberFormat="1" applyFont="1" applyFill="1" applyBorder="1" applyAlignment="1">
      <alignment horizontal="center"/>
    </xf>
    <xf numFmtId="3" fontId="0" fillId="0" borderId="8" xfId="0" applyNumberFormat="1" applyFont="1" applyFill="1" applyBorder="1" applyAlignment="1">
      <alignment horizontal="center"/>
    </xf>
    <xf numFmtId="0" fontId="0" fillId="0" borderId="8" xfId="0" applyNumberFormat="1" applyFont="1" applyFill="1" applyBorder="1" applyAlignment="1">
      <alignment horizontal="center"/>
    </xf>
    <xf numFmtId="0" fontId="0" fillId="0" borderId="0" xfId="0" applyNumberFormat="1" applyFont="1" applyBorder="1" applyAlignment="1">
      <alignment horizontal="center"/>
    </xf>
    <xf numFmtId="0" fontId="0" fillId="0" borderId="0" xfId="0" applyFont="1" applyBorder="1" applyAlignment="1"/>
    <xf numFmtId="3" fontId="0" fillId="0" borderId="8" xfId="0" applyNumberFormat="1" applyFont="1" applyBorder="1" applyAlignment="1">
      <alignment horizontal="center"/>
    </xf>
    <xf numFmtId="0" fontId="1" fillId="0" borderId="0" xfId="0" applyNumberFormat="1" applyFont="1" applyFill="1" applyBorder="1" applyAlignment="1">
      <alignment horizontal="left"/>
    </xf>
    <xf numFmtId="0" fontId="0" fillId="0" borderId="0" xfId="0" applyNumberFormat="1" applyFont="1" applyFill="1" applyBorder="1" applyAlignment="1">
      <alignment horizontal="center"/>
    </xf>
    <xf numFmtId="3" fontId="0" fillId="0" borderId="8" xfId="0"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8" xfId="0" applyFont="1" applyFill="1" applyBorder="1"/>
    <xf numFmtId="0" fontId="0" fillId="0" borderId="0" xfId="0" applyFont="1" applyFill="1" applyBorder="1"/>
    <xf numFmtId="0" fontId="0" fillId="0" borderId="0" xfId="0" applyFont="1" applyBorder="1"/>
    <xf numFmtId="0" fontId="0" fillId="0" borderId="8"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xf numFmtId="3" fontId="11" fillId="0" borderId="0" xfId="0" applyNumberFormat="1" applyFont="1" applyFill="1" applyBorder="1" applyAlignment="1">
      <alignment horizontal="center"/>
    </xf>
    <xf numFmtId="0" fontId="0" fillId="0" borderId="8" xfId="0" applyFont="1" applyBorder="1" applyAlignment="1">
      <alignment horizontal="center"/>
    </xf>
    <xf numFmtId="0" fontId="1" fillId="0" borderId="0" xfId="0" applyNumberFormat="1" applyFont="1" applyBorder="1" applyAlignment="1">
      <alignment horizontal="left"/>
    </xf>
    <xf numFmtId="0" fontId="11" fillId="0" borderId="0" xfId="0" applyFont="1" applyBorder="1" applyAlignment="1">
      <alignment horizontal="center"/>
    </xf>
    <xf numFmtId="0" fontId="0" fillId="0" borderId="8" xfId="0" applyFont="1" applyBorder="1"/>
    <xf numFmtId="0" fontId="0" fillId="0" borderId="0" xfId="0" applyNumberFormat="1" applyFont="1" applyFill="1" applyBorder="1" applyAlignment="1">
      <alignment horizontal="right"/>
    </xf>
    <xf numFmtId="0" fontId="0" fillId="0" borderId="8" xfId="0" applyNumberFormat="1" applyFont="1" applyBorder="1" applyAlignment="1">
      <alignment horizontal="center"/>
    </xf>
    <xf numFmtId="0" fontId="0" fillId="0" borderId="0" xfId="0" applyNumberFormat="1" applyFont="1" applyFill="1" applyBorder="1" applyAlignment="1">
      <alignment horizontal="right"/>
    </xf>
    <xf numFmtId="0" fontId="0" fillId="0" borderId="0" xfId="0" applyNumberFormat="1" applyFont="1" applyBorder="1" applyAlignment="1">
      <alignment horizontal="left"/>
    </xf>
    <xf numFmtId="0" fontId="11" fillId="0" borderId="0" xfId="0" applyNumberFormat="1" applyFont="1" applyBorder="1" applyAlignment="1">
      <alignment horizontal="center"/>
    </xf>
    <xf numFmtId="0" fontId="0" fillId="0" borderId="16" xfId="0" applyNumberFormat="1" applyFont="1" applyFill="1" applyBorder="1" applyAlignment="1">
      <alignment horizontal="center"/>
    </xf>
    <xf numFmtId="0" fontId="0" fillId="0" borderId="1" xfId="0" applyNumberFormat="1" applyFont="1" applyFill="1" applyBorder="1" applyAlignment="1">
      <alignment horizontal="right"/>
    </xf>
    <xf numFmtId="0" fontId="0" fillId="0" borderId="1" xfId="0" applyFont="1" applyFill="1" applyBorder="1" applyAlignment="1"/>
    <xf numFmtId="0" fontId="11" fillId="0" borderId="1" xfId="0" applyNumberFormat="1" applyFont="1" applyFill="1" applyBorder="1" applyAlignment="1">
      <alignment horizontal="center"/>
    </xf>
    <xf numFmtId="3" fontId="0" fillId="0" borderId="16" xfId="0" applyNumberFormat="1" applyFont="1" applyBorder="1" applyAlignment="1">
      <alignment horizontal="center"/>
    </xf>
    <xf numFmtId="3" fontId="0" fillId="0" borderId="1" xfId="0" applyNumberFormat="1" applyFont="1" applyFill="1" applyBorder="1" applyAlignment="1">
      <alignment horizontal="center"/>
    </xf>
    <xf numFmtId="3" fontId="0" fillId="0" borderId="1" xfId="0" applyNumberFormat="1" applyFont="1" applyBorder="1" applyAlignment="1">
      <alignment horizontal="center"/>
    </xf>
    <xf numFmtId="0" fontId="11" fillId="0" borderId="0" xfId="0" applyFont="1" applyFill="1" applyBorder="1" applyAlignment="1"/>
    <xf numFmtId="0" fontId="0" fillId="0" borderId="0" xfId="0" applyFont="1" applyBorder="1" applyAlignment="1">
      <alignment horizontal="left"/>
    </xf>
    <xf numFmtId="3" fontId="0" fillId="0" borderId="0" xfId="0" applyNumberFormat="1" applyFont="1" applyFill="1" applyBorder="1" applyAlignment="1"/>
    <xf numFmtId="3" fontId="11" fillId="0" borderId="0" xfId="0" applyNumberFormat="1" applyFont="1" applyBorder="1" applyAlignment="1">
      <alignment horizontal="center"/>
    </xf>
    <xf numFmtId="0" fontId="0" fillId="0" borderId="1" xfId="0" applyNumberFormat="1" applyFont="1" applyBorder="1" applyAlignment="1">
      <alignment horizontal="center"/>
    </xf>
    <xf numFmtId="0" fontId="0" fillId="0" borderId="1" xfId="0" applyFont="1" applyBorder="1" applyAlignment="1"/>
    <xf numFmtId="0" fontId="0" fillId="0" borderId="1" xfId="0" applyFont="1" applyBorder="1" applyAlignment="1">
      <alignment horizontal="center"/>
    </xf>
    <xf numFmtId="0" fontId="0" fillId="0" borderId="16"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NumberFormat="1" applyFont="1" applyFill="1" applyBorder="1" applyAlignment="1">
      <alignment horizontal="left"/>
    </xf>
    <xf numFmtId="0" fontId="0" fillId="0" borderId="8" xfId="0" applyFont="1" applyFill="1" applyBorder="1" applyAlignment="1">
      <alignment horizontal="center"/>
    </xf>
    <xf numFmtId="0" fontId="0" fillId="0" borderId="0" xfId="0" applyNumberFormat="1" applyFont="1" applyFill="1" applyBorder="1" applyAlignment="1"/>
    <xf numFmtId="0" fontId="3" fillId="0" borderId="16" xfId="0" applyFont="1" applyFill="1" applyBorder="1" applyAlignment="1">
      <alignment horizontal="left"/>
    </xf>
    <xf numFmtId="0" fontId="0" fillId="0" borderId="1" xfId="0" applyFont="1" applyFill="1" applyBorder="1" applyAlignment="1">
      <alignment horizontal="left"/>
    </xf>
    <xf numFmtId="0" fontId="0" fillId="0" borderId="1" xfId="0" applyNumberFormat="1" applyFont="1" applyFill="1" applyBorder="1" applyAlignment="1">
      <alignment horizontal="right"/>
    </xf>
    <xf numFmtId="0" fontId="11" fillId="0" borderId="1" xfId="0" applyFont="1" applyFill="1" applyBorder="1" applyAlignment="1">
      <alignment horizontal="center"/>
    </xf>
    <xf numFmtId="0" fontId="0" fillId="0" borderId="16" xfId="0" applyNumberFormat="1" applyFont="1" applyBorder="1" applyAlignment="1">
      <alignment horizontal="center"/>
    </xf>
    <xf numFmtId="0" fontId="0" fillId="0" borderId="1" xfId="0" applyNumberFormat="1" applyFont="1" applyBorder="1" applyAlignment="1">
      <alignment horizontal="left"/>
    </xf>
    <xf numFmtId="0" fontId="0" fillId="0" borderId="1" xfId="0" applyFont="1" applyFill="1" applyBorder="1" applyAlignment="1"/>
    <xf numFmtId="164" fontId="0" fillId="0" borderId="1" xfId="4" applyNumberFormat="1" applyFont="1" applyFill="1" applyBorder="1" applyAlignment="1">
      <alignment horizontal="center"/>
    </xf>
    <xf numFmtId="0" fontId="0" fillId="6" borderId="0" xfId="0" applyNumberFormat="1" applyFont="1" applyFill="1" applyBorder="1" applyAlignment="1">
      <alignment horizontal="center"/>
    </xf>
    <xf numFmtId="0" fontId="0" fillId="0" borderId="8" xfId="0" applyNumberFormat="1" applyFont="1" applyBorder="1" applyAlignment="1">
      <alignment horizontal="center"/>
    </xf>
    <xf numFmtId="168" fontId="1" fillId="0" borderId="0" xfId="0" applyNumberFormat="1" applyFont="1" applyBorder="1" applyAlignment="1">
      <alignment horizontal="left"/>
    </xf>
    <xf numFmtId="0" fontId="0" fillId="0" borderId="1" xfId="0" applyNumberFormat="1" applyFont="1" applyBorder="1" applyAlignment="1">
      <alignment horizontal="center"/>
    </xf>
    <xf numFmtId="170" fontId="0" fillId="0" borderId="1" xfId="0" applyNumberFormat="1" applyFont="1" applyBorder="1" applyAlignment="1"/>
    <xf numFmtId="168" fontId="0" fillId="0" borderId="1" xfId="1" applyNumberFormat="1" applyFont="1" applyBorder="1" applyAlignment="1">
      <alignment horizontal="center"/>
    </xf>
    <xf numFmtId="0" fontId="11" fillId="0" borderId="1" xfId="0" applyFont="1" applyFill="1" applyBorder="1" applyAlignment="1"/>
    <xf numFmtId="164" fontId="0" fillId="0" borderId="1" xfId="0" applyNumberFormat="1" applyFont="1" applyFill="1" applyBorder="1" applyAlignment="1">
      <alignment horizontal="center"/>
    </xf>
    <xf numFmtId="0" fontId="1" fillId="0" borderId="8" xfId="0" applyNumberFormat="1" applyFont="1" applyBorder="1" applyAlignment="1">
      <alignment horizontal="center"/>
    </xf>
    <xf numFmtId="0" fontId="1" fillId="0" borderId="0" xfId="0" applyFont="1" applyFill="1" applyBorder="1" applyAlignment="1"/>
    <xf numFmtId="3" fontId="1" fillId="0" borderId="0" xfId="0" applyNumberFormat="1" applyFont="1" applyBorder="1" applyAlignment="1"/>
    <xf numFmtId="3" fontId="0" fillId="0" borderId="0" xfId="0" applyNumberFormat="1" applyFont="1" applyFill="1" applyBorder="1" applyAlignment="1"/>
    <xf numFmtId="0" fontId="1" fillId="0" borderId="0" xfId="0" applyFont="1" applyBorder="1" applyAlignment="1">
      <alignment horizontal="left"/>
    </xf>
    <xf numFmtId="3" fontId="1" fillId="0" borderId="7" xfId="0" applyNumberFormat="1" applyFont="1" applyBorder="1" applyAlignment="1">
      <alignment horizontal="center"/>
    </xf>
    <xf numFmtId="164" fontId="0" fillId="0" borderId="7" xfId="4" applyNumberFormat="1" applyFont="1" applyFill="1" applyBorder="1" applyAlignment="1">
      <alignment horizontal="left"/>
    </xf>
    <xf numFmtId="168" fontId="0" fillId="0" borderId="0" xfId="1" applyNumberFormat="1" applyFont="1" applyFill="1" applyBorder="1"/>
    <xf numFmtId="0" fontId="0" fillId="0" borderId="0" xfId="0" applyFont="1" applyFill="1" applyBorder="1" applyAlignment="1">
      <alignment vertical="top" wrapText="1"/>
    </xf>
    <xf numFmtId="164" fontId="1" fillId="0" borderId="0" xfId="4" applyNumberFormat="1" applyFont="1" applyFill="1" applyBorder="1"/>
    <xf numFmtId="164" fontId="1" fillId="0" borderId="7" xfId="4" applyNumberFormat="1" applyFont="1" applyFill="1" applyBorder="1"/>
    <xf numFmtId="164" fontId="0" fillId="0" borderId="15" xfId="4" applyNumberFormat="1" applyFont="1" applyFill="1" applyBorder="1" applyAlignment="1">
      <alignment horizontal="left"/>
    </xf>
    <xf numFmtId="0" fontId="0" fillId="0" borderId="16" xfId="0" applyFont="1" applyBorder="1"/>
    <xf numFmtId="3" fontId="0" fillId="0" borderId="0" xfId="0" applyNumberFormat="1" applyFont="1" applyFill="1" applyBorder="1" applyAlignment="1">
      <alignment horizontal="left"/>
    </xf>
    <xf numFmtId="0" fontId="0" fillId="0" borderId="1" xfId="0" applyNumberFormat="1" applyFont="1" applyFill="1" applyBorder="1" applyAlignment="1">
      <alignment horizontal="center"/>
    </xf>
    <xf numFmtId="0" fontId="0" fillId="0" borderId="1" xfId="0" applyFont="1" applyFill="1" applyBorder="1"/>
    <xf numFmtId="2" fontId="1" fillId="0" borderId="8" xfId="0" applyNumberFormat="1" applyFont="1" applyFill="1" applyBorder="1" applyAlignment="1">
      <alignment horizontal="center"/>
    </xf>
    <xf numFmtId="0" fontId="0" fillId="6" borderId="0" xfId="0" applyFont="1" applyFill="1" applyAlignment="1">
      <alignment horizontal="left"/>
    </xf>
    <xf numFmtId="0" fontId="0" fillId="6" borderId="0" xfId="0" applyFont="1" applyFill="1" applyAlignment="1">
      <alignment horizontal="left"/>
    </xf>
    <xf numFmtId="0" fontId="0" fillId="0" borderId="1" xfId="0" applyFont="1" applyBorder="1" applyAlignment="1">
      <alignment horizontal="left"/>
    </xf>
    <xf numFmtId="0" fontId="0" fillId="0" borderId="15" xfId="0" applyFont="1" applyBorder="1" applyAlignment="1">
      <alignment horizontal="left"/>
    </xf>
    <xf numFmtId="0" fontId="0" fillId="0" borderId="7" xfId="0" applyFont="1" applyFill="1" applyBorder="1" applyAlignment="1">
      <alignment horizontal="left"/>
    </xf>
    <xf numFmtId="0" fontId="0" fillId="0" borderId="1" xfId="0" applyFont="1" applyBorder="1" applyAlignment="1">
      <alignment horizontal="left"/>
    </xf>
    <xf numFmtId="0" fontId="9" fillId="0" borderId="1" xfId="0" applyFont="1" applyBorder="1" applyAlignment="1">
      <alignment horizontal="left"/>
    </xf>
    <xf numFmtId="0" fontId="1" fillId="0" borderId="0" xfId="0" applyFont="1" applyFill="1" applyBorder="1" applyAlignment="1">
      <alignment horizontal="left"/>
    </xf>
    <xf numFmtId="164" fontId="0" fillId="0" borderId="16" xfId="4" applyNumberFormat="1" applyFont="1" applyFill="1" applyBorder="1" applyAlignment="1">
      <alignment horizontal="center"/>
    </xf>
    <xf numFmtId="3" fontId="0" fillId="0" borderId="0" xfId="0" applyNumberFormat="1" applyFont="1" applyBorder="1" applyAlignment="1"/>
    <xf numFmtId="0" fontId="0" fillId="0" borderId="1" xfId="0" applyNumberFormat="1" applyFont="1" applyBorder="1" applyAlignment="1">
      <alignment horizontal="left"/>
    </xf>
    <xf numFmtId="3" fontId="0" fillId="0" borderId="0" xfId="0" applyNumberFormat="1" applyFont="1" applyBorder="1" applyAlignment="1"/>
    <xf numFmtId="0" fontId="0" fillId="0" borderId="16" xfId="0" applyFont="1" applyFill="1" applyBorder="1"/>
    <xf numFmtId="0" fontId="3" fillId="0" borderId="16" xfId="0" applyFont="1" applyFill="1" applyBorder="1"/>
    <xf numFmtId="0" fontId="0" fillId="0" borderId="0" xfId="0" applyNumberFormat="1" applyFont="1" applyFill="1" applyBorder="1" applyAlignment="1"/>
    <xf numFmtId="3" fontId="11" fillId="0" borderId="0" xfId="0" applyNumberFormat="1" applyFont="1" applyFill="1" applyBorder="1" applyAlignment="1"/>
    <xf numFmtId="0" fontId="0" fillId="0" borderId="0" xfId="0" applyNumberFormat="1" applyFont="1" applyBorder="1" applyAlignment="1"/>
    <xf numFmtId="0" fontId="0" fillId="0" borderId="1" xfId="0" applyNumberFormat="1" applyFont="1" applyFill="1" applyBorder="1" applyAlignment="1"/>
    <xf numFmtId="3" fontId="0" fillId="0" borderId="0" xfId="0" applyNumberFormat="1" applyFont="1" applyBorder="1" applyAlignment="1">
      <alignment horizontal="left"/>
    </xf>
    <xf numFmtId="3" fontId="0" fillId="0" borderId="8" xfId="0" applyNumberFormat="1" applyFont="1" applyBorder="1" applyAlignment="1">
      <alignment horizontal="right"/>
    </xf>
    <xf numFmtId="0" fontId="0" fillId="0" borderId="8" xfId="0" applyFont="1" applyBorder="1" applyAlignment="1">
      <alignment horizontal="right"/>
    </xf>
    <xf numFmtId="164" fontId="0" fillId="0" borderId="16" xfId="4" applyNumberFormat="1" applyFont="1" applyFill="1" applyBorder="1" applyAlignment="1">
      <alignment horizontal="right"/>
    </xf>
    <xf numFmtId="164" fontId="0" fillId="0" borderId="16" xfId="0" applyNumberFormat="1" applyFont="1" applyFill="1" applyBorder="1" applyAlignment="1">
      <alignment horizontal="center"/>
    </xf>
    <xf numFmtId="9" fontId="0" fillId="0" borderId="0" xfId="1" applyFont="1" applyBorder="1" applyAlignment="1">
      <alignment horizontal="center"/>
    </xf>
    <xf numFmtId="0" fontId="60" fillId="0" borderId="0" xfId="0" applyFont="1" applyFill="1" applyBorder="1" applyAlignment="1">
      <alignment horizontal="center"/>
    </xf>
    <xf numFmtId="0" fontId="9" fillId="6" borderId="0" xfId="0" applyFont="1" applyFill="1" applyAlignment="1">
      <alignment horizontal="left"/>
    </xf>
    <xf numFmtId="0" fontId="0" fillId="0" borderId="0" xfId="0" applyFont="1" applyAlignment="1">
      <alignment vertical="top"/>
    </xf>
    <xf numFmtId="37" fontId="0" fillId="0" borderId="0" xfId="0" applyNumberFormat="1" applyFont="1" applyFill="1"/>
    <xf numFmtId="0" fontId="0" fillId="0" borderId="0" xfId="0" applyFont="1" applyFill="1" applyBorder="1" applyAlignment="1">
      <alignment wrapText="1"/>
    </xf>
    <xf numFmtId="0" fontId="0" fillId="0" borderId="0" xfId="0" applyFont="1" applyAlignment="1">
      <alignment horizontal="right"/>
    </xf>
    <xf numFmtId="37" fontId="0" fillId="0" borderId="0" xfId="0" applyNumberFormat="1" applyFont="1" applyFill="1" applyAlignment="1">
      <alignment horizontal="right" wrapText="1"/>
    </xf>
    <xf numFmtId="37" fontId="0" fillId="0" borderId="0" xfId="0" applyNumberFormat="1" applyFont="1" applyFill="1" applyAlignment="1">
      <alignment horizontal="right"/>
    </xf>
    <xf numFmtId="41" fontId="0" fillId="0" borderId="0" xfId="0" applyNumberFormat="1" applyFont="1" applyFill="1" applyBorder="1" applyAlignment="1">
      <alignment horizontal="right"/>
    </xf>
    <xf numFmtId="164" fontId="0" fillId="0" borderId="0" xfId="4" applyNumberFormat="1" applyFont="1" applyFill="1" applyAlignment="1">
      <alignment horizontal="right"/>
    </xf>
    <xf numFmtId="0" fontId="0" fillId="0" borderId="0" xfId="0" applyFont="1" applyAlignment="1">
      <alignment horizontal="right"/>
    </xf>
    <xf numFmtId="0" fontId="0" fillId="0" borderId="0" xfId="0" applyFont="1" applyAlignment="1">
      <alignment horizontal="right" wrapText="1"/>
    </xf>
    <xf numFmtId="41" fontId="0" fillId="0" borderId="0" xfId="0" applyNumberFormat="1" applyFont="1" applyFill="1" applyAlignment="1">
      <alignment horizontal="right"/>
    </xf>
    <xf numFmtId="0" fontId="32" fillId="0" borderId="0" xfId="0" applyFont="1"/>
    <xf numFmtId="0" fontId="32" fillId="0" borderId="0" xfId="0" applyFont="1" applyAlignment="1">
      <alignment horizontal="right"/>
    </xf>
    <xf numFmtId="0" fontId="32" fillId="0" borderId="0" xfId="0" applyFont="1" applyAlignment="1">
      <alignment horizontal="center"/>
    </xf>
    <xf numFmtId="0" fontId="40" fillId="0" borderId="0" xfId="0" applyFont="1"/>
    <xf numFmtId="0" fontId="40" fillId="0" borderId="0" xfId="0" applyFont="1" applyFill="1" applyAlignment="1">
      <alignment horizontal="center"/>
    </xf>
    <xf numFmtId="0" fontId="40" fillId="0" borderId="0" xfId="0" applyFont="1" applyFill="1" applyAlignment="1">
      <alignment horizontal="right"/>
    </xf>
    <xf numFmtId="0" fontId="40" fillId="0" borderId="0" xfId="0" applyFont="1" applyBorder="1" applyAlignment="1">
      <alignment horizontal="center"/>
    </xf>
    <xf numFmtId="0" fontId="32" fillId="0" borderId="0" xfId="0" applyFont="1" applyAlignment="1">
      <alignment horizontal="left" wrapText="1"/>
    </xf>
    <xf numFmtId="0" fontId="32" fillId="0" borderId="0" xfId="0" applyFont="1" applyAlignment="1">
      <alignment horizontal="right" wrapText="1"/>
    </xf>
    <xf numFmtId="0" fontId="40" fillId="0" borderId="0" xfId="0" applyNumberFormat="1" applyFont="1" applyFill="1" applyBorder="1" applyAlignment="1">
      <alignment horizontal="center"/>
    </xf>
    <xf numFmtId="37" fontId="32" fillId="0" borderId="0" xfId="0" applyNumberFormat="1" applyFont="1" applyAlignment="1">
      <alignment horizontal="right" wrapText="1"/>
    </xf>
    <xf numFmtId="37" fontId="32" fillId="0" borderId="0" xfId="0" applyNumberFormat="1" applyFont="1" applyAlignment="1">
      <alignment horizontal="right"/>
    </xf>
    <xf numFmtId="0" fontId="40" fillId="0" borderId="0" xfId="0" applyFont="1" applyFill="1"/>
    <xf numFmtId="0" fontId="32" fillId="0" borderId="0" xfId="0" applyFont="1" applyFill="1"/>
    <xf numFmtId="37" fontId="32" fillId="0" borderId="0" xfId="0" applyNumberFormat="1" applyFont="1" applyFill="1" applyAlignment="1">
      <alignment horizontal="right" wrapText="1"/>
    </xf>
    <xf numFmtId="37" fontId="40" fillId="0" borderId="0" xfId="0" applyNumberFormat="1" applyFont="1" applyFill="1"/>
    <xf numFmtId="41" fontId="32" fillId="0" borderId="0" xfId="0" applyNumberFormat="1" applyFont="1" applyFill="1" applyBorder="1" applyAlignment="1">
      <alignment horizontal="right"/>
    </xf>
    <xf numFmtId="0" fontId="0" fillId="6" borderId="0" xfId="0" applyFont="1" applyFill="1" applyBorder="1" applyAlignment="1">
      <alignment horizontal="center"/>
    </xf>
    <xf numFmtId="37" fontId="0" fillId="6" borderId="0" xfId="0" applyNumberFormat="1" applyFont="1" applyFill="1" applyBorder="1"/>
    <xf numFmtId="0" fontId="0" fillId="6" borderId="0" xfId="0" applyFont="1" applyFill="1" applyBorder="1" applyAlignment="1">
      <alignment wrapText="1"/>
    </xf>
    <xf numFmtId="0" fontId="1" fillId="6" borderId="0" xfId="0" applyFont="1" applyFill="1" applyAlignment="1">
      <alignment horizontal="center"/>
    </xf>
    <xf numFmtId="0" fontId="26" fillId="6" borderId="0" xfId="0" applyFont="1" applyFill="1" applyAlignment="1">
      <alignment horizontal="center"/>
    </xf>
    <xf numFmtId="0" fontId="65" fillId="6" borderId="0" xfId="0" applyFont="1" applyFill="1" applyAlignment="1">
      <alignment horizontal="center"/>
    </xf>
    <xf numFmtId="0" fontId="65" fillId="6" borderId="0" xfId="0" applyFont="1" applyFill="1" applyAlignment="1">
      <alignment horizontal="left"/>
    </xf>
    <xf numFmtId="0" fontId="65" fillId="6" borderId="0" xfId="0" applyFont="1" applyFill="1" applyBorder="1"/>
    <xf numFmtId="0" fontId="0" fillId="6" borderId="0" xfId="0" applyFont="1" applyFill="1" applyBorder="1"/>
    <xf numFmtId="0" fontId="0" fillId="6" borderId="0" xfId="0" applyFont="1" applyFill="1" applyBorder="1" applyAlignment="1">
      <alignment horizontal="left"/>
    </xf>
    <xf numFmtId="0" fontId="12" fillId="6" borderId="0" xfId="0" applyFont="1" applyFill="1" applyBorder="1" applyAlignment="1">
      <alignment horizontal="centerContinuous"/>
    </xf>
    <xf numFmtId="0" fontId="46" fillId="6" borderId="0" xfId="0" applyFont="1" applyFill="1" applyBorder="1" applyAlignment="1">
      <alignment horizontal="centerContinuous"/>
    </xf>
    <xf numFmtId="0" fontId="21" fillId="6" borderId="0" xfId="0" applyFont="1" applyFill="1" applyBorder="1" applyAlignment="1">
      <alignment horizontal="centerContinuous"/>
    </xf>
    <xf numFmtId="0" fontId="0" fillId="6" borderId="0" xfId="0" applyFont="1" applyFill="1" applyBorder="1" applyAlignment="1">
      <alignment horizontal="left"/>
    </xf>
    <xf numFmtId="164" fontId="0" fillId="6" borderId="0" xfId="0" applyNumberFormat="1" applyFont="1" applyFill="1" applyBorder="1" applyAlignment="1">
      <alignment wrapText="1"/>
    </xf>
    <xf numFmtId="0" fontId="0" fillId="6" borderId="0" xfId="0" applyFont="1" applyFill="1" applyBorder="1"/>
    <xf numFmtId="0" fontId="11" fillId="6" borderId="0" xfId="0" applyFont="1" applyFill="1" applyBorder="1" applyAlignment="1">
      <alignment wrapText="1"/>
    </xf>
    <xf numFmtId="37" fontId="0" fillId="6" borderId="0" xfId="0" applyNumberFormat="1" applyFont="1" applyFill="1" applyBorder="1" applyAlignment="1">
      <alignment wrapText="1"/>
    </xf>
    <xf numFmtId="0" fontId="9" fillId="6" borderId="0" xfId="0" applyFont="1" applyFill="1" applyBorder="1"/>
    <xf numFmtId="164" fontId="64" fillId="6" borderId="0" xfId="4" applyNumberFormat="1" applyFont="1" applyFill="1" applyBorder="1"/>
    <xf numFmtId="37" fontId="0" fillId="6" borderId="0" xfId="0" applyNumberFormat="1" applyFont="1" applyFill="1" applyBorder="1" applyAlignment="1">
      <alignment horizontal="center"/>
    </xf>
    <xf numFmtId="37" fontId="0" fillId="6" borderId="17" xfId="0" applyNumberFormat="1" applyFont="1" applyFill="1" applyBorder="1"/>
    <xf numFmtId="0" fontId="0" fillId="6" borderId="0" xfId="0" applyFont="1" applyFill="1" applyAlignment="1">
      <alignment vertical="top"/>
    </xf>
    <xf numFmtId="164" fontId="0" fillId="0" borderId="17" xfId="4" applyNumberFormat="1" applyFont="1" applyFill="1" applyBorder="1" applyAlignment="1">
      <alignment horizontal="right"/>
    </xf>
    <xf numFmtId="37" fontId="0" fillId="0" borderId="17" xfId="0" applyNumberFormat="1" applyFont="1" applyFill="1" applyBorder="1"/>
    <xf numFmtId="0" fontId="38" fillId="6" borderId="0" xfId="0" applyFont="1" applyFill="1" applyAlignment="1">
      <alignment horizontal="center"/>
    </xf>
    <xf numFmtId="0" fontId="32" fillId="6" borderId="18" xfId="0" applyFont="1" applyFill="1" applyBorder="1" applyAlignment="1">
      <alignment horizontal="center"/>
    </xf>
    <xf numFmtId="0" fontId="40" fillId="6" borderId="19" xfId="0" applyFont="1" applyFill="1" applyBorder="1" applyAlignment="1">
      <alignment horizontal="right"/>
    </xf>
    <xf numFmtId="37" fontId="32" fillId="6" borderId="19" xfId="0" applyNumberFormat="1" applyFont="1" applyFill="1" applyBorder="1"/>
    <xf numFmtId="0" fontId="32" fillId="6" borderId="19" xfId="0" applyFont="1" applyFill="1" applyBorder="1"/>
    <xf numFmtId="0" fontId="32" fillId="6" borderId="0" xfId="0" applyFont="1" applyFill="1"/>
    <xf numFmtId="0" fontId="40" fillId="6" borderId="20" xfId="0" applyFont="1" applyFill="1" applyBorder="1" applyAlignment="1">
      <alignment horizontal="right"/>
    </xf>
    <xf numFmtId="37" fontId="32" fillId="6" borderId="20" xfId="0" applyNumberFormat="1" applyFont="1" applyFill="1" applyBorder="1"/>
    <xf numFmtId="0" fontId="32" fillId="6" borderId="20" xfId="0" applyFont="1" applyFill="1" applyBorder="1"/>
    <xf numFmtId="0" fontId="40" fillId="6" borderId="21" xfId="0" applyFont="1" applyFill="1" applyBorder="1" applyAlignment="1">
      <alignment horizontal="right"/>
    </xf>
    <xf numFmtId="37" fontId="32" fillId="6" borderId="21" xfId="0" applyNumberFormat="1" applyFont="1" applyFill="1" applyBorder="1"/>
    <xf numFmtId="172" fontId="32" fillId="6" borderId="19" xfId="0" applyNumberFormat="1" applyFont="1" applyFill="1" applyBorder="1"/>
    <xf numFmtId="0" fontId="40" fillId="6" borderId="22" xfId="0" applyFont="1" applyFill="1" applyBorder="1" applyAlignment="1">
      <alignment horizontal="right"/>
    </xf>
    <xf numFmtId="0" fontId="32" fillId="6" borderId="22" xfId="0" applyFont="1" applyFill="1" applyBorder="1"/>
    <xf numFmtId="0" fontId="40" fillId="6" borderId="17" xfId="0" applyFont="1" applyFill="1" applyBorder="1" applyAlignment="1">
      <alignment horizontal="right"/>
    </xf>
    <xf numFmtId="37" fontId="32" fillId="6" borderId="17" xfId="0" applyNumberFormat="1" applyFont="1" applyFill="1" applyBorder="1"/>
    <xf numFmtId="37" fontId="40" fillId="6" borderId="17" xfId="0" applyNumberFormat="1" applyFont="1" applyFill="1" applyBorder="1"/>
    <xf numFmtId="37" fontId="32" fillId="6" borderId="17" xfId="0" applyNumberFormat="1" applyFont="1" applyFill="1" applyBorder="1" applyAlignment="1">
      <alignment horizontal="left"/>
    </xf>
    <xf numFmtId="0" fontId="32" fillId="6" borderId="0" xfId="0" applyFont="1" applyFill="1" applyAlignment="1">
      <alignment horizontal="left"/>
    </xf>
    <xf numFmtId="0" fontId="32" fillId="6" borderId="0" xfId="0" applyFont="1" applyFill="1" applyBorder="1"/>
    <xf numFmtId="37" fontId="32" fillId="6" borderId="0" xfId="0" applyNumberFormat="1" applyFont="1" applyFill="1" applyBorder="1" applyAlignment="1">
      <alignment horizontal="center"/>
    </xf>
    <xf numFmtId="0" fontId="40" fillId="6" borderId="0" xfId="0" applyFont="1" applyFill="1"/>
    <xf numFmtId="0" fontId="40" fillId="6" borderId="0" xfId="0" applyFont="1" applyFill="1" applyAlignment="1">
      <alignment horizontal="left"/>
    </xf>
    <xf numFmtId="0" fontId="38" fillId="0" borderId="0" xfId="0" applyFont="1" applyFill="1"/>
    <xf numFmtId="10" fontId="0" fillId="0" borderId="16" xfId="1" applyNumberFormat="1" applyFont="1" applyFill="1" applyBorder="1" applyAlignment="1">
      <alignment horizontal="center"/>
    </xf>
    <xf numFmtId="0" fontId="1" fillId="0" borderId="8" xfId="0" applyFont="1" applyFill="1" applyBorder="1" applyAlignment="1">
      <alignment horizontal="center"/>
    </xf>
    <xf numFmtId="16" fontId="0" fillId="0" borderId="0" xfId="0" applyNumberFormat="1" applyFont="1" applyAlignment="1">
      <alignment horizontal="center"/>
    </xf>
    <xf numFmtId="0" fontId="0" fillId="0" borderId="0" xfId="0" applyFont="1" applyAlignment="1">
      <alignment horizontal="center" vertical="top"/>
    </xf>
    <xf numFmtId="0" fontId="0" fillId="0" borderId="0" xfId="0" applyFont="1" applyAlignment="1"/>
    <xf numFmtId="164" fontId="0" fillId="0" borderId="0" xfId="4" applyNumberFormat="1" applyFont="1"/>
    <xf numFmtId="167" fontId="0" fillId="4" borderId="0" xfId="2" applyNumberFormat="1" applyFont="1" applyFill="1"/>
    <xf numFmtId="43" fontId="39" fillId="0" borderId="0" xfId="0" applyNumberFormat="1" applyFont="1" applyFill="1" applyBorder="1"/>
    <xf numFmtId="167" fontId="0" fillId="0" borderId="0" xfId="2" applyNumberFormat="1" applyFont="1"/>
    <xf numFmtId="167" fontId="0" fillId="0" borderId="0" xfId="0" applyNumberFormat="1" applyFont="1"/>
    <xf numFmtId="164" fontId="0" fillId="0" borderId="0" xfId="0" applyNumberFormat="1" applyFont="1" applyFill="1" applyBorder="1"/>
    <xf numFmtId="167" fontId="0" fillId="0" borderId="0" xfId="2" applyNumberFormat="1" applyFont="1" applyFill="1" applyAlignment="1">
      <alignment horizontal="left"/>
    </xf>
    <xf numFmtId="167" fontId="0" fillId="0" borderId="0" xfId="2" applyNumberFormat="1" applyFont="1" applyAlignment="1">
      <alignment horizontal="left"/>
    </xf>
    <xf numFmtId="0" fontId="0" fillId="0" borderId="16" xfId="0" applyFont="1" applyBorder="1" applyAlignment="1">
      <alignment horizontal="center"/>
    </xf>
    <xf numFmtId="0" fontId="0" fillId="0" borderId="15" xfId="0" applyFont="1" applyBorder="1" applyAlignment="1">
      <alignment horizontal="center"/>
    </xf>
    <xf numFmtId="0" fontId="0" fillId="0" borderId="0" xfId="0" applyFont="1" applyAlignment="1">
      <alignment wrapText="1"/>
    </xf>
    <xf numFmtId="0" fontId="0" fillId="0" borderId="0" xfId="0" applyFont="1" applyAlignment="1">
      <alignment horizontal="center" wrapText="1"/>
    </xf>
    <xf numFmtId="164" fontId="0" fillId="0" borderId="0" xfId="4" applyNumberFormat="1" applyFont="1" applyFill="1" applyBorder="1" applyAlignment="1">
      <alignment horizontal="center" wrapText="1"/>
    </xf>
    <xf numFmtId="164" fontId="0" fillId="0" borderId="0" xfId="0" applyNumberFormat="1" applyFont="1"/>
    <xf numFmtId="164" fontId="0" fillId="0" borderId="4" xfId="0" applyNumberFormat="1" applyFont="1" applyBorder="1"/>
    <xf numFmtId="43" fontId="0" fillId="0" borderId="0" xfId="0" applyNumberFormat="1" applyFont="1" applyFill="1" applyBorder="1"/>
    <xf numFmtId="0" fontId="39" fillId="0" borderId="0" xfId="0" applyFont="1" applyFill="1" applyBorder="1"/>
    <xf numFmtId="164" fontId="39" fillId="0" borderId="0" xfId="0" applyNumberFormat="1" applyFont="1" applyFill="1" applyBorder="1"/>
    <xf numFmtId="43" fontId="39" fillId="0" borderId="0" xfId="0" applyNumberFormat="1" applyFont="1"/>
    <xf numFmtId="0" fontId="3" fillId="0" borderId="0" xfId="0" applyFont="1" applyFill="1" applyAlignment="1">
      <alignment horizontal="left"/>
    </xf>
    <xf numFmtId="0" fontId="0" fillId="0" borderId="0" xfId="0" applyNumberFormat="1" applyFont="1" applyAlignment="1">
      <alignment horizontal="left"/>
    </xf>
    <xf numFmtId="167" fontId="0" fillId="0" borderId="0" xfId="0" applyNumberFormat="1" applyFont="1" applyAlignment="1">
      <alignment horizontal="center"/>
    </xf>
    <xf numFmtId="44" fontId="0" fillId="0" borderId="0" xfId="2" applyFont="1" applyBorder="1" applyAlignment="1">
      <alignment horizontal="center"/>
    </xf>
    <xf numFmtId="43" fontId="0" fillId="0" borderId="0" xfId="4" applyFont="1" applyBorder="1" applyAlignment="1">
      <alignment horizontal="center"/>
    </xf>
    <xf numFmtId="43" fontId="0" fillId="0" borderId="0" xfId="4" applyFont="1"/>
    <xf numFmtId="43" fontId="0" fillId="0" borderId="0" xfId="4" applyFont="1" applyFill="1" applyBorder="1" applyAlignment="1">
      <alignment horizontal="center"/>
    </xf>
    <xf numFmtId="3" fontId="0" fillId="0" borderId="8" xfId="0" applyNumberFormat="1" applyFont="1" applyFill="1" applyBorder="1" applyAlignment="1"/>
    <xf numFmtId="37" fontId="0" fillId="6" borderId="19" xfId="0" applyNumberFormat="1" applyFont="1" applyFill="1" applyBorder="1"/>
    <xf numFmtId="171" fontId="4" fillId="0" borderId="0" xfId="0" applyNumberFormat="1" applyFont="1" applyFill="1" applyAlignment="1"/>
    <xf numFmtId="2" fontId="0" fillId="0" borderId="0" xfId="0" applyNumberFormat="1" applyFont="1" applyFill="1"/>
    <xf numFmtId="167" fontId="0" fillId="0" borderId="0" xfId="4" applyNumberFormat="1" applyFont="1" applyFill="1" applyBorder="1" applyAlignment="1">
      <alignment horizontal="center" wrapText="1"/>
    </xf>
    <xf numFmtId="167" fontId="0" fillId="0" borderId="0" xfId="0" applyNumberFormat="1" applyFont="1" applyFill="1" applyBorder="1"/>
    <xf numFmtId="0" fontId="3" fillId="6" borderId="19" xfId="0" applyFont="1" applyFill="1" applyBorder="1"/>
    <xf numFmtId="0" fontId="9" fillId="6" borderId="23" xfId="0" applyFont="1" applyFill="1" applyBorder="1"/>
    <xf numFmtId="0" fontId="3" fillId="6" borderId="2" xfId="0" applyFont="1" applyFill="1" applyBorder="1"/>
    <xf numFmtId="0" fontId="3" fillId="6" borderId="24" xfId="0" applyFont="1" applyFill="1" applyBorder="1" applyAlignment="1">
      <alignment horizontal="center"/>
    </xf>
    <xf numFmtId="0" fontId="9" fillId="6" borderId="25" xfId="0" applyFont="1" applyFill="1" applyBorder="1" applyAlignment="1">
      <alignment horizontal="left"/>
    </xf>
    <xf numFmtId="0" fontId="3" fillId="6" borderId="0" xfId="0" applyFont="1" applyFill="1" applyBorder="1"/>
    <xf numFmtId="0" fontId="3" fillId="6" borderId="0" xfId="0" applyFont="1" applyFill="1" applyBorder="1" applyAlignment="1">
      <alignment horizontal="center"/>
    </xf>
    <xf numFmtId="0" fontId="3" fillId="6" borderId="26" xfId="0" applyFont="1" applyFill="1" applyBorder="1" applyAlignment="1">
      <alignment horizontal="center"/>
    </xf>
    <xf numFmtId="0" fontId="3" fillId="6" borderId="2" xfId="0" applyFont="1" applyFill="1" applyBorder="1" applyAlignment="1">
      <alignment horizontal="center"/>
    </xf>
    <xf numFmtId="0" fontId="3" fillId="6" borderId="26" xfId="0" applyFont="1" applyFill="1" applyBorder="1"/>
    <xf numFmtId="0" fontId="67" fillId="6" borderId="0" xfId="0" applyFont="1" applyFill="1" applyBorder="1" applyAlignment="1">
      <alignment horizontal="left"/>
    </xf>
    <xf numFmtId="0" fontId="3" fillId="6" borderId="0" xfId="0" applyNumberFormat="1" applyFont="1" applyFill="1" applyBorder="1" applyAlignment="1">
      <alignment horizontal="center"/>
    </xf>
    <xf numFmtId="0" fontId="3" fillId="6" borderId="0" xfId="0" applyFont="1" applyFill="1"/>
    <xf numFmtId="0" fontId="3" fillId="6" borderId="0" xfId="0" applyFont="1" applyFill="1" applyBorder="1" applyAlignment="1"/>
    <xf numFmtId="37" fontId="3" fillId="6" borderId="0" xfId="0" applyNumberFormat="1" applyFont="1" applyFill="1" applyBorder="1" applyAlignment="1">
      <alignment horizontal="left"/>
    </xf>
    <xf numFmtId="0" fontId="3" fillId="6" borderId="0" xfId="0" applyFont="1" applyFill="1"/>
    <xf numFmtId="0" fontId="3" fillId="6" borderId="0" xfId="0" applyFont="1" applyFill="1" applyAlignment="1">
      <alignment horizontal="left"/>
    </xf>
    <xf numFmtId="0" fontId="9" fillId="4" borderId="27" xfId="0" applyFont="1" applyFill="1" applyBorder="1" applyAlignment="1">
      <alignment horizontal="center"/>
    </xf>
    <xf numFmtId="0" fontId="9" fillId="4" borderId="28" xfId="0" applyFont="1" applyFill="1" applyBorder="1" applyAlignment="1">
      <alignment horizontal="center" wrapText="1"/>
    </xf>
    <xf numFmtId="0" fontId="9" fillId="4" borderId="29" xfId="0" applyFont="1" applyFill="1" applyBorder="1" applyAlignment="1">
      <alignment horizontal="center" wrapText="1"/>
    </xf>
    <xf numFmtId="3" fontId="9" fillId="4" borderId="0" xfId="0" applyNumberFormat="1" applyFont="1" applyFill="1" applyBorder="1" applyAlignment="1">
      <alignment horizontal="center"/>
    </xf>
    <xf numFmtId="0" fontId="3" fillId="6" borderId="0" xfId="0" applyFont="1" applyFill="1" applyAlignment="1">
      <alignment horizontal="left"/>
    </xf>
    <xf numFmtId="0" fontId="9" fillId="4" borderId="29" xfId="0" applyFont="1" applyFill="1" applyBorder="1" applyAlignment="1">
      <alignment horizontal="left" wrapText="1"/>
    </xf>
    <xf numFmtId="0" fontId="3" fillId="4" borderId="27" xfId="0" applyFont="1" applyFill="1" applyBorder="1" applyAlignment="1">
      <alignment horizontal="left"/>
    </xf>
    <xf numFmtId="0" fontId="3" fillId="4" borderId="30" xfId="0" applyFont="1" applyFill="1" applyBorder="1" applyAlignment="1">
      <alignment horizontal="left"/>
    </xf>
    <xf numFmtId="3" fontId="14" fillId="0" borderId="0" xfId="0" applyNumberFormat="1" applyFont="1" applyFill="1" applyAlignment="1">
      <alignment horizontal="right"/>
    </xf>
    <xf numFmtId="3" fontId="4" fillId="0" borderId="0" xfId="0" applyNumberFormat="1" applyFont="1" applyFill="1" applyBorder="1" applyAlignment="1"/>
    <xf numFmtId="0" fontId="4" fillId="0" borderId="4" xfId="0" applyNumberFormat="1" applyFont="1" applyFill="1" applyBorder="1" applyAlignment="1">
      <alignment horizontal="left"/>
    </xf>
    <xf numFmtId="3" fontId="4" fillId="0" borderId="3" xfId="0" applyNumberFormat="1" applyFont="1" applyFill="1" applyBorder="1" applyAlignment="1"/>
    <xf numFmtId="0" fontId="4" fillId="3" borderId="0" xfId="0" applyFont="1" applyFill="1"/>
    <xf numFmtId="3" fontId="4" fillId="0" borderId="0" xfId="0" applyNumberFormat="1" applyFont="1" applyFill="1" applyAlignment="1"/>
    <xf numFmtId="3" fontId="4" fillId="0" borderId="4" xfId="0" applyNumberFormat="1" applyFont="1" applyFill="1" applyBorder="1" applyAlignment="1"/>
    <xf numFmtId="0" fontId="4" fillId="0" borderId="0" xfId="0" applyFont="1" applyFill="1" applyAlignment="1"/>
    <xf numFmtId="0" fontId="4" fillId="0" borderId="0" xfId="0" applyNumberFormat="1" applyFont="1" applyFill="1" applyAlignment="1"/>
    <xf numFmtId="0" fontId="4" fillId="0" borderId="4" xfId="0" applyFont="1" applyFill="1" applyBorder="1" applyAlignment="1"/>
    <xf numFmtId="0" fontId="4" fillId="0" borderId="0" xfId="0" applyFont="1" applyBorder="1" applyAlignment="1"/>
    <xf numFmtId="0" fontId="4" fillId="0" borderId="0" xfId="0" applyNumberFormat="1" applyFont="1" applyFill="1" applyAlignment="1">
      <alignment horizontal="left"/>
    </xf>
    <xf numFmtId="3" fontId="4" fillId="0" borderId="0" xfId="0" applyNumberFormat="1" applyFont="1" applyBorder="1" applyAlignment="1"/>
    <xf numFmtId="3" fontId="2" fillId="0" borderId="3" xfId="0" applyNumberFormat="1" applyFont="1" applyFill="1" applyBorder="1" applyAlignment="1"/>
    <xf numFmtId="0" fontId="4" fillId="0" borderId="0" xfId="0" applyFont="1" applyAlignment="1"/>
    <xf numFmtId="3" fontId="4" fillId="0" borderId="0" xfId="0" applyNumberFormat="1" applyFont="1" applyAlignment="1"/>
    <xf numFmtId="168" fontId="4" fillId="0" borderId="0" xfId="0" applyNumberFormat="1" applyFont="1" applyFill="1" applyAlignment="1">
      <alignment horizontal="left"/>
    </xf>
    <xf numFmtId="3" fontId="4" fillId="0" borderId="0" xfId="0" applyNumberFormat="1" applyFont="1" applyFill="1" applyBorder="1" applyAlignment="1">
      <alignment horizontal="right"/>
    </xf>
    <xf numFmtId="0" fontId="4" fillId="0" borderId="0" xfId="0" applyFont="1" applyFill="1" applyAlignment="1">
      <alignment horizontal="left"/>
    </xf>
    <xf numFmtId="0" fontId="4" fillId="0" borderId="0" xfId="0" applyFont="1" applyFill="1" applyBorder="1" applyAlignment="1"/>
    <xf numFmtId="0" fontId="4" fillId="0" borderId="0" xfId="0" applyFont="1" applyFill="1" applyBorder="1"/>
    <xf numFmtId="0" fontId="4" fillId="3" borderId="0" xfId="0" applyFont="1" applyFill="1" applyBorder="1" applyAlignment="1">
      <alignment horizontal="center" wrapText="1"/>
    </xf>
    <xf numFmtId="0" fontId="4" fillId="0" borderId="0" xfId="0" applyFont="1" applyFill="1" applyBorder="1" applyAlignment="1">
      <alignment horizontal="center" wrapText="1"/>
    </xf>
    <xf numFmtId="3" fontId="4" fillId="0" borderId="2" xfId="0" applyNumberFormat="1" applyFont="1" applyBorder="1" applyAlignment="1"/>
    <xf numFmtId="3" fontId="4" fillId="0" borderId="0" xfId="0" applyNumberFormat="1" applyFont="1"/>
    <xf numFmtId="3" fontId="2" fillId="0" borderId="0" xfId="0" applyNumberFormat="1" applyFont="1" applyFill="1" applyBorder="1" applyAlignment="1"/>
    <xf numFmtId="3" fontId="4" fillId="0" borderId="0" xfId="0" applyNumberFormat="1" applyFont="1" applyAlignment="1">
      <alignment horizontal="center"/>
    </xf>
    <xf numFmtId="3" fontId="2" fillId="0" borderId="3" xfId="0" applyNumberFormat="1" applyFont="1" applyBorder="1"/>
    <xf numFmtId="3" fontId="4" fillId="0" borderId="0" xfId="0" applyNumberFormat="1" applyFont="1" applyFill="1" applyAlignment="1">
      <alignment horizontal="right"/>
    </xf>
    <xf numFmtId="171" fontId="4" fillId="0" borderId="0" xfId="1" applyNumberFormat="1" applyFont="1" applyAlignment="1">
      <alignment horizontal="right"/>
    </xf>
    <xf numFmtId="3" fontId="2" fillId="0" borderId="0" xfId="0" applyNumberFormat="1" applyFont="1" applyBorder="1" applyAlignment="1">
      <alignment horizontal="right"/>
    </xf>
    <xf numFmtId="172" fontId="4" fillId="0" borderId="0" xfId="0" applyNumberFormat="1" applyFont="1" applyAlignment="1">
      <alignment horizontal="right"/>
    </xf>
    <xf numFmtId="3" fontId="2" fillId="0" borderId="2" xfId="0" applyNumberFormat="1" applyFont="1" applyBorder="1" applyAlignment="1"/>
    <xf numFmtId="10" fontId="4" fillId="0" borderId="0" xfId="0" applyNumberFormat="1" applyFont="1" applyAlignment="1">
      <alignment horizontal="right"/>
    </xf>
    <xf numFmtId="3" fontId="2" fillId="0" borderId="2" xfId="0" applyNumberFormat="1" applyFont="1" applyFill="1" applyBorder="1" applyAlignment="1">
      <alignment horizontal="right"/>
    </xf>
    <xf numFmtId="3" fontId="2" fillId="0" borderId="0" xfId="0" applyNumberFormat="1" applyFont="1" applyFill="1" applyBorder="1" applyAlignment="1">
      <alignment horizontal="right"/>
    </xf>
    <xf numFmtId="3" fontId="4" fillId="0" borderId="0" xfId="0" applyNumberFormat="1" applyFont="1" applyBorder="1" applyAlignment="1">
      <alignment horizontal="right"/>
    </xf>
    <xf numFmtId="3" fontId="4" fillId="0" borderId="4" xfId="0" applyNumberFormat="1" applyFont="1" applyFill="1" applyBorder="1" applyAlignment="1">
      <alignment horizontal="right"/>
    </xf>
    <xf numFmtId="166" fontId="4" fillId="0" borderId="0" xfId="0" applyNumberFormat="1" applyFont="1" applyAlignment="1"/>
    <xf numFmtId="10" fontId="2" fillId="0" borderId="0" xfId="0" applyNumberFormat="1" applyFont="1" applyFill="1" applyAlignment="1">
      <alignment horizontal="right"/>
    </xf>
    <xf numFmtId="3" fontId="12" fillId="0" borderId="5" xfId="0" applyNumberFormat="1" applyFont="1" applyBorder="1"/>
    <xf numFmtId="3" fontId="2" fillId="0" borderId="0" xfId="0" applyNumberFormat="1" applyFont="1" applyBorder="1"/>
    <xf numFmtId="3" fontId="2" fillId="0" borderId="5" xfId="0" applyNumberFormat="1" applyFont="1" applyFill="1" applyBorder="1"/>
    <xf numFmtId="164" fontId="2" fillId="0" borderId="0" xfId="4" applyNumberFormat="1" applyFont="1" applyAlignment="1"/>
    <xf numFmtId="164" fontId="2" fillId="0" borderId="0" xfId="4" applyNumberFormat="1" applyFont="1" applyFill="1" applyBorder="1" applyAlignment="1"/>
    <xf numFmtId="167" fontId="2" fillId="0" borderId="5" xfId="2" applyNumberFormat="1" applyFont="1" applyBorder="1" applyAlignment="1">
      <alignment horizontal="center"/>
    </xf>
    <xf numFmtId="0" fontId="21" fillId="0" borderId="0" xfId="0" applyFont="1" applyFill="1"/>
    <xf numFmtId="164" fontId="0" fillId="0" borderId="0" xfId="4" applyNumberFormat="1" applyFont="1" applyAlignment="1"/>
    <xf numFmtId="164" fontId="0" fillId="0" borderId="0" xfId="4" applyNumberFormat="1" applyFont="1" applyFill="1" applyAlignment="1"/>
    <xf numFmtId="9" fontId="0" fillId="0" borderId="0" xfId="1" applyFont="1" applyFill="1" applyBorder="1" applyAlignment="1">
      <alignment horizontal="center"/>
    </xf>
    <xf numFmtId="3" fontId="0" fillId="0" borderId="0" xfId="0" applyNumberFormat="1" applyFont="1" applyFill="1" applyBorder="1" applyAlignment="1">
      <alignment horizontal="left"/>
    </xf>
    <xf numFmtId="2" fontId="0" fillId="0" borderId="0" xfId="0" applyNumberFormat="1" applyFont="1"/>
    <xf numFmtId="37" fontId="0" fillId="4" borderId="19" xfId="0" applyNumberFormat="1" applyFont="1" applyFill="1" applyBorder="1"/>
    <xf numFmtId="3" fontId="2" fillId="0" borderId="0" xfId="0" applyNumberFormat="1" applyFont="1" applyFill="1" applyAlignment="1"/>
    <xf numFmtId="0" fontId="0" fillId="0" borderId="16" xfId="0" applyFont="1" applyFill="1" applyBorder="1"/>
    <xf numFmtId="0" fontId="9" fillId="4" borderId="31" xfId="0" applyFont="1" applyFill="1" applyBorder="1" applyAlignment="1">
      <alignment horizontal="center"/>
    </xf>
    <xf numFmtId="164" fontId="4" fillId="0" borderId="0" xfId="4" applyNumberFormat="1" applyFont="1" applyFill="1" applyBorder="1"/>
    <xf numFmtId="164" fontId="2" fillId="0" borderId="0" xfId="4" applyNumberFormat="1" applyFont="1" applyFill="1"/>
    <xf numFmtId="172" fontId="32" fillId="0" borderId="19" xfId="0" applyNumberFormat="1" applyFont="1" applyFill="1" applyBorder="1"/>
    <xf numFmtId="0" fontId="0" fillId="4" borderId="19" xfId="0" applyFont="1" applyFill="1" applyBorder="1" applyAlignment="1">
      <alignment horizontal="center"/>
    </xf>
    <xf numFmtId="0" fontId="0" fillId="4" borderId="19" xfId="0" applyFont="1" applyFill="1" applyBorder="1" applyAlignment="1">
      <alignment wrapText="1"/>
    </xf>
    <xf numFmtId="175" fontId="0" fillId="6" borderId="0" xfId="7" applyNumberFormat="1" applyFont="1" applyFill="1" applyBorder="1" applyAlignment="1" applyProtection="1">
      <alignment horizontal="left" indent="1"/>
      <protection locked="0"/>
    </xf>
    <xf numFmtId="0" fontId="2" fillId="6" borderId="0" xfId="8" applyFont="1" applyFill="1" applyBorder="1"/>
    <xf numFmtId="0" fontId="9" fillId="4" borderId="19" xfId="0" applyFont="1" applyFill="1" applyBorder="1"/>
    <xf numFmtId="0" fontId="3" fillId="4" borderId="19" xfId="0" applyFont="1" applyFill="1" applyBorder="1"/>
    <xf numFmtId="37" fontId="0" fillId="4" borderId="19" xfId="0" applyNumberFormat="1" applyFont="1" applyFill="1" applyBorder="1" applyAlignment="1">
      <alignment horizontal="right"/>
    </xf>
    <xf numFmtId="0" fontId="11" fillId="4" borderId="19" xfId="0" applyFont="1" applyFill="1" applyBorder="1" applyAlignment="1">
      <alignment wrapText="1"/>
    </xf>
    <xf numFmtId="0" fontId="9" fillId="4" borderId="22" xfId="0" applyFont="1" applyFill="1" applyBorder="1"/>
    <xf numFmtId="0" fontId="3" fillId="4" borderId="22" xfId="0" applyFont="1" applyFill="1" applyBorder="1"/>
    <xf numFmtId="37" fontId="0" fillId="4" borderId="22" xfId="0" applyNumberFormat="1" applyFont="1" applyFill="1" applyBorder="1"/>
    <xf numFmtId="0" fontId="1" fillId="6" borderId="0" xfId="8" applyFont="1" applyFill="1" applyBorder="1"/>
    <xf numFmtId="164" fontId="0" fillId="4" borderId="19" xfId="4" applyNumberFormat="1" applyFont="1" applyFill="1" applyBorder="1" applyAlignment="1">
      <alignment horizontal="right"/>
    </xf>
    <xf numFmtId="164" fontId="0" fillId="4" borderId="22" xfId="4" applyNumberFormat="1" applyFont="1" applyFill="1" applyBorder="1" applyAlignment="1">
      <alignment horizontal="right"/>
    </xf>
    <xf numFmtId="0" fontId="0" fillId="6" borderId="18" xfId="0" applyFont="1" applyFill="1" applyBorder="1"/>
    <xf numFmtId="37" fontId="0" fillId="6" borderId="32" xfId="0" applyNumberFormat="1" applyFont="1" applyFill="1" applyBorder="1" applyAlignment="1">
      <alignment horizontal="right"/>
    </xf>
    <xf numFmtId="0" fontId="1" fillId="6" borderId="19" xfId="0" applyFont="1" applyFill="1" applyBorder="1" applyAlignment="1"/>
    <xf numFmtId="0" fontId="1" fillId="6" borderId="19" xfId="0" applyFont="1" applyFill="1" applyBorder="1"/>
    <xf numFmtId="3" fontId="15" fillId="0" borderId="2" xfId="0" applyNumberFormat="1" applyFont="1" applyFill="1" applyBorder="1" applyAlignment="1">
      <alignment horizontal="right"/>
    </xf>
    <xf numFmtId="0" fontId="0" fillId="0" borderId="0" xfId="0" applyFont="1" applyFill="1" applyAlignment="1">
      <alignment horizontal="center" wrapText="1"/>
    </xf>
    <xf numFmtId="0" fontId="0" fillId="0" borderId="16" xfId="0" applyFont="1" applyBorder="1" applyAlignment="1"/>
    <xf numFmtId="0" fontId="0" fillId="0" borderId="15" xfId="0" applyFont="1" applyBorder="1" applyAlignment="1"/>
    <xf numFmtId="43" fontId="0" fillId="0" borderId="0" xfId="4" applyFont="1" applyFill="1" applyAlignment="1">
      <alignment horizontal="center" wrapText="1"/>
    </xf>
    <xf numFmtId="164" fontId="0" fillId="0" borderId="0" xfId="4" applyNumberFormat="1" applyFont="1" applyFill="1" applyAlignment="1">
      <alignment horizontal="center" wrapText="1"/>
    </xf>
    <xf numFmtId="164" fontId="0" fillId="0" borderId="0" xfId="0" applyNumberFormat="1" applyFont="1" applyFill="1" applyBorder="1" applyAlignment="1">
      <alignment horizontal="center" wrapText="1"/>
    </xf>
    <xf numFmtId="43" fontId="0" fillId="0" borderId="0" xfId="0" applyNumberFormat="1" applyFont="1"/>
    <xf numFmtId="43" fontId="0" fillId="0" borderId="0" xfId="4" applyFont="1" applyBorder="1"/>
    <xf numFmtId="0" fontId="0" fillId="0" borderId="0" xfId="0" applyNumberFormat="1" applyFont="1"/>
    <xf numFmtId="167" fontId="0" fillId="0" borderId="0" xfId="2" applyNumberFormat="1" applyFont="1" applyFill="1"/>
    <xf numFmtId="0" fontId="0" fillId="0" borderId="0" xfId="2" applyNumberFormat="1" applyFont="1" applyFill="1" applyAlignment="1">
      <alignment horizontal="left"/>
    </xf>
    <xf numFmtId="164" fontId="3" fillId="0" borderId="0" xfId="0" applyNumberFormat="1" applyFont="1" applyFill="1"/>
    <xf numFmtId="0" fontId="0" fillId="7" borderId="0" xfId="0" applyFont="1" applyFill="1"/>
    <xf numFmtId="164" fontId="0" fillId="0" borderId="0" xfId="0" applyNumberFormat="1" applyFont="1" applyAlignment="1">
      <alignment horizontal="left"/>
    </xf>
    <xf numFmtId="164" fontId="0" fillId="0" borderId="0" xfId="0" applyNumberFormat="1" applyFont="1" applyAlignment="1">
      <alignment horizontal="center"/>
    </xf>
    <xf numFmtId="172" fontId="0" fillId="0" borderId="0" xfId="1" applyNumberFormat="1" applyFont="1"/>
    <xf numFmtId="172" fontId="0" fillId="0" borderId="0" xfId="0" applyNumberFormat="1" applyFont="1"/>
    <xf numFmtId="168" fontId="0" fillId="0" borderId="0" xfId="1" applyNumberFormat="1" applyFont="1"/>
    <xf numFmtId="167" fontId="0" fillId="0" borderId="0" xfId="0" applyNumberFormat="1" applyFont="1" applyFill="1"/>
    <xf numFmtId="3" fontId="0" fillId="0" borderId="0" xfId="0" applyNumberFormat="1" applyFont="1"/>
    <xf numFmtId="164" fontId="1" fillId="0" borderId="0" xfId="4" applyNumberFormat="1" applyFont="1" applyFill="1" applyAlignment="1"/>
    <xf numFmtId="164" fontId="0" fillId="0" borderId="16" xfId="4" applyNumberFormat="1" applyFont="1" applyFill="1" applyBorder="1" applyAlignment="1"/>
    <xf numFmtId="0" fontId="0" fillId="3" borderId="0" xfId="0" applyFont="1" applyFill="1" applyBorder="1" applyAlignment="1">
      <alignment horizontal="left"/>
    </xf>
    <xf numFmtId="0" fontId="0" fillId="3" borderId="0" xfId="0" applyFont="1" applyFill="1" applyBorder="1"/>
    <xf numFmtId="0" fontId="69" fillId="3" borderId="0" xfId="0" applyFont="1" applyFill="1" applyBorder="1"/>
    <xf numFmtId="164" fontId="69" fillId="3" borderId="0" xfId="4" applyNumberFormat="1" applyFont="1" applyFill="1" applyBorder="1"/>
    <xf numFmtId="177" fontId="0" fillId="0" borderId="0" xfId="0" applyNumberFormat="1" applyFont="1"/>
    <xf numFmtId="0" fontId="11" fillId="0" borderId="0" xfId="0" applyFont="1"/>
    <xf numFmtId="0" fontId="60" fillId="0" borderId="0" xfId="0" applyFont="1"/>
    <xf numFmtId="164" fontId="0" fillId="0" borderId="33" xfId="4" applyNumberFormat="1" applyFont="1" applyFill="1" applyBorder="1"/>
    <xf numFmtId="164" fontId="0" fillId="0" borderId="1" xfId="0" applyNumberFormat="1" applyFont="1" applyFill="1" applyBorder="1" applyAlignment="1">
      <alignment horizontal="center"/>
    </xf>
    <xf numFmtId="2" fontId="3" fillId="0" borderId="0" xfId="0" applyNumberFormat="1" applyFont="1" applyFill="1"/>
    <xf numFmtId="2" fontId="75" fillId="0" borderId="0" xfId="0" applyNumberFormat="1" applyFont="1"/>
    <xf numFmtId="0" fontId="11" fillId="0" borderId="0" xfId="0" applyFont="1" applyFill="1"/>
    <xf numFmtId="0" fontId="68" fillId="0" borderId="0" xfId="0" applyFont="1"/>
    <xf numFmtId="0" fontId="0" fillId="0" borderId="0" xfId="0" applyFont="1"/>
    <xf numFmtId="164" fontId="30" fillId="0" borderId="0" xfId="0" applyNumberFormat="1" applyFont="1" applyBorder="1"/>
    <xf numFmtId="164" fontId="30" fillId="0" borderId="0" xfId="4" applyNumberFormat="1" applyFont="1" applyBorder="1"/>
    <xf numFmtId="164" fontId="30" fillId="0" borderId="8" xfId="0" applyNumberFormat="1" applyFont="1" applyBorder="1"/>
    <xf numFmtId="164" fontId="30" fillId="0" borderId="7" xfId="4" applyNumberFormat="1" applyFont="1" applyBorder="1"/>
    <xf numFmtId="167" fontId="30" fillId="0" borderId="13" xfId="2" applyNumberFormat="1" applyFont="1" applyBorder="1"/>
    <xf numFmtId="0" fontId="30" fillId="0" borderId="8" xfId="0" applyFont="1" applyBorder="1"/>
    <xf numFmtId="167" fontId="30" fillId="0" borderId="7" xfId="0" applyNumberFormat="1" applyFont="1" applyBorder="1"/>
    <xf numFmtId="0" fontId="72" fillId="0" borderId="0" xfId="0" applyFont="1" applyFill="1" applyBorder="1" applyAlignment="1">
      <alignment horizontal="center" wrapText="1"/>
    </xf>
    <xf numFmtId="43" fontId="72" fillId="0" borderId="0" xfId="0" applyNumberFormat="1" applyFont="1" applyFill="1" applyBorder="1"/>
    <xf numFmtId="0" fontId="72" fillId="0" borderId="0" xfId="0" applyFont="1" applyFill="1" applyBorder="1" applyAlignment="1">
      <alignment horizontal="center"/>
    </xf>
    <xf numFmtId="0" fontId="72" fillId="0" borderId="0" xfId="0" applyFont="1" applyFill="1" applyBorder="1" applyAlignment="1">
      <alignment horizontal="left"/>
    </xf>
    <xf numFmtId="167" fontId="72" fillId="0" borderId="0" xfId="0" applyNumberFormat="1" applyFont="1" applyFill="1" applyBorder="1"/>
    <xf numFmtId="167" fontId="74" fillId="0" borderId="0" xfId="0" applyNumberFormat="1" applyFont="1" applyFill="1" applyBorder="1" applyAlignment="1">
      <alignment horizontal="center" wrapText="1"/>
    </xf>
    <xf numFmtId="0" fontId="72" fillId="0" borderId="0" xfId="0" applyFont="1" applyFill="1" applyBorder="1"/>
    <xf numFmtId="167" fontId="74" fillId="0" borderId="0" xfId="0" applyNumberFormat="1" applyFont="1" applyFill="1" applyBorder="1"/>
    <xf numFmtId="37" fontId="72" fillId="0" borderId="0" xfId="0" applyNumberFormat="1" applyFont="1" applyFill="1" applyBorder="1"/>
    <xf numFmtId="0" fontId="73" fillId="0" borderId="0" xfId="0" applyFont="1" applyFill="1" applyBorder="1"/>
    <xf numFmtId="0" fontId="4" fillId="0" borderId="0" xfId="0" applyFont="1" applyAlignment="1">
      <alignment horizontal="right"/>
    </xf>
    <xf numFmtId="0" fontId="2" fillId="0" borderId="0" xfId="0" applyFont="1" applyFill="1"/>
    <xf numFmtId="0" fontId="0" fillId="0" borderId="0" xfId="0" applyFont="1" applyFill="1" applyAlignment="1">
      <alignment horizontal="left" wrapText="1"/>
    </xf>
    <xf numFmtId="168" fontId="0" fillId="0" borderId="0" xfId="1" applyNumberFormat="1" applyFont="1" applyFill="1" applyAlignment="1">
      <alignment horizontal="center" wrapText="1"/>
    </xf>
    <xf numFmtId="0" fontId="0" fillId="0" borderId="0" xfId="0" applyFont="1" applyAlignment="1">
      <alignment horizontal="left" wrapText="1"/>
    </xf>
    <xf numFmtId="0" fontId="0" fillId="0" borderId="0" xfId="0" applyFont="1" applyAlignment="1">
      <alignment horizontal="right" wrapText="1"/>
    </xf>
    <xf numFmtId="0" fontId="0" fillId="0" borderId="0" xfId="0" applyFont="1" applyAlignment="1">
      <alignment horizontal="left" vertical="center" wrapText="1"/>
    </xf>
    <xf numFmtId="0" fontId="0" fillId="0" borderId="4" xfId="0" applyFont="1" applyBorder="1"/>
    <xf numFmtId="0" fontId="0" fillId="0" borderId="0" xfId="0" applyFont="1" applyFill="1" applyAlignment="1">
      <alignment horizontal="left" vertical="center" wrapText="1"/>
    </xf>
    <xf numFmtId="0" fontId="0" fillId="0" borderId="0" xfId="0" applyFont="1" applyFill="1" applyAlignment="1">
      <alignment horizontal="right"/>
    </xf>
    <xf numFmtId="0" fontId="0" fillId="0" borderId="0" xfId="0" applyFont="1" applyFill="1" applyAlignment="1">
      <alignment horizontal="left"/>
    </xf>
    <xf numFmtId="0" fontId="1" fillId="0" borderId="0" xfId="0" applyFont="1" applyAlignment="1">
      <alignment horizontal="center"/>
    </xf>
    <xf numFmtId="0" fontId="45" fillId="0" borderId="0" xfId="0" applyFont="1" applyFill="1"/>
    <xf numFmtId="0" fontId="0" fillId="0" borderId="0" xfId="0" applyFont="1" applyFill="1"/>
    <xf numFmtId="0" fontId="0" fillId="0" borderId="0" xfId="0" applyFont="1" applyAlignment="1">
      <alignment horizontal="center"/>
    </xf>
    <xf numFmtId="164" fontId="0" fillId="0" borderId="0" xfId="4" applyNumberFormat="1" applyFont="1" applyAlignment="1"/>
    <xf numFmtId="0" fontId="1" fillId="0" borderId="0" xfId="0" applyFont="1" applyAlignment="1">
      <alignment horizontal="right"/>
    </xf>
    <xf numFmtId="0" fontId="0" fillId="0" borderId="0" xfId="0" applyFont="1" applyFill="1" applyAlignment="1">
      <alignment horizontal="left"/>
    </xf>
    <xf numFmtId="164" fontId="0" fillId="0" borderId="0" xfId="0" applyNumberFormat="1" applyFont="1"/>
    <xf numFmtId="0" fontId="0" fillId="0" borderId="0" xfId="0" applyFont="1" applyAlignment="1">
      <alignment horizontal="left" wrapText="1"/>
    </xf>
    <xf numFmtId="0" fontId="0" fillId="0" borderId="0" xfId="0" applyFont="1" applyFill="1" applyAlignment="1"/>
    <xf numFmtId="0" fontId="0" fillId="0" borderId="0" xfId="0" applyFont="1" applyAlignment="1"/>
    <xf numFmtId="0" fontId="0" fillId="0" borderId="0" xfId="0" applyFont="1" applyFill="1" applyAlignment="1">
      <alignment horizontal="center"/>
    </xf>
    <xf numFmtId="164" fontId="0" fillId="0" borderId="0" xfId="4" applyNumberFormat="1" applyFont="1" applyFill="1" applyAlignment="1"/>
    <xf numFmtId="0" fontId="0" fillId="8" borderId="0" xfId="0" applyFont="1" applyFill="1"/>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Font="1" applyAlignment="1">
      <alignment horizontal="left"/>
    </xf>
    <xf numFmtId="0" fontId="0" fillId="0" borderId="0" xfId="0" applyFont="1" applyFill="1" applyAlignment="1">
      <alignment horizontal="left" wrapText="1"/>
    </xf>
    <xf numFmtId="0" fontId="0" fillId="0" borderId="0" xfId="0" applyFont="1" applyFill="1" applyAlignment="1">
      <alignment horizontal="center" vertical="top"/>
    </xf>
    <xf numFmtId="164" fontId="0" fillId="0" borderId="0" xfId="4" applyNumberFormat="1" applyFont="1" applyFill="1" applyBorder="1" applyAlignment="1"/>
    <xf numFmtId="176" fontId="11" fillId="4" borderId="8" xfId="4" applyNumberFormat="1" applyFont="1" applyFill="1" applyBorder="1" applyAlignment="1">
      <alignment horizontal="center"/>
    </xf>
    <xf numFmtId="3" fontId="11" fillId="4" borderId="8" xfId="0" applyNumberFormat="1" applyFont="1" applyFill="1" applyBorder="1" applyAlignment="1"/>
    <xf numFmtId="0" fontId="76" fillId="6" borderId="0" xfId="0" applyFont="1" applyFill="1" applyAlignment="1">
      <alignment horizontal="left"/>
    </xf>
    <xf numFmtId="0" fontId="77" fillId="6" borderId="0" xfId="0" applyFont="1" applyFill="1" applyAlignment="1">
      <alignment horizontal="center"/>
    </xf>
    <xf numFmtId="0" fontId="76" fillId="6" borderId="0" xfId="0" applyFont="1" applyFill="1"/>
    <xf numFmtId="0" fontId="76" fillId="0" borderId="0" xfId="0" applyFont="1" applyFill="1"/>
    <xf numFmtId="0" fontId="77" fillId="6" borderId="0" xfId="0" applyFont="1" applyFill="1"/>
    <xf numFmtId="10" fontId="2" fillId="0" borderId="0" xfId="1" applyNumberFormat="1" applyFont="1" applyAlignment="1"/>
    <xf numFmtId="10" fontId="2" fillId="0" borderId="3" xfId="1" applyNumberFormat="1" applyFont="1" applyBorder="1" applyAlignment="1"/>
    <xf numFmtId="10" fontId="2" fillId="0" borderId="3" xfId="1" applyNumberFormat="1" applyFont="1" applyBorder="1" applyAlignment="1"/>
    <xf numFmtId="10" fontId="4" fillId="0" borderId="0" xfId="1" applyNumberFormat="1" applyFont="1" applyAlignment="1"/>
    <xf numFmtId="10" fontId="4" fillId="0" borderId="0" xfId="1" applyNumberFormat="1" applyFont="1" applyBorder="1" applyAlignment="1"/>
    <xf numFmtId="10" fontId="4" fillId="0" borderId="0" xfId="1" applyNumberFormat="1" applyFont="1" applyFill="1" applyBorder="1" applyAlignment="1"/>
    <xf numFmtId="10" fontId="4" fillId="0" borderId="4" xfId="0" applyNumberFormat="1" applyFont="1" applyFill="1" applyBorder="1" applyAlignment="1">
      <alignment horizontal="right"/>
    </xf>
    <xf numFmtId="10" fontId="4" fillId="0" borderId="4" xfId="0" applyNumberFormat="1" applyFont="1" applyBorder="1" applyAlignment="1">
      <alignment horizontal="right"/>
    </xf>
    <xf numFmtId="10" fontId="4" fillId="0" borderId="0" xfId="0" applyNumberFormat="1" applyFont="1" applyBorder="1" applyAlignment="1">
      <alignment horizontal="right"/>
    </xf>
    <xf numFmtId="10" fontId="2" fillId="0" borderId="0" xfId="1" applyNumberFormat="1" applyFont="1" applyAlignment="1"/>
    <xf numFmtId="10" fontId="32" fillId="0" borderId="0" xfId="1" applyNumberFormat="1" applyFont="1" applyFill="1" applyAlignment="1">
      <alignment horizontal="center" wrapText="1"/>
    </xf>
    <xf numFmtId="10" fontId="32" fillId="0" borderId="0" xfId="0" applyNumberFormat="1" applyFont="1" applyFill="1" applyAlignment="1">
      <alignment horizontal="center" wrapText="1"/>
    </xf>
    <xf numFmtId="10" fontId="4" fillId="0" borderId="0" xfId="1" applyNumberFormat="1" applyFont="1" applyFill="1" applyBorder="1" applyAlignment="1"/>
    <xf numFmtId="10" fontId="4" fillId="0" borderId="0" xfId="1" applyNumberFormat="1" applyFont="1" applyAlignment="1"/>
    <xf numFmtId="10" fontId="4" fillId="0" borderId="4" xfId="1" applyNumberFormat="1" applyFont="1" applyBorder="1" applyAlignment="1"/>
    <xf numFmtId="10" fontId="4" fillId="0" borderId="0" xfId="1" applyNumberFormat="1" applyFont="1" applyFill="1" applyAlignment="1"/>
    <xf numFmtId="10" fontId="4" fillId="0" borderId="4" xfId="1" applyNumberFormat="1" applyFont="1" applyBorder="1" applyAlignment="1"/>
    <xf numFmtId="10" fontId="0" fillId="0" borderId="0" xfId="1" applyNumberFormat="1" applyFont="1" applyBorder="1"/>
    <xf numFmtId="10" fontId="0" fillId="0" borderId="1" xfId="1" applyNumberFormat="1" applyFont="1" applyFill="1" applyBorder="1"/>
    <xf numFmtId="37" fontId="76" fillId="6" borderId="0" xfId="0" applyNumberFormat="1" applyFont="1" applyFill="1" applyAlignment="1">
      <alignment horizontal="center"/>
    </xf>
    <xf numFmtId="0" fontId="58" fillId="0" borderId="0" xfId="0" applyFont="1" applyFill="1" applyBorder="1" applyAlignment="1">
      <alignment horizontal="left"/>
    </xf>
    <xf numFmtId="3" fontId="58" fillId="0" borderId="0" xfId="0" applyNumberFormat="1" applyFont="1" applyFill="1" applyAlignment="1"/>
    <xf numFmtId="172" fontId="12" fillId="0" borderId="0" xfId="1" applyNumberFormat="1" applyFont="1" applyFill="1" applyAlignment="1"/>
    <xf numFmtId="0" fontId="58" fillId="0" borderId="0" xfId="0" applyFont="1" applyFill="1"/>
    <xf numFmtId="43" fontId="21" fillId="0" borderId="0" xfId="4" applyFont="1" applyFill="1"/>
    <xf numFmtId="174" fontId="21" fillId="0" borderId="0" xfId="1" applyNumberFormat="1" applyFont="1" applyFill="1"/>
    <xf numFmtId="43" fontId="21" fillId="0" borderId="0" xfId="0" applyNumberFormat="1" applyFont="1" applyFill="1"/>
    <xf numFmtId="0" fontId="3" fillId="6" borderId="19" xfId="0" applyFont="1" applyFill="1" applyBorder="1"/>
    <xf numFmtId="0" fontId="3" fillId="4" borderId="19" xfId="0" applyFont="1" applyFill="1" applyBorder="1"/>
    <xf numFmtId="0" fontId="3" fillId="4" borderId="22" xfId="0" applyFont="1" applyFill="1" applyBorder="1"/>
    <xf numFmtId="0" fontId="3" fillId="6" borderId="2" xfId="0" applyFont="1" applyFill="1" applyBorder="1"/>
    <xf numFmtId="37" fontId="3" fillId="6" borderId="2" xfId="0" applyNumberFormat="1" applyFont="1" applyFill="1" applyBorder="1"/>
    <xf numFmtId="37" fontId="3" fillId="6" borderId="2" xfId="0" applyNumberFormat="1" applyFont="1" applyFill="1" applyBorder="1" applyAlignment="1">
      <alignment horizontal="center"/>
    </xf>
    <xf numFmtId="0" fontId="3" fillId="6" borderId="24" xfId="0" applyFont="1" applyFill="1" applyBorder="1" applyAlignment="1">
      <alignment horizontal="center"/>
    </xf>
    <xf numFmtId="0" fontId="3" fillId="6" borderId="0" xfId="0" applyFont="1" applyFill="1" applyBorder="1"/>
    <xf numFmtId="0" fontId="3" fillId="6" borderId="0" xfId="0" applyFont="1" applyFill="1" applyBorder="1" applyAlignment="1">
      <alignment horizontal="center"/>
    </xf>
    <xf numFmtId="0" fontId="3" fillId="6" borderId="26" xfId="0" applyFont="1" applyFill="1" applyBorder="1" applyAlignment="1">
      <alignment horizontal="center"/>
    </xf>
    <xf numFmtId="0" fontId="3" fillId="6" borderId="2" xfId="0" applyFont="1" applyFill="1" applyBorder="1" applyAlignment="1">
      <alignment horizontal="center"/>
    </xf>
    <xf numFmtId="0" fontId="2" fillId="9" borderId="34" xfId="0" applyFont="1" applyFill="1" applyBorder="1" applyAlignment="1">
      <alignment horizontal="center" wrapText="1"/>
    </xf>
    <xf numFmtId="0" fontId="0" fillId="0" borderId="0" xfId="0" applyFont="1" applyFill="1" applyBorder="1" applyAlignment="1">
      <alignment horizontal="center"/>
    </xf>
    <xf numFmtId="172" fontId="32" fillId="10" borderId="19" xfId="0" applyNumberFormat="1" applyFont="1" applyFill="1" applyBorder="1"/>
    <xf numFmtId="37" fontId="40" fillId="10" borderId="19" xfId="0" applyNumberFormat="1" applyFont="1" applyFill="1" applyBorder="1"/>
    <xf numFmtId="3" fontId="0" fillId="9" borderId="0" xfId="0" applyNumberFormat="1" applyFont="1" applyFill="1" applyAlignment="1"/>
    <xf numFmtId="3" fontId="0" fillId="9" borderId="4" xfId="0" applyNumberFormat="1" applyFont="1" applyFill="1" applyBorder="1" applyAlignment="1"/>
    <xf numFmtId="167" fontId="0" fillId="9" borderId="0" xfId="2" applyNumberFormat="1" applyFont="1" applyFill="1"/>
    <xf numFmtId="172" fontId="0" fillId="9" borderId="0" xfId="1" applyNumberFormat="1" applyFont="1" applyFill="1"/>
    <xf numFmtId="164" fontId="0" fillId="9" borderId="0" xfId="4" applyNumberFormat="1" applyFont="1" applyFill="1" applyAlignment="1">
      <alignment horizontal="left"/>
    </xf>
    <xf numFmtId="164" fontId="0" fillId="9" borderId="0" xfId="4" applyNumberFormat="1" applyFont="1" applyFill="1" applyAlignment="1"/>
    <xf numFmtId="2" fontId="30" fillId="9" borderId="8" xfId="0" applyNumberFormat="1" applyFont="1" applyFill="1" applyBorder="1" applyAlignment="1">
      <alignment horizontal="center"/>
    </xf>
    <xf numFmtId="0" fontId="30" fillId="9" borderId="8" xfId="0" applyFont="1" applyFill="1" applyBorder="1" applyAlignment="1">
      <alignment horizontal="center"/>
    </xf>
    <xf numFmtId="167" fontId="30" fillId="0" borderId="7" xfId="0" applyNumberFormat="1" applyFont="1" applyFill="1" applyBorder="1"/>
    <xf numFmtId="167" fontId="30" fillId="0" borderId="8" xfId="0" applyNumberFormat="1" applyFont="1" applyFill="1" applyBorder="1"/>
    <xf numFmtId="0" fontId="30" fillId="0" borderId="7" xfId="0" applyFont="1" applyFill="1" applyBorder="1"/>
    <xf numFmtId="164" fontId="33" fillId="0" borderId="0" xfId="0" applyNumberFormat="1" applyFont="1" applyFill="1" applyBorder="1"/>
    <xf numFmtId="164" fontId="30" fillId="0" borderId="0" xfId="0" applyNumberFormat="1" applyFont="1" applyFill="1" applyBorder="1"/>
    <xf numFmtId="164" fontId="30" fillId="0" borderId="0" xfId="4" applyNumberFormat="1" applyFont="1" applyFill="1" applyBorder="1"/>
    <xf numFmtId="164" fontId="30" fillId="0" borderId="0" xfId="0" applyNumberFormat="1" applyFont="1" applyFill="1" applyBorder="1"/>
    <xf numFmtId="0" fontId="80" fillId="11" borderId="0" xfId="0" applyFont="1" applyFill="1" applyAlignment="1">
      <alignment horizontal="center"/>
    </xf>
    <xf numFmtId="42" fontId="0" fillId="9" borderId="3" xfId="4" applyNumberFormat="1" applyFont="1" applyFill="1" applyBorder="1" applyAlignment="1"/>
    <xf numFmtId="0" fontId="1" fillId="6" borderId="0" xfId="0" applyFont="1" applyFill="1" applyAlignment="1">
      <alignment horizontal="center"/>
    </xf>
    <xf numFmtId="0" fontId="0" fillId="0" borderId="1" xfId="0" applyNumberFormat="1" applyFont="1" applyFill="1" applyBorder="1" applyAlignment="1">
      <alignment horizontal="left"/>
    </xf>
    <xf numFmtId="164" fontId="30" fillId="0" borderId="8" xfId="0" applyNumberFormat="1" applyFont="1" applyFill="1" applyBorder="1"/>
    <xf numFmtId="3" fontId="0" fillId="0" borderId="0" xfId="0" applyNumberFormat="1" applyFont="1" applyFill="1" applyBorder="1" applyAlignment="1">
      <alignment horizontal="right"/>
    </xf>
    <xf numFmtId="3" fontId="79" fillId="0" borderId="8" xfId="0" applyNumberFormat="1" applyFont="1" applyFill="1" applyBorder="1" applyAlignment="1">
      <alignment horizontal="right"/>
    </xf>
    <xf numFmtId="3" fontId="79" fillId="0" borderId="0" xfId="0" applyNumberFormat="1" applyFont="1" applyFill="1" applyBorder="1" applyAlignment="1">
      <alignment horizontal="right"/>
    </xf>
    <xf numFmtId="0" fontId="79" fillId="7" borderId="0" xfId="0" applyFont="1" applyFill="1"/>
    <xf numFmtId="0" fontId="0" fillId="0" borderId="0" xfId="0" applyNumberFormat="1" applyFont="1" applyAlignment="1">
      <alignment horizontal="left"/>
    </xf>
    <xf numFmtId="37" fontId="83" fillId="6" borderId="19" xfId="0" applyNumberFormat="1" applyFont="1" applyFill="1" applyBorder="1"/>
    <xf numFmtId="37" fontId="83" fillId="6" borderId="20" xfId="0" applyNumberFormat="1" applyFont="1" applyFill="1" applyBorder="1"/>
    <xf numFmtId="37" fontId="83" fillId="6" borderId="21" xfId="0" applyNumberFormat="1" applyFont="1" applyFill="1" applyBorder="1"/>
    <xf numFmtId="37" fontId="0" fillId="10" borderId="19" xfId="0" applyNumberFormat="1" applyFont="1" applyFill="1" applyBorder="1"/>
    <xf numFmtId="0" fontId="0" fillId="10" borderId="19" xfId="0" applyFont="1" applyFill="1" applyBorder="1" applyAlignment="1">
      <alignment wrapText="1"/>
    </xf>
    <xf numFmtId="0" fontId="0" fillId="10" borderId="19" xfId="0" applyFont="1" applyFill="1" applyBorder="1" applyAlignment="1">
      <alignment wrapText="1"/>
    </xf>
    <xf numFmtId="0" fontId="0" fillId="10" borderId="19" xfId="0" applyFont="1" applyFill="1" applyBorder="1" applyAlignment="1">
      <alignment horizontal="left" wrapText="1"/>
    </xf>
    <xf numFmtId="0" fontId="84" fillId="6" borderId="0" xfId="0" applyFont="1" applyFill="1" applyAlignment="1">
      <alignment horizontal="center"/>
    </xf>
    <xf numFmtId="0" fontId="85" fillId="6" borderId="0" xfId="0" applyFont="1" applyFill="1" applyAlignment="1">
      <alignment horizontal="center"/>
    </xf>
    <xf numFmtId="9" fontId="79" fillId="0" borderId="0" xfId="1" applyFont="1" applyFill="1" applyBorder="1" applyAlignment="1">
      <alignment horizontal="center"/>
    </xf>
    <xf numFmtId="3" fontId="4" fillId="9" borderId="0" xfId="0" applyNumberFormat="1" applyFont="1" applyFill="1" applyAlignment="1"/>
    <xf numFmtId="3" fontId="4" fillId="9" borderId="4" xfId="0" applyNumberFormat="1" applyFont="1" applyFill="1" applyBorder="1" applyAlignment="1"/>
    <xf numFmtId="3" fontId="79" fillId="0" borderId="35" xfId="0" applyNumberFormat="1" applyFont="1" applyFill="1" applyBorder="1" applyAlignment="1">
      <alignment horizontal="right"/>
    </xf>
    <xf numFmtId="164" fontId="79" fillId="0" borderId="0" xfId="4" applyNumberFormat="1" applyFont="1" applyFill="1" applyBorder="1"/>
    <xf numFmtId="0" fontId="0" fillId="0" borderId="0" xfId="0" applyNumberFormat="1" applyFont="1" applyFill="1" applyBorder="1" applyAlignment="1"/>
    <xf numFmtId="37" fontId="79" fillId="0" borderId="16" xfId="0" applyNumberFormat="1" applyFont="1" applyFill="1" applyBorder="1" applyAlignment="1">
      <alignment horizontal="center"/>
    </xf>
    <xf numFmtId="3" fontId="4" fillId="9" borderId="0" xfId="0" applyNumberFormat="1" applyFont="1" applyFill="1" applyAlignment="1">
      <alignment horizontal="right"/>
    </xf>
    <xf numFmtId="3" fontId="4" fillId="9" borderId="4" xfId="0" applyNumberFormat="1" applyFont="1" applyFill="1" applyBorder="1" applyAlignment="1"/>
    <xf numFmtId="41" fontId="32" fillId="9" borderId="4" xfId="0" applyNumberFormat="1" applyFont="1" applyFill="1" applyBorder="1" applyAlignment="1">
      <alignment horizontal="right"/>
    </xf>
    <xf numFmtId="3" fontId="79" fillId="0" borderId="8" xfId="0" applyNumberFormat="1" applyFont="1" applyFill="1" applyBorder="1" applyAlignment="1"/>
    <xf numFmtId="3" fontId="4" fillId="9" borderId="0" xfId="0" applyNumberFormat="1" applyFont="1" applyFill="1" applyBorder="1" applyAlignment="1"/>
    <xf numFmtId="171" fontId="4" fillId="9" borderId="0" xfId="0" applyNumberFormat="1" applyFont="1" applyFill="1" applyAlignment="1"/>
    <xf numFmtId="3" fontId="79" fillId="0" borderId="16" xfId="0" applyNumberFormat="1" applyFont="1" applyFill="1" applyBorder="1" applyAlignment="1">
      <alignment horizontal="right"/>
    </xf>
    <xf numFmtId="3" fontId="79" fillId="0" borderId="0" xfId="0" applyNumberFormat="1" applyFont="1" applyFill="1" applyBorder="1" applyAlignment="1">
      <alignment horizontal="center"/>
    </xf>
    <xf numFmtId="10" fontId="4" fillId="9" borderId="0" xfId="0" applyNumberFormat="1" applyFont="1" applyFill="1"/>
    <xf numFmtId="176" fontId="79" fillId="0" borderId="16" xfId="4" applyNumberFormat="1" applyFont="1" applyFill="1" applyBorder="1" applyAlignment="1">
      <alignment horizontal="center"/>
    </xf>
    <xf numFmtId="0" fontId="79" fillId="0" borderId="0" xfId="0" applyFont="1" applyFill="1" applyBorder="1" applyAlignment="1">
      <alignment horizontal="center"/>
    </xf>
    <xf numFmtId="0" fontId="79" fillId="0" borderId="1" xfId="0" applyFont="1" applyFill="1" applyBorder="1" applyAlignment="1">
      <alignment horizontal="center"/>
    </xf>
    <xf numFmtId="3" fontId="4" fillId="9" borderId="4" xfId="0" applyNumberFormat="1" applyFont="1" applyFill="1" applyBorder="1"/>
    <xf numFmtId="3" fontId="79" fillId="0" borderId="8" xfId="0" applyNumberFormat="1" applyFont="1" applyFill="1" applyBorder="1" applyAlignment="1">
      <alignment horizontal="center"/>
    </xf>
    <xf numFmtId="3" fontId="82" fillId="0" borderId="36" xfId="0" applyNumberFormat="1" applyFont="1" applyFill="1" applyBorder="1" applyAlignment="1">
      <alignment horizontal="center"/>
    </xf>
    <xf numFmtId="3" fontId="0" fillId="0" borderId="8" xfId="0" applyNumberFormat="1" applyFont="1" applyBorder="1" applyAlignment="1">
      <alignment horizontal="center"/>
    </xf>
    <xf numFmtId="3" fontId="79" fillId="4" borderId="0" xfId="0" applyNumberFormat="1" applyFont="1" applyFill="1" applyBorder="1" applyAlignment="1">
      <alignment horizontal="center"/>
    </xf>
    <xf numFmtId="37" fontId="0" fillId="10" borderId="19" xfId="0" applyNumberFormat="1" applyFont="1" applyFill="1" applyBorder="1" applyAlignment="1">
      <alignment vertical="top"/>
    </xf>
    <xf numFmtId="42" fontId="0" fillId="9" borderId="0" xfId="4" applyNumberFormat="1" applyFont="1" applyFill="1" applyAlignment="1"/>
    <xf numFmtId="164" fontId="0" fillId="0" borderId="0" xfId="4" applyNumberFormat="1" applyFont="1" applyAlignment="1"/>
    <xf numFmtId="164" fontId="0" fillId="0" borderId="0" xfId="4" applyNumberFormat="1" applyFont="1" applyFill="1" applyAlignment="1"/>
    <xf numFmtId="164" fontId="0" fillId="9" borderId="0" xfId="4" applyNumberFormat="1" applyFont="1" applyFill="1" applyAlignment="1"/>
    <xf numFmtId="3" fontId="0" fillId="0" borderId="8" xfId="0" applyNumberFormat="1" applyFont="1" applyFill="1" applyBorder="1" applyAlignment="1">
      <alignment horizontal="right"/>
    </xf>
    <xf numFmtId="0" fontId="0" fillId="0" borderId="0" xfId="0" applyFont="1"/>
    <xf numFmtId="0" fontId="0" fillId="0" borderId="0" xfId="0" applyFont="1" applyBorder="1"/>
    <xf numFmtId="3" fontId="79" fillId="9" borderId="0" xfId="0" applyNumberFormat="1" applyFont="1" applyFill="1" applyAlignment="1"/>
    <xf numFmtId="3" fontId="79" fillId="9" borderId="4" xfId="0" applyNumberFormat="1" applyFont="1" applyFill="1" applyBorder="1" applyAlignment="1"/>
    <xf numFmtId="167" fontId="79" fillId="9" borderId="0" xfId="2" applyNumberFormat="1" applyFont="1" applyFill="1"/>
    <xf numFmtId="3" fontId="79" fillId="9" borderId="0" xfId="0" applyNumberFormat="1" applyFont="1" applyFill="1" applyBorder="1" applyAlignment="1"/>
    <xf numFmtId="37" fontId="79" fillId="9" borderId="0" xfId="0" applyNumberFormat="1" applyFont="1" applyFill="1" applyBorder="1" applyAlignment="1">
      <alignment horizontal="center"/>
    </xf>
    <xf numFmtId="164" fontId="0" fillId="9" borderId="0" xfId="4" applyNumberFormat="1" applyFont="1" applyFill="1" applyBorder="1" applyAlignment="1">
      <alignment wrapText="1"/>
    </xf>
    <xf numFmtId="164" fontId="0" fillId="9" borderId="0" xfId="4" applyNumberFormat="1" applyFont="1" applyFill="1" applyAlignment="1">
      <alignment vertical="center" wrapText="1"/>
    </xf>
    <xf numFmtId="37" fontId="0" fillId="9" borderId="0" xfId="0" applyNumberFormat="1" applyFont="1" applyFill="1" applyAlignment="1">
      <alignment horizontal="right" wrapText="1"/>
    </xf>
    <xf numFmtId="37" fontId="0" fillId="9" borderId="4" xfId="0" applyNumberFormat="1" applyFont="1" applyFill="1" applyBorder="1" applyAlignment="1">
      <alignment horizontal="right" wrapText="1"/>
    </xf>
    <xf numFmtId="0" fontId="0" fillId="9" borderId="0" xfId="0" applyFont="1" applyFill="1" applyAlignment="1">
      <alignment horizontal="right"/>
    </xf>
    <xf numFmtId="0" fontId="0" fillId="9" borderId="4" xfId="0" applyFont="1" applyFill="1" applyBorder="1" applyAlignment="1">
      <alignment horizontal="right"/>
    </xf>
    <xf numFmtId="0" fontId="0" fillId="9" borderId="0" xfId="0" applyFont="1" applyFill="1"/>
    <xf numFmtId="0" fontId="0" fillId="9" borderId="0" xfId="0" applyFont="1" applyFill="1" applyAlignment="1">
      <alignment horizontal="left" wrapText="1"/>
    </xf>
    <xf numFmtId="41" fontId="78" fillId="0" borderId="0" xfId="0" applyNumberFormat="1" applyFont="1" applyFill="1" applyBorder="1" applyAlignment="1">
      <alignment horizontal="left"/>
    </xf>
    <xf numFmtId="164" fontId="4" fillId="9" borderId="0" xfId="4" applyNumberFormat="1" applyFont="1" applyFill="1"/>
    <xf numFmtId="3" fontId="4" fillId="9" borderId="0" xfId="0" applyNumberFormat="1" applyFont="1" applyFill="1" applyBorder="1" applyAlignment="1">
      <alignment horizontal="right"/>
    </xf>
    <xf numFmtId="3" fontId="4" fillId="9" borderId="4" xfId="0" applyNumberFormat="1" applyFont="1" applyFill="1" applyBorder="1" applyAlignment="1">
      <alignment horizontal="right"/>
    </xf>
    <xf numFmtId="2" fontId="0" fillId="0" borderId="0" xfId="0" applyNumberFormat="1" applyFont="1" applyFill="1" applyAlignment="1">
      <alignment horizontal="right"/>
    </xf>
    <xf numFmtId="0" fontId="0" fillId="0" borderId="0" xfId="0" applyFont="1" applyFill="1"/>
    <xf numFmtId="2" fontId="0" fillId="0" borderId="0" xfId="0" applyNumberFormat="1" applyFont="1" applyFill="1"/>
    <xf numFmtId="2" fontId="0" fillId="0" borderId="0" xfId="0" applyNumberFormat="1" applyFont="1"/>
    <xf numFmtId="0" fontId="0" fillId="0" borderId="0" xfId="0" applyAlignment="1">
      <alignment horizontal="right"/>
    </xf>
    <xf numFmtId="164" fontId="88" fillId="0" borderId="8" xfId="0" applyNumberFormat="1" applyFont="1" applyFill="1" applyBorder="1"/>
    <xf numFmtId="164" fontId="88" fillId="0" borderId="0" xfId="0" applyNumberFormat="1" applyFont="1" applyFill="1" applyBorder="1"/>
    <xf numFmtId="164" fontId="88" fillId="0" borderId="7" xfId="4" applyNumberFormat="1" applyFont="1" applyFill="1" applyBorder="1"/>
    <xf numFmtId="164" fontId="88" fillId="0" borderId="0" xfId="4" applyNumberFormat="1" applyFont="1" applyFill="1" applyBorder="1"/>
    <xf numFmtId="167" fontId="88" fillId="0" borderId="13" xfId="2" applyNumberFormat="1" applyFont="1" applyFill="1" applyBorder="1"/>
    <xf numFmtId="0" fontId="88" fillId="0" borderId="8" xfId="0" applyFont="1" applyFill="1" applyBorder="1"/>
    <xf numFmtId="167" fontId="88" fillId="0" borderId="7" xfId="0" applyNumberFormat="1" applyFont="1" applyFill="1" applyBorder="1"/>
    <xf numFmtId="167" fontId="88" fillId="0" borderId="8" xfId="0" applyNumberFormat="1" applyFont="1" applyFill="1" applyBorder="1"/>
    <xf numFmtId="0" fontId="88" fillId="0" borderId="7" xfId="0" applyFont="1" applyFill="1" applyBorder="1"/>
    <xf numFmtId="175" fontId="0" fillId="10" borderId="19" xfId="7" applyNumberFormat="1" applyFont="1" applyFill="1" applyBorder="1" applyAlignment="1" applyProtection="1">
      <alignment horizontal="left" indent="1"/>
      <protection locked="0"/>
    </xf>
    <xf numFmtId="164" fontId="2" fillId="9" borderId="0" xfId="4" applyNumberFormat="1" applyFont="1" applyFill="1" applyAlignment="1"/>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0" xfId="0" applyFont="1" applyFill="1" applyAlignment="1">
      <alignment horizontal="center" wrapText="1"/>
    </xf>
    <xf numFmtId="3" fontId="0" fillId="0" borderId="0" xfId="0" applyNumberFormat="1" applyFont="1" applyFill="1" applyAlignment="1"/>
    <xf numFmtId="166" fontId="0" fillId="0" borderId="0" xfId="0" applyNumberFormat="1" applyFont="1" applyFill="1"/>
    <xf numFmtId="0" fontId="0" fillId="0" borderId="0" xfId="0" applyNumberFormat="1" applyFont="1" applyFill="1"/>
    <xf numFmtId="164" fontId="1" fillId="0" borderId="0" xfId="0" applyNumberFormat="1" applyFont="1" applyFill="1"/>
    <xf numFmtId="43" fontId="0" fillId="0" borderId="0" xfId="0" applyNumberFormat="1" applyFont="1" applyFill="1"/>
    <xf numFmtId="0" fontId="0" fillId="0" borderId="16" xfId="0" applyFont="1" applyFill="1" applyBorder="1" applyAlignment="1">
      <alignment horizontal="center"/>
    </xf>
    <xf numFmtId="0" fontId="0" fillId="0" borderId="15" xfId="0" applyFont="1" applyFill="1" applyBorder="1" applyAlignment="1">
      <alignment horizontal="center"/>
    </xf>
    <xf numFmtId="3" fontId="0" fillId="0" borderId="0" xfId="0" applyNumberFormat="1" applyFont="1" applyFill="1" applyAlignment="1">
      <alignment horizontal="right" wrapText="1"/>
    </xf>
    <xf numFmtId="167" fontId="0" fillId="0" borderId="0" xfId="2" applyNumberFormat="1" applyFont="1" applyFill="1" applyBorder="1" applyAlignment="1">
      <alignment horizontal="center"/>
    </xf>
    <xf numFmtId="164" fontId="71" fillId="0" borderId="0" xfId="0" applyNumberFormat="1" applyFont="1" applyFill="1" applyBorder="1"/>
    <xf numFmtId="164" fontId="71" fillId="0" borderId="0" xfId="0" applyNumberFormat="1" applyFont="1" applyFill="1"/>
    <xf numFmtId="172" fontId="30" fillId="0" borderId="8" xfId="0" applyNumberFormat="1" applyFont="1" applyFill="1" applyBorder="1"/>
    <xf numFmtId="37" fontId="0" fillId="10" borderId="19" xfId="0" applyNumberFormat="1" applyFont="1" applyFill="1" applyBorder="1"/>
    <xf numFmtId="0" fontId="0" fillId="6" borderId="0" xfId="0" applyFont="1" applyFill="1"/>
    <xf numFmtId="175" fontId="0" fillId="10" borderId="18" xfId="7" applyNumberFormat="1" applyFont="1" applyFill="1" applyBorder="1" applyAlignment="1" applyProtection="1">
      <alignment horizontal="left" indent="1"/>
      <protection locked="0"/>
    </xf>
    <xf numFmtId="175" fontId="0" fillId="10" borderId="32" xfId="7" applyNumberFormat="1" applyFont="1" applyFill="1" applyBorder="1" applyAlignment="1" applyProtection="1">
      <alignment horizontal="left" indent="1"/>
      <protection locked="0"/>
    </xf>
    <xf numFmtId="37" fontId="89" fillId="10" borderId="19" xfId="0" applyNumberFormat="1" applyFont="1" applyFill="1" applyBorder="1"/>
    <xf numFmtId="3" fontId="79" fillId="0" borderId="1" xfId="0" applyNumberFormat="1" applyFont="1" applyFill="1" applyBorder="1" applyAlignment="1">
      <alignment horizontal="center"/>
    </xf>
    <xf numFmtId="0" fontId="0" fillId="0" borderId="0" xfId="0" applyNumberFormat="1" applyFont="1" applyFill="1" applyBorder="1" applyAlignment="1">
      <alignment horizontal="left"/>
    </xf>
    <xf numFmtId="0" fontId="30" fillId="9" borderId="9" xfId="0" applyFont="1" applyFill="1" applyBorder="1" applyAlignment="1">
      <alignment horizontal="center"/>
    </xf>
    <xf numFmtId="41" fontId="81" fillId="9" borderId="8" xfId="0" applyNumberFormat="1" applyFont="1" applyFill="1" applyBorder="1" applyAlignment="1"/>
    <xf numFmtId="41" fontId="30" fillId="0" borderId="8" xfId="4" applyNumberFormat="1" applyFont="1" applyBorder="1"/>
    <xf numFmtId="41" fontId="30" fillId="9" borderId="8" xfId="4" applyNumberFormat="1" applyFont="1" applyFill="1" applyBorder="1"/>
    <xf numFmtId="41" fontId="81" fillId="9" borderId="8" xfId="4" applyNumberFormat="1" applyFont="1" applyFill="1" applyBorder="1"/>
    <xf numFmtId="41" fontId="70" fillId="9" borderId="8" xfId="4" applyNumberFormat="1" applyFont="1" applyFill="1" applyBorder="1"/>
    <xf numFmtId="41" fontId="30" fillId="4" borderId="8" xfId="4" applyNumberFormat="1" applyFont="1" applyFill="1" applyBorder="1"/>
    <xf numFmtId="41" fontId="56" fillId="4" borderId="8" xfId="4" applyNumberFormat="1" applyFont="1" applyFill="1" applyBorder="1"/>
    <xf numFmtId="164" fontId="30" fillId="0" borderId="1" xfId="0" applyNumberFormat="1" applyFont="1" applyBorder="1"/>
    <xf numFmtId="164" fontId="30" fillId="0" borderId="15" xfId="4" applyNumberFormat="1" applyFont="1" applyBorder="1"/>
    <xf numFmtId="0" fontId="78" fillId="10" borderId="19" xfId="0" applyFont="1" applyFill="1" applyBorder="1" applyAlignment="1">
      <alignment wrapText="1"/>
    </xf>
    <xf numFmtId="41" fontId="0" fillId="0" borderId="0" xfId="0" applyNumberFormat="1" applyFont="1" applyFill="1"/>
    <xf numFmtId="41" fontId="76" fillId="0" borderId="0" xfId="0" applyNumberFormat="1" applyFont="1" applyFill="1"/>
    <xf numFmtId="41" fontId="32" fillId="0" borderId="0" xfId="0" applyNumberFormat="1" applyFont="1" applyFill="1"/>
    <xf numFmtId="41" fontId="0" fillId="0" borderId="0" xfId="0" applyNumberFormat="1" applyFont="1"/>
    <xf numFmtId="41" fontId="78" fillId="0" borderId="0" xfId="0" quotePrefix="1" applyNumberFormat="1" applyFont="1"/>
    <xf numFmtId="41" fontId="78" fillId="0" borderId="0" xfId="0" quotePrefix="1" applyNumberFormat="1" applyFont="1" applyAlignment="1">
      <alignment horizontal="center"/>
    </xf>
    <xf numFmtId="0" fontId="1" fillId="0" borderId="0" xfId="0" applyNumberFormat="1" applyFont="1" applyAlignment="1">
      <alignment horizontal="center"/>
    </xf>
    <xf numFmtId="0" fontId="12" fillId="0" borderId="0" xfId="0" applyFont="1" applyAlignment="1">
      <alignment horizontal="center"/>
    </xf>
    <xf numFmtId="0" fontId="49" fillId="0" borderId="0" xfId="0" applyFont="1" applyFill="1" applyBorder="1" applyAlignment="1">
      <alignment horizontal="center"/>
    </xf>
    <xf numFmtId="0" fontId="21" fillId="5" borderId="10" xfId="0" applyFont="1" applyFill="1" applyBorder="1" applyAlignment="1">
      <alignment horizontal="center"/>
    </xf>
    <xf numFmtId="0" fontId="21" fillId="5" borderId="11" xfId="0" applyFont="1" applyFill="1" applyBorder="1" applyAlignment="1">
      <alignment horizontal="center"/>
    </xf>
    <xf numFmtId="0" fontId="24" fillId="0" borderId="10" xfId="0" applyFont="1" applyFill="1" applyBorder="1" applyAlignment="1">
      <alignment horizontal="left"/>
    </xf>
    <xf numFmtId="0" fontId="45" fillId="5" borderId="16" xfId="0" applyFont="1" applyFill="1" applyBorder="1" applyAlignment="1">
      <alignment horizontal="left"/>
    </xf>
    <xf numFmtId="0" fontId="45" fillId="5" borderId="1" xfId="0" applyFont="1" applyFill="1" applyBorder="1" applyAlignment="1">
      <alignment horizontal="left"/>
    </xf>
    <xf numFmtId="0" fontId="24" fillId="5" borderId="9" xfId="0" applyFont="1" applyFill="1" applyBorder="1" applyAlignment="1">
      <alignment horizontal="left"/>
    </xf>
    <xf numFmtId="0" fontId="24" fillId="5" borderId="10" xfId="0" applyFont="1" applyFill="1" applyBorder="1" applyAlignment="1">
      <alignment horizontal="left"/>
    </xf>
    <xf numFmtId="0" fontId="19" fillId="3" borderId="0" xfId="0" applyFont="1" applyFill="1" applyBorder="1" applyAlignment="1">
      <alignment horizontal="left"/>
    </xf>
    <xf numFmtId="0" fontId="0" fillId="6" borderId="0" xfId="0" applyFont="1" applyFill="1" applyAlignment="1">
      <alignment horizontal="center"/>
    </xf>
    <xf numFmtId="0" fontId="1" fillId="6" borderId="0" xfId="0" applyFont="1" applyFill="1" applyAlignment="1">
      <alignment horizontal="center"/>
    </xf>
    <xf numFmtId="0" fontId="66" fillId="6" borderId="0" xfId="0" applyFont="1" applyFill="1" applyAlignment="1">
      <alignment horizontal="center"/>
    </xf>
    <xf numFmtId="0" fontId="1" fillId="0" borderId="37" xfId="0" applyFont="1" applyFill="1" applyBorder="1" applyAlignment="1">
      <alignment horizontal="left"/>
    </xf>
    <xf numFmtId="0" fontId="1" fillId="0" borderId="38" xfId="0" applyFont="1" applyFill="1" applyBorder="1" applyAlignment="1">
      <alignment horizontal="left"/>
    </xf>
    <xf numFmtId="0" fontId="1" fillId="6" borderId="37" xfId="0" applyFont="1" applyFill="1" applyBorder="1" applyAlignment="1">
      <alignment horizontal="left"/>
    </xf>
    <xf numFmtId="0" fontId="1" fillId="6" borderId="38" xfId="0" applyFont="1" applyFill="1" applyBorder="1" applyAlignment="1">
      <alignment horizontal="left"/>
    </xf>
    <xf numFmtId="0" fontId="63" fillId="6" borderId="0" xfId="0" applyFont="1" applyFill="1" applyBorder="1" applyAlignment="1">
      <alignment horizontal="center"/>
    </xf>
    <xf numFmtId="175" fontId="0" fillId="10" borderId="18" xfId="7" applyNumberFormat="1" applyFont="1" applyFill="1" applyBorder="1" applyAlignment="1" applyProtection="1">
      <alignment horizontal="left" indent="1"/>
      <protection locked="0"/>
    </xf>
    <xf numFmtId="175" fontId="0" fillId="10" borderId="32" xfId="7" applyNumberFormat="1" applyFont="1" applyFill="1" applyBorder="1" applyAlignment="1" applyProtection="1">
      <alignment horizontal="left" indent="1"/>
      <protection locked="0"/>
    </xf>
    <xf numFmtId="0" fontId="9" fillId="6" borderId="25" xfId="0" applyFont="1" applyFill="1" applyBorder="1" applyAlignment="1">
      <alignment vertical="top" wrapText="1"/>
    </xf>
    <xf numFmtId="0" fontId="9" fillId="6" borderId="0" xfId="0" applyFont="1" applyFill="1" applyBorder="1" applyAlignment="1">
      <alignment vertical="top" wrapText="1"/>
    </xf>
    <xf numFmtId="0" fontId="9" fillId="6" borderId="26" xfId="0" applyFont="1" applyFill="1" applyBorder="1" applyAlignment="1">
      <alignment vertical="top" wrapText="1"/>
    </xf>
    <xf numFmtId="0" fontId="9" fillId="6" borderId="39" xfId="0" applyFont="1" applyFill="1" applyBorder="1" applyAlignment="1">
      <alignment horizontal="left" wrapText="1"/>
    </xf>
    <xf numFmtId="0" fontId="9" fillId="6" borderId="4" xfId="0" applyFont="1" applyFill="1" applyBorder="1" applyAlignment="1">
      <alignment horizontal="left" wrapText="1"/>
    </xf>
    <xf numFmtId="0" fontId="9" fillId="6" borderId="40" xfId="0" applyFont="1" applyFill="1" applyBorder="1" applyAlignment="1">
      <alignment horizontal="left" wrapText="1"/>
    </xf>
    <xf numFmtId="0" fontId="12" fillId="6" borderId="0" xfId="0" applyFont="1" applyFill="1" applyAlignment="1">
      <alignment horizontal="center"/>
    </xf>
    <xf numFmtId="0" fontId="21" fillId="6" borderId="0" xfId="0" applyFont="1" applyFill="1" applyAlignment="1"/>
    <xf numFmtId="0" fontId="9" fillId="6" borderId="25" xfId="0" applyFont="1" applyFill="1" applyBorder="1" applyAlignment="1">
      <alignment horizontal="left" wrapText="1"/>
    </xf>
    <xf numFmtId="0" fontId="9" fillId="6" borderId="0" xfId="0" applyFont="1" applyFill="1" applyBorder="1" applyAlignment="1">
      <alignment horizontal="left" wrapText="1"/>
    </xf>
    <xf numFmtId="0" fontId="9" fillId="6" borderId="26" xfId="0" applyFont="1" applyFill="1" applyBorder="1" applyAlignment="1">
      <alignment horizontal="left" wrapText="1"/>
    </xf>
    <xf numFmtId="0" fontId="12" fillId="6" borderId="0" xfId="0" applyFont="1" applyFill="1" applyBorder="1" applyAlignment="1">
      <alignment horizontal="center"/>
    </xf>
    <xf numFmtId="0" fontId="2" fillId="6" borderId="0" xfId="8" applyFont="1" applyFill="1" applyBorder="1" applyAlignment="1">
      <alignment horizontal="left"/>
    </xf>
    <xf numFmtId="0" fontId="0" fillId="6" borderId="0" xfId="0" applyFont="1" applyFill="1" applyBorder="1" applyAlignment="1">
      <alignment horizontal="center"/>
    </xf>
    <xf numFmtId="0" fontId="2" fillId="6" borderId="0" xfId="0" applyFont="1" applyFill="1"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xf numFmtId="0" fontId="28" fillId="0" borderId="0" xfId="0" applyFont="1" applyAlignment="1">
      <alignment horizontal="center"/>
    </xf>
    <xf numFmtId="0" fontId="0" fillId="0" borderId="0" xfId="0" applyAlignment="1"/>
    <xf numFmtId="0" fontId="34" fillId="0" borderId="0" xfId="0" applyFont="1" applyAlignment="1">
      <alignment horizontal="center"/>
    </xf>
    <xf numFmtId="0" fontId="9" fillId="4" borderId="41" xfId="0" applyFont="1" applyFill="1" applyBorder="1" applyAlignment="1">
      <alignment horizontal="center" wrapText="1"/>
    </xf>
    <xf numFmtId="0" fontId="9" fillId="4" borderId="27" xfId="0" applyFont="1" applyFill="1" applyBorder="1" applyAlignment="1">
      <alignment horizontal="center" wrapText="1"/>
    </xf>
    <xf numFmtId="0" fontId="9" fillId="4" borderId="30" xfId="0" applyFont="1" applyFill="1" applyBorder="1" applyAlignment="1">
      <alignment horizontal="center" wrapText="1"/>
    </xf>
    <xf numFmtId="3"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7" xfId="0" applyFont="1" applyBorder="1" applyAlignment="1">
      <alignment horizontal="left" wrapText="1"/>
    </xf>
    <xf numFmtId="0" fontId="1" fillId="0" borderId="1" xfId="0" applyFont="1" applyFill="1" applyBorder="1" applyAlignment="1">
      <alignment horizontal="left" wrapText="1"/>
    </xf>
    <xf numFmtId="0" fontId="1" fillId="0" borderId="15" xfId="0" applyFont="1" applyFill="1" applyBorder="1" applyAlignment="1">
      <alignment horizontal="left" wrapText="1"/>
    </xf>
    <xf numFmtId="0" fontId="0" fillId="0" borderId="0" xfId="0" applyNumberFormat="1" applyFont="1" applyFill="1" applyBorder="1" applyAlignment="1">
      <alignment horizontal="left"/>
    </xf>
    <xf numFmtId="0" fontId="0" fillId="0" borderId="7" xfId="0" applyNumberFormat="1" applyFont="1" applyFill="1" applyBorder="1" applyAlignment="1">
      <alignment horizontal="left"/>
    </xf>
    <xf numFmtId="0" fontId="0" fillId="0" borderId="1" xfId="0" applyNumberFormat="1" applyFont="1" applyFill="1" applyBorder="1" applyAlignment="1">
      <alignment horizontal="left"/>
    </xf>
    <xf numFmtId="0" fontId="0" fillId="0" borderId="15" xfId="0" applyNumberFormat="1" applyFont="1" applyFill="1" applyBorder="1" applyAlignment="1">
      <alignment horizontal="left"/>
    </xf>
    <xf numFmtId="164" fontId="0" fillId="0" borderId="1" xfId="0" applyNumberFormat="1" applyFont="1" applyFill="1" applyBorder="1" applyAlignment="1">
      <alignment horizontal="left" wrapText="1"/>
    </xf>
    <xf numFmtId="164" fontId="0" fillId="0" borderId="15" xfId="0" applyNumberFormat="1" applyFont="1" applyFill="1" applyBorder="1" applyAlignment="1">
      <alignment horizontal="left" wrapText="1"/>
    </xf>
    <xf numFmtId="3" fontId="0" fillId="0" borderId="1" xfId="0" applyNumberFormat="1" applyFont="1" applyBorder="1" applyAlignment="1">
      <alignment horizontal="left" wrapText="1"/>
    </xf>
    <xf numFmtId="0" fontId="0" fillId="0" borderId="1" xfId="0" applyFont="1" applyBorder="1" applyAlignment="1">
      <alignment horizontal="left" wrapText="1"/>
    </xf>
    <xf numFmtId="0" fontId="0" fillId="0" borderId="15" xfId="0" applyFont="1" applyBorder="1" applyAlignment="1">
      <alignment horizontal="left" wrapText="1"/>
    </xf>
    <xf numFmtId="0" fontId="0" fillId="0" borderId="0" xfId="0" applyFont="1" applyFill="1" applyBorder="1" applyAlignment="1">
      <alignment horizontal="left" wrapText="1"/>
    </xf>
    <xf numFmtId="0" fontId="0" fillId="0" borderId="7" xfId="0" applyFont="1" applyFill="1" applyBorder="1" applyAlignment="1">
      <alignment horizontal="left" wrapText="1"/>
    </xf>
    <xf numFmtId="0" fontId="0" fillId="9" borderId="1" xfId="0" applyFont="1" applyFill="1" applyBorder="1" applyAlignment="1">
      <alignment horizontal="left" wrapText="1"/>
    </xf>
    <xf numFmtId="0" fontId="0" fillId="9" borderId="15" xfId="0" applyFont="1" applyFill="1" applyBorder="1" applyAlignment="1">
      <alignment horizontal="left" wrapText="1"/>
    </xf>
    <xf numFmtId="0" fontId="0" fillId="0" borderId="1" xfId="0" applyFont="1" applyFill="1" applyBorder="1" applyAlignment="1">
      <alignment horizontal="left" wrapText="1"/>
    </xf>
    <xf numFmtId="0" fontId="0" fillId="0" borderId="15" xfId="0" applyFont="1" applyFill="1" applyBorder="1" applyAlignment="1">
      <alignment horizontal="left" wrapText="1"/>
    </xf>
    <xf numFmtId="0" fontId="9" fillId="4" borderId="41" xfId="0" applyFont="1" applyFill="1" applyBorder="1" applyAlignment="1">
      <alignment horizontal="left" wrapText="1"/>
    </xf>
    <xf numFmtId="0" fontId="3" fillId="4" borderId="27" xfId="0" applyFont="1" applyFill="1" applyBorder="1" applyAlignment="1">
      <alignment horizontal="left" wrapText="1"/>
    </xf>
    <xf numFmtId="0" fontId="3" fillId="4" borderId="30" xfId="0" applyFont="1" applyFill="1" applyBorder="1" applyAlignment="1">
      <alignment horizontal="left" wrapText="1"/>
    </xf>
    <xf numFmtId="0" fontId="1" fillId="0" borderId="0" xfId="0" applyFont="1" applyFill="1" applyBorder="1" applyAlignment="1">
      <alignment horizontal="left" wrapText="1"/>
    </xf>
    <xf numFmtId="0" fontId="1" fillId="0" borderId="7" xfId="0" applyFont="1" applyFill="1" applyBorder="1" applyAlignment="1">
      <alignment horizontal="left" wrapText="1"/>
    </xf>
    <xf numFmtId="0" fontId="0" fillId="0" borderId="0" xfId="0" applyFont="1" applyBorder="1" applyAlignment="1">
      <alignment horizontal="center"/>
    </xf>
    <xf numFmtId="0" fontId="0" fillId="0" borderId="7" xfId="0" applyFont="1" applyBorder="1" applyAlignment="1">
      <alignment horizontal="center"/>
    </xf>
    <xf numFmtId="0" fontId="1" fillId="0" borderId="2" xfId="0" applyFont="1" applyFill="1" applyBorder="1" applyAlignment="1">
      <alignment horizontal="left" wrapText="1"/>
    </xf>
    <xf numFmtId="0" fontId="1" fillId="0" borderId="42" xfId="0" applyFont="1" applyFill="1" applyBorder="1" applyAlignment="1">
      <alignment horizontal="left" wrapText="1"/>
    </xf>
    <xf numFmtId="0" fontId="1" fillId="0" borderId="0" xfId="0" applyFont="1" applyFill="1" applyBorder="1" applyAlignment="1">
      <alignment horizontal="center" wrapText="1"/>
    </xf>
    <xf numFmtId="0" fontId="1" fillId="0" borderId="7" xfId="0" applyFont="1" applyFill="1" applyBorder="1" applyAlignment="1">
      <alignment horizontal="center" wrapText="1"/>
    </xf>
    <xf numFmtId="164" fontId="1" fillId="0" borderId="16" xfId="4" applyNumberFormat="1" applyFont="1" applyFill="1" applyBorder="1" applyAlignment="1">
      <alignment horizontal="center"/>
    </xf>
    <xf numFmtId="164" fontId="1" fillId="0" borderId="1" xfId="4" applyNumberFormat="1" applyFont="1" applyFill="1" applyBorder="1" applyAlignment="1">
      <alignment horizontal="center"/>
    </xf>
    <xf numFmtId="164" fontId="0" fillId="0" borderId="1" xfId="4" applyNumberFormat="1" applyFont="1" applyFill="1" applyBorder="1" applyAlignment="1">
      <alignment horizontal="center"/>
    </xf>
    <xf numFmtId="164" fontId="1" fillId="0" borderId="1" xfId="4" applyNumberFormat="1" applyFont="1" applyFill="1" applyBorder="1" applyAlignment="1">
      <alignment horizontal="left"/>
    </xf>
    <xf numFmtId="164" fontId="0" fillId="0" borderId="1" xfId="4" applyNumberFormat="1" applyFont="1" applyFill="1" applyBorder="1" applyAlignment="1">
      <alignment horizontal="left"/>
    </xf>
    <xf numFmtId="164" fontId="1" fillId="0" borderId="35" xfId="4" applyNumberFormat="1" applyFont="1" applyFill="1" applyBorder="1" applyAlignment="1">
      <alignment horizontal="center"/>
    </xf>
    <xf numFmtId="164" fontId="1" fillId="0" borderId="2" xfId="4" applyNumberFormat="1" applyFont="1" applyFill="1" applyBorder="1" applyAlignment="1">
      <alignment horizontal="center"/>
    </xf>
    <xf numFmtId="164" fontId="1" fillId="0" borderId="0" xfId="4" applyNumberFormat="1" applyFont="1" applyFill="1" applyBorder="1" applyAlignment="1">
      <alignment horizontal="center"/>
    </xf>
    <xf numFmtId="164" fontId="0" fillId="0" borderId="0" xfId="4" applyNumberFormat="1" applyFont="1" applyFill="1" applyBorder="1" applyAlignment="1">
      <alignment horizontal="center"/>
    </xf>
    <xf numFmtId="0" fontId="9" fillId="4" borderId="27" xfId="0" applyFont="1" applyFill="1" applyBorder="1" applyAlignment="1">
      <alignment horizontal="left"/>
    </xf>
    <xf numFmtId="0" fontId="3" fillId="4" borderId="27" xfId="0" applyFont="1" applyFill="1" applyBorder="1" applyAlignment="1">
      <alignment horizontal="left"/>
    </xf>
    <xf numFmtId="2" fontId="1" fillId="0" borderId="8" xfId="0" applyNumberFormat="1" applyFont="1" applyFill="1" applyBorder="1" applyAlignment="1">
      <alignment horizontal="center"/>
    </xf>
    <xf numFmtId="2" fontId="1" fillId="0" borderId="0" xfId="0" applyNumberFormat="1" applyFont="1" applyFill="1" applyBorder="1" applyAlignment="1">
      <alignment horizontal="center"/>
    </xf>
    <xf numFmtId="2" fontId="0" fillId="0" borderId="0" xfId="0" applyNumberFormat="1" applyFont="1" applyFill="1" applyBorder="1" applyAlignment="1">
      <alignment horizontal="center"/>
    </xf>
    <xf numFmtId="2" fontId="1" fillId="0" borderId="0" xfId="0" applyNumberFormat="1" applyFont="1" applyFill="1" applyBorder="1" applyAlignment="1">
      <alignment horizontal="left"/>
    </xf>
    <xf numFmtId="0" fontId="0" fillId="0" borderId="0" xfId="0" applyFont="1" applyFill="1" applyBorder="1" applyAlignment="1">
      <alignment horizontal="left"/>
    </xf>
    <xf numFmtId="0" fontId="9" fillId="4" borderId="31" xfId="0" applyFont="1" applyFill="1" applyBorder="1" applyAlignment="1">
      <alignment horizontal="center"/>
    </xf>
    <xf numFmtId="0" fontId="9" fillId="4" borderId="27" xfId="0" applyFont="1" applyFill="1" applyBorder="1" applyAlignment="1">
      <alignment horizontal="center"/>
    </xf>
    <xf numFmtId="0" fontId="9" fillId="4" borderId="31" xfId="0" applyFont="1" applyFill="1" applyBorder="1" applyAlignment="1">
      <alignment horizontal="left" wrapText="1"/>
    </xf>
    <xf numFmtId="0" fontId="9" fillId="4" borderId="27" xfId="0" applyFont="1" applyFill="1" applyBorder="1" applyAlignment="1">
      <alignment horizontal="left" wrapText="1"/>
    </xf>
    <xf numFmtId="0" fontId="9" fillId="4" borderId="30" xfId="0" applyFont="1" applyFill="1" applyBorder="1" applyAlignment="1">
      <alignment horizontal="left" wrapText="1"/>
    </xf>
    <xf numFmtId="9" fontId="0" fillId="0" borderId="35" xfId="1" applyFont="1" applyFill="1" applyBorder="1" applyAlignment="1">
      <alignment horizontal="left" vertical="top" wrapText="1"/>
    </xf>
    <xf numFmtId="9" fontId="0" fillId="0" borderId="2" xfId="1" applyFont="1" applyFill="1" applyBorder="1" applyAlignment="1">
      <alignment horizontal="left" vertical="top" wrapText="1"/>
    </xf>
    <xf numFmtId="9" fontId="0" fillId="0" borderId="42" xfId="1" applyFont="1" applyFill="1" applyBorder="1" applyAlignment="1">
      <alignment horizontal="left" vertical="top" wrapText="1"/>
    </xf>
    <xf numFmtId="0" fontId="9" fillId="4" borderId="30" xfId="0" applyFont="1" applyFill="1" applyBorder="1" applyAlignment="1">
      <alignment horizontal="center"/>
    </xf>
    <xf numFmtId="9" fontId="0" fillId="0" borderId="8" xfId="1" applyFont="1" applyFill="1" applyBorder="1" applyAlignment="1">
      <alignment horizontal="left" vertical="top" wrapText="1"/>
    </xf>
    <xf numFmtId="9" fontId="0" fillId="0" borderId="0" xfId="1" applyFont="1" applyFill="1" applyBorder="1" applyAlignment="1">
      <alignment horizontal="left" vertical="top" wrapText="1"/>
    </xf>
    <xf numFmtId="9" fontId="0" fillId="0" borderId="7" xfId="1" applyFont="1" applyFill="1" applyBorder="1" applyAlignment="1">
      <alignment horizontal="left" vertical="top" wrapText="1"/>
    </xf>
    <xf numFmtId="0" fontId="0" fillId="0" borderId="2" xfId="0" applyFont="1" applyFill="1" applyBorder="1" applyAlignment="1">
      <alignment horizontal="left" wrapText="1"/>
    </xf>
    <xf numFmtId="0" fontId="0" fillId="0" borderId="42" xfId="0" applyFont="1" applyFill="1" applyBorder="1" applyAlignment="1">
      <alignment horizontal="left" wrapText="1"/>
    </xf>
    <xf numFmtId="9" fontId="0" fillId="0" borderId="16" xfId="1" applyFont="1" applyFill="1" applyBorder="1" applyAlignment="1">
      <alignment horizontal="left" vertical="top" wrapText="1"/>
    </xf>
    <xf numFmtId="9" fontId="0" fillId="0" borderId="1" xfId="1" applyFont="1" applyFill="1" applyBorder="1" applyAlignment="1">
      <alignment horizontal="left" vertical="top" wrapText="1"/>
    </xf>
    <xf numFmtId="9" fontId="0" fillId="0" borderId="15" xfId="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3" fillId="4" borderId="27" xfId="0" applyFont="1" applyFill="1" applyBorder="1" applyAlignment="1">
      <alignment horizontal="center"/>
    </xf>
    <xf numFmtId="0" fontId="1" fillId="0" borderId="1" xfId="0" applyFont="1" applyFill="1" applyBorder="1" applyAlignment="1">
      <alignment horizontal="center" wrapText="1"/>
    </xf>
    <xf numFmtId="0" fontId="1" fillId="0" borderId="15" xfId="0" applyFont="1" applyFill="1" applyBorder="1" applyAlignment="1">
      <alignment horizontal="center" wrapText="1"/>
    </xf>
    <xf numFmtId="164" fontId="1" fillId="0" borderId="0" xfId="4" applyNumberFormat="1" applyFont="1" applyFill="1" applyBorder="1" applyAlignment="1">
      <alignment horizontal="left"/>
    </xf>
    <xf numFmtId="164" fontId="0" fillId="0" borderId="0" xfId="4" applyNumberFormat="1" applyFont="1" applyFill="1" applyBorder="1" applyAlignment="1">
      <alignment horizontal="left"/>
    </xf>
    <xf numFmtId="3" fontId="0" fillId="0" borderId="0" xfId="0" applyNumberFormat="1" applyBorder="1" applyAlignment="1">
      <alignment horizontal="left" wrapText="1"/>
    </xf>
    <xf numFmtId="3" fontId="79" fillId="0" borderId="0" xfId="0" applyNumberFormat="1" applyFont="1" applyBorder="1" applyAlignment="1">
      <alignment horizontal="left" wrapText="1"/>
    </xf>
    <xf numFmtId="3" fontId="79" fillId="0" borderId="7" xfId="0" applyNumberFormat="1" applyFont="1" applyBorder="1" applyAlignment="1">
      <alignment horizontal="left" wrapText="1"/>
    </xf>
    <xf numFmtId="0" fontId="9" fillId="0" borderId="0" xfId="0" applyFont="1" applyFill="1" applyBorder="1" applyAlignment="1">
      <alignment horizontal="left" wrapText="1"/>
    </xf>
    <xf numFmtId="3" fontId="0" fillId="0" borderId="0" xfId="0" applyNumberFormat="1" applyFont="1" applyFill="1" applyBorder="1" applyAlignment="1">
      <alignment horizontal="left" wrapText="1"/>
    </xf>
    <xf numFmtId="3" fontId="11" fillId="0" borderId="0" xfId="0" applyNumberFormat="1" applyFont="1" applyFill="1" applyBorder="1" applyAlignment="1">
      <alignment horizontal="left" wrapText="1"/>
    </xf>
    <xf numFmtId="0" fontId="0" fillId="0" borderId="0" xfId="0" applyFont="1" applyFill="1" applyAlignment="1">
      <alignment horizontal="left" vertical="top" wrapText="1"/>
    </xf>
    <xf numFmtId="0" fontId="0" fillId="0" borderId="0" xfId="0" applyFont="1" applyFill="1" applyAlignment="1">
      <alignment vertical="top"/>
    </xf>
    <xf numFmtId="0" fontId="0" fillId="0" borderId="9" xfId="0" applyFont="1" applyBorder="1" applyAlignment="1">
      <alignment horizontal="center"/>
    </xf>
    <xf numFmtId="0" fontId="0" fillId="0" borderId="11" xfId="0" applyFont="1" applyBorder="1" applyAlignment="1">
      <alignment horizontal="center"/>
    </xf>
    <xf numFmtId="0" fontId="0" fillId="0" borderId="0" xfId="0" applyFont="1" applyAlignment="1">
      <alignment horizontal="left" vertical="top" wrapText="1"/>
    </xf>
    <xf numFmtId="0" fontId="0" fillId="0" borderId="0" xfId="0" applyFont="1" applyAlignment="1">
      <alignment vertical="top"/>
    </xf>
    <xf numFmtId="0" fontId="0" fillId="0" borderId="0" xfId="0" applyFont="1" applyFill="1" applyBorder="1" applyAlignment="1">
      <alignment horizontal="center"/>
    </xf>
    <xf numFmtId="0" fontId="3" fillId="0" borderId="0" xfId="0" applyFont="1" applyFill="1" applyAlignment="1">
      <alignment horizontal="center"/>
    </xf>
    <xf numFmtId="0" fontId="0" fillId="0" borderId="9" xfId="0" applyFont="1" applyFill="1" applyBorder="1" applyAlignment="1">
      <alignment horizontal="center"/>
    </xf>
    <xf numFmtId="0" fontId="0" fillId="0" borderId="11" xfId="0" applyFont="1" applyFill="1" applyBorder="1" applyAlignment="1">
      <alignment horizontal="center"/>
    </xf>
    <xf numFmtId="0" fontId="87" fillId="12" borderId="6" xfId="0" applyFont="1" applyFill="1" applyBorder="1" applyAlignment="1">
      <alignment horizontal="center"/>
    </xf>
    <xf numFmtId="0" fontId="87" fillId="12" borderId="5" xfId="0" applyFont="1" applyFill="1" applyBorder="1" applyAlignment="1">
      <alignment horizontal="center"/>
    </xf>
    <xf numFmtId="0" fontId="90" fillId="12" borderId="5" xfId="0" applyFont="1" applyFill="1" applyBorder="1" applyAlignment="1">
      <alignment horizontal="center"/>
    </xf>
    <xf numFmtId="0" fontId="90" fillId="12" borderId="43" xfId="0" applyFont="1" applyFill="1" applyBorder="1" applyAlignment="1">
      <alignment horizontal="center"/>
    </xf>
  </cellXfs>
  <cellStyles count="16">
    <cellStyle name="Comma" xfId="4"/>
    <cellStyle name="Comma [0]" xfId="5"/>
    <cellStyle name="Comma 158" xfId="15"/>
    <cellStyle name="Currency" xfId="2"/>
    <cellStyle name="Currency [0]" xfId="3"/>
    <cellStyle name="Normal" xfId="0" builtinId="0"/>
    <cellStyle name="Normal_1995 FCWS" xfId="6"/>
    <cellStyle name="Normal_2002 Sch M Adds and Deducts 8-14-03" xfId="7"/>
    <cellStyle name="Normal_AR workpaper --2002 Def Tax Exp by Account 8-14-02" xfId="8"/>
    <cellStyle name="Percent" xfId="1"/>
    <cellStyle name="PSChar" xfId="9"/>
    <cellStyle name="PSDate" xfId="10"/>
    <cellStyle name="PSDec" xfId="11"/>
    <cellStyle name="PSHeading" xfId="12"/>
    <cellStyle name="PSInt" xfId="13"/>
    <cellStyle name="PSSpacer" xfId="14"/>
  </cellStyles>
  <dxfs count="0"/>
  <tableStyles count="0" defaultTableStyle="TableStyleMedium9" defaultPivotStyle="PivotStyleLight16"/>
  <colors>
    <mruColors>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sharedStrings.xml" Type="http://schemas.openxmlformats.org/officeDocument/2006/relationships/sharedStrings"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styles.xml" Type="http://schemas.openxmlformats.org/officeDocument/2006/relationships/styles"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theme/theme1.xml" Type="http://schemas.openxmlformats.org/officeDocument/2006/relationships/theme" Id="rId11"></Relationship><Relationship Target="worksheets/sheet5.xml" Type="http://schemas.openxmlformats.org/officeDocument/2006/relationships/worksheet" Id="rId5"></Relationship><Relationship Target="worksheets/sheet10.xml" Type="http://schemas.openxmlformats.org/officeDocument/2006/relationships/worksheet" Id="rId10"></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calcChain.xml" Type="http://schemas.openxmlformats.org/officeDocument/2006/relationships/calcChain" Id="rId14"></Relationship></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1"/>
  <sheetViews>
    <sheetView tabSelected="1" zoomScale="66" zoomScaleNormal="66" zoomScaleSheetLayoutView="85" workbookViewId="0">
      <pane ySplit="5" topLeftCell="A6" activePane="bottomLeft" state="frozen"/>
      <selection pane="bottomLeft"/>
    </sheetView>
  </sheetViews>
  <sheetFormatPr defaultColWidth="9.140625" defaultRowHeight="15"/>
  <cols>
    <col min="1" max="1" width="6" style="55" bestFit="1" customWidth="1"/>
    <col min="2" max="2" width="3.42578125" style="27" customWidth="1"/>
    <col min="3" max="3" width="62" style="27" customWidth="1"/>
    <col min="4" max="4" width="29.5703125" style="27" customWidth="1"/>
    <col min="5" max="5" width="19.42578125" style="77" customWidth="1"/>
    <col min="6" max="6" width="52.5703125" style="39" customWidth="1"/>
    <col min="7" max="7" width="2.7109375" style="39" customWidth="1"/>
    <col min="8" max="8" width="21.28515625" style="460" bestFit="1" customWidth="1"/>
    <col min="9" max="9" width="2.7109375" style="39" customWidth="1"/>
    <col min="10" max="16384" width="9.140625" style="39"/>
  </cols>
  <sheetData>
    <row r="1" spans="1:9" ht="21" customHeight="1">
      <c r="A1" s="165"/>
      <c r="B1" s="1170" t="s">
        <v>156</v>
      </c>
      <c r="C1" s="1170"/>
      <c r="D1" s="1170"/>
      <c r="E1" s="1170"/>
      <c r="F1" s="1170"/>
      <c r="G1" s="1170"/>
      <c r="H1" s="1170"/>
    </row>
    <row r="2" spans="1:9" ht="25.5" customHeight="1" thickBot="1">
      <c r="B2" s="43"/>
      <c r="C2" s="364"/>
      <c r="D2" s="1171"/>
      <c r="E2" s="1171"/>
      <c r="F2" s="1171"/>
      <c r="G2" s="44"/>
      <c r="H2" s="44"/>
    </row>
    <row r="3" spans="1:9" ht="27.75" customHeight="1" thickBot="1">
      <c r="A3" s="1177" t="s">
        <v>627</v>
      </c>
      <c r="B3" s="1178"/>
      <c r="C3" s="1178"/>
      <c r="D3" s="1172"/>
      <c r="E3" s="1172"/>
      <c r="F3" s="1173"/>
      <c r="H3" s="39"/>
    </row>
    <row r="4" spans="1:9" s="61" customFormat="1" ht="51" customHeight="1" thickBot="1">
      <c r="A4" s="1175" t="s">
        <v>624</v>
      </c>
      <c r="B4" s="1176"/>
      <c r="C4" s="1176"/>
      <c r="D4" s="237"/>
      <c r="E4" s="238" t="s">
        <v>518</v>
      </c>
      <c r="F4" s="239" t="s">
        <v>131</v>
      </c>
      <c r="G4" s="236"/>
      <c r="H4" s="1027" t="s">
        <v>849</v>
      </c>
    </row>
    <row r="5" spans="1:9" s="174" customFormat="1" ht="23.25" customHeight="1">
      <c r="A5" s="1174" t="s">
        <v>294</v>
      </c>
      <c r="B5" s="1174"/>
      <c r="C5" s="1174"/>
      <c r="D5" s="1174"/>
      <c r="E5" s="469"/>
      <c r="F5" s="172"/>
      <c r="G5" s="120"/>
      <c r="H5" s="173"/>
    </row>
    <row r="6" spans="1:9" s="44" customFormat="1" ht="15.75">
      <c r="A6" s="1179" t="s">
        <v>429</v>
      </c>
      <c r="B6" s="1179"/>
      <c r="C6" s="1179"/>
      <c r="D6" s="98"/>
      <c r="E6" s="470"/>
      <c r="F6" s="99"/>
      <c r="G6" s="99"/>
      <c r="H6" s="840"/>
    </row>
    <row r="7" spans="1:9" s="44" customFormat="1">
      <c r="A7" s="83"/>
      <c r="B7" s="68"/>
      <c r="C7" s="68"/>
      <c r="D7" s="68"/>
      <c r="E7" s="469"/>
      <c r="F7" s="89"/>
      <c r="G7" s="89"/>
      <c r="H7" s="841"/>
    </row>
    <row r="8" spans="1:9" ht="15.75">
      <c r="A8" s="398"/>
      <c r="B8" s="399" t="s">
        <v>434</v>
      </c>
      <c r="E8" s="471"/>
      <c r="F8" s="400"/>
      <c r="G8" s="401"/>
      <c r="H8" s="834"/>
    </row>
    <row r="9" spans="1:9">
      <c r="A9" s="26">
        <v>1</v>
      </c>
      <c r="B9" s="26"/>
      <c r="C9" s="89" t="s">
        <v>389</v>
      </c>
      <c r="D9" s="148"/>
      <c r="E9" s="302"/>
      <c r="F9" s="400" t="s">
        <v>571</v>
      </c>
      <c r="G9" s="27"/>
      <c r="H9" s="1111">
        <v>42038302</v>
      </c>
      <c r="I9" s="458"/>
    </row>
    <row r="10" spans="1:9">
      <c r="A10" s="77"/>
      <c r="E10" s="472"/>
      <c r="F10" s="44"/>
      <c r="H10" s="39"/>
      <c r="I10" s="458"/>
    </row>
    <row r="11" spans="1:9">
      <c r="A11" s="26">
        <f>+A9+1</f>
        <v>2</v>
      </c>
      <c r="B11" s="26"/>
      <c r="C11" s="89" t="s">
        <v>390</v>
      </c>
      <c r="D11" s="89"/>
      <c r="E11" s="473"/>
      <c r="F11" s="89" t="s">
        <v>572</v>
      </c>
      <c r="G11" s="27"/>
      <c r="H11" s="1066">
        <v>371005730</v>
      </c>
      <c r="I11" s="458"/>
    </row>
    <row r="12" spans="1:9">
      <c r="A12" s="26">
        <f>+A11+1</f>
        <v>3</v>
      </c>
      <c r="B12" s="26"/>
      <c r="C12" s="89" t="s">
        <v>430</v>
      </c>
      <c r="D12" s="89"/>
      <c r="E12" s="472"/>
      <c r="F12" s="89" t="s">
        <v>573</v>
      </c>
      <c r="G12" s="27"/>
      <c r="H12" s="1066">
        <v>50951185</v>
      </c>
      <c r="I12" s="458"/>
    </row>
    <row r="13" spans="1:9">
      <c r="A13" s="26">
        <f>+A12+1</f>
        <v>4</v>
      </c>
      <c r="B13" s="26"/>
      <c r="C13" s="402" t="s">
        <v>596</v>
      </c>
      <c r="D13" s="403"/>
      <c r="E13" s="474"/>
      <c r="F13" s="404" t="str">
        <f>"(Line "&amp;A11&amp;" - Line "&amp;A12&amp;")"</f>
        <v>(Line 2 - Line 3)</v>
      </c>
      <c r="G13" s="49"/>
      <c r="H13" s="842">
        <f>H11-H12</f>
        <v>320054545</v>
      </c>
      <c r="I13" s="458"/>
    </row>
    <row r="14" spans="1:9">
      <c r="A14" s="26"/>
      <c r="B14" s="26"/>
      <c r="C14" s="405"/>
      <c r="E14" s="471"/>
      <c r="F14" s="43"/>
      <c r="G14" s="27"/>
      <c r="H14" s="834"/>
      <c r="I14" s="458"/>
    </row>
    <row r="15" spans="1:9" ht="16.5" thickBot="1">
      <c r="A15" s="26">
        <v>5</v>
      </c>
      <c r="B15" s="406" t="s">
        <v>480</v>
      </c>
      <c r="C15" s="406"/>
      <c r="D15" s="100"/>
      <c r="E15" s="475"/>
      <c r="F15" s="407" t="str">
        <f>"(Line "&amp;A9&amp;" / Line "&amp;A13&amp;")"</f>
        <v>(Line 1 / Line 4)</v>
      </c>
      <c r="G15" s="101"/>
      <c r="H15" s="990">
        <f>H9/H13</f>
        <v>0.13134730519136981</v>
      </c>
      <c r="I15" s="458"/>
    </row>
    <row r="16" spans="1:9" ht="16.5" thickTop="1">
      <c r="A16" s="26"/>
      <c r="B16" s="26"/>
      <c r="C16" s="399"/>
      <c r="D16" s="43"/>
      <c r="E16" s="476"/>
      <c r="F16" s="43"/>
      <c r="G16" s="27"/>
      <c r="H16" s="33"/>
      <c r="I16" s="458"/>
    </row>
    <row r="17" spans="1:9" ht="15.75">
      <c r="A17" s="77"/>
      <c r="B17" s="399" t="s">
        <v>491</v>
      </c>
      <c r="D17" s="39"/>
      <c r="E17" s="472"/>
      <c r="F17" s="44"/>
      <c r="H17" s="39"/>
      <c r="I17" s="458"/>
    </row>
    <row r="18" spans="1:9">
      <c r="A18" s="65">
        <f>+A15+1</f>
        <v>6</v>
      </c>
      <c r="B18" s="39"/>
      <c r="C18" s="89" t="s">
        <v>499</v>
      </c>
      <c r="E18" s="678" t="str">
        <f>"(Note "&amp;B$288&amp;")"</f>
        <v>(Note B)</v>
      </c>
      <c r="F18" s="89" t="s">
        <v>52</v>
      </c>
      <c r="H18" s="1066">
        <v>25541273218</v>
      </c>
      <c r="I18" s="458"/>
    </row>
    <row r="19" spans="1:9">
      <c r="A19" s="78"/>
      <c r="B19" s="39"/>
      <c r="C19" s="89"/>
      <c r="E19" s="477"/>
      <c r="F19" s="89"/>
      <c r="H19" s="400"/>
      <c r="I19" s="458"/>
    </row>
    <row r="20" spans="1:9">
      <c r="A20" s="65">
        <f>A18+1</f>
        <v>7</v>
      </c>
      <c r="B20" s="39"/>
      <c r="C20" s="89" t="s">
        <v>387</v>
      </c>
      <c r="E20" s="678" t="str">
        <f>"(Note "&amp;B$299&amp;")"</f>
        <v>(Note J)</v>
      </c>
      <c r="F20" s="89" t="s">
        <v>506</v>
      </c>
      <c r="H20" s="1066">
        <v>7792919345</v>
      </c>
      <c r="I20" s="458"/>
    </row>
    <row r="21" spans="1:9">
      <c r="A21" s="65">
        <f>+A20+1</f>
        <v>8</v>
      </c>
      <c r="B21" s="39"/>
      <c r="C21" s="89" t="s">
        <v>329</v>
      </c>
      <c r="E21" s="468" t="str">
        <f>"(Note "&amp;B$287&amp;")"</f>
        <v>(Note A)</v>
      </c>
      <c r="F21" s="400" t="s">
        <v>446</v>
      </c>
      <c r="H21" s="1066">
        <v>433555202</v>
      </c>
      <c r="I21" s="458"/>
    </row>
    <row r="22" spans="1:9">
      <c r="A22" s="65">
        <f>A21+1</f>
        <v>9</v>
      </c>
      <c r="C22" s="47" t="s">
        <v>433</v>
      </c>
      <c r="D22" s="49"/>
      <c r="E22" s="477"/>
      <c r="F22" s="404" t="str">
        <f>"(Line "&amp;A20&amp;" + "&amp;A21&amp;")"</f>
        <v>(Line 7 + 8)</v>
      </c>
      <c r="G22" s="46"/>
      <c r="H22" s="404">
        <f>SUM(H20:H21)</f>
        <v>8226474547</v>
      </c>
      <c r="I22" s="458"/>
    </row>
    <row r="23" spans="1:9" ht="17.25" customHeight="1">
      <c r="A23" s="77"/>
      <c r="C23" s="68"/>
      <c r="E23" s="478"/>
      <c r="F23" s="400"/>
      <c r="H23" s="75"/>
      <c r="I23" s="458"/>
    </row>
    <row r="24" spans="1:9">
      <c r="A24" s="26">
        <f>+A22+1</f>
        <v>10</v>
      </c>
      <c r="B24" s="39"/>
      <c r="C24" s="46" t="s">
        <v>485</v>
      </c>
      <c r="D24" s="46"/>
      <c r="E24" s="479"/>
      <c r="F24" s="404" t="str">
        <f>"(Line "&amp;A18&amp;" - Line "&amp;A22&amp;")"</f>
        <v>(Line 6 - Line 9)</v>
      </c>
      <c r="G24" s="46"/>
      <c r="H24" s="403">
        <f>H18-H22</f>
        <v>17314798671</v>
      </c>
      <c r="I24" s="458"/>
    </row>
    <row r="25" spans="1:9">
      <c r="A25" s="77"/>
      <c r="B25" s="39"/>
      <c r="C25" s="39"/>
      <c r="D25" s="39"/>
      <c r="E25" s="478"/>
      <c r="F25" s="44"/>
      <c r="H25" s="39"/>
      <c r="I25" s="458"/>
    </row>
    <row r="26" spans="1:9">
      <c r="A26" s="65">
        <f>+A24+1</f>
        <v>11</v>
      </c>
      <c r="B26" s="39"/>
      <c r="C26" s="39" t="s">
        <v>431</v>
      </c>
      <c r="D26" s="39"/>
      <c r="E26" s="478"/>
      <c r="F26" s="393" t="str">
        <f>"(Line "&amp;A52&amp;" - Line "&amp;A50&amp;")"</f>
        <v>(Line 29 - Line 28)</v>
      </c>
      <c r="H26" s="75">
        <f>H52-H50</f>
        <v>5743728306.5518284</v>
      </c>
      <c r="I26" s="458"/>
    </row>
    <row r="27" spans="1:9" ht="16.5" thickBot="1">
      <c r="A27" s="26">
        <f>+A26+1</f>
        <v>12</v>
      </c>
      <c r="B27" s="408" t="s">
        <v>378</v>
      </c>
      <c r="C27" s="408"/>
      <c r="D27" s="91"/>
      <c r="E27" s="480"/>
      <c r="F27" s="407" t="str">
        <f>"(Line "&amp;A26&amp;" / Line "&amp;A18&amp;")"</f>
        <v>(Line 11 / Line 6)</v>
      </c>
      <c r="G27" s="91"/>
      <c r="H27" s="991">
        <f>H26/H18</f>
        <v>0.22488026565973945</v>
      </c>
      <c r="I27" s="458"/>
    </row>
    <row r="28" spans="1:9" ht="15.75" thickTop="1">
      <c r="A28" s="77"/>
      <c r="E28" s="478"/>
      <c r="F28" s="44"/>
      <c r="I28" s="458"/>
    </row>
    <row r="29" spans="1:9">
      <c r="A29" s="65">
        <f>+A27+1</f>
        <v>13</v>
      </c>
      <c r="B29" s="26"/>
      <c r="C29" s="409" t="s">
        <v>432</v>
      </c>
      <c r="D29" s="43"/>
      <c r="E29" s="481"/>
      <c r="F29" s="393" t="str">
        <f>"(Line "&amp;A70&amp;" - Line "&amp;A50&amp;")"</f>
        <v>(Line 41 - Line 28)</v>
      </c>
      <c r="G29" s="27"/>
      <c r="H29" s="843">
        <f>H70-H50</f>
        <v>4370037882.3088236</v>
      </c>
      <c r="I29" s="458"/>
    </row>
    <row r="30" spans="1:9" ht="16.5" thickBot="1">
      <c r="A30" s="26">
        <f>+A29+1</f>
        <v>14</v>
      </c>
      <c r="B30" s="408" t="s">
        <v>486</v>
      </c>
      <c r="C30" s="408"/>
      <c r="D30" s="91"/>
      <c r="E30" s="480"/>
      <c r="F30" s="407" t="str">
        <f>"(Line "&amp;A29&amp;" / Line "&amp;A24&amp;")"</f>
        <v>(Line 13 / Line 10)</v>
      </c>
      <c r="G30" s="91"/>
      <c r="H30" s="990">
        <f>H29/H24</f>
        <v>0.25238744991173706</v>
      </c>
      <c r="I30" s="458"/>
    </row>
    <row r="31" spans="1:9" ht="16.5" thickTop="1">
      <c r="A31" s="40"/>
      <c r="B31" s="26"/>
      <c r="C31" s="399"/>
      <c r="D31" s="43"/>
      <c r="E31" s="481"/>
      <c r="F31" s="27"/>
      <c r="G31" s="27"/>
      <c r="H31" s="33"/>
      <c r="I31" s="458"/>
    </row>
    <row r="32" spans="1:9" ht="15.75">
      <c r="A32" s="1179" t="s">
        <v>484</v>
      </c>
      <c r="B32" s="1179"/>
      <c r="C32" s="1179"/>
      <c r="D32" s="98"/>
      <c r="E32" s="470"/>
      <c r="F32" s="99"/>
      <c r="G32" s="99"/>
      <c r="H32" s="109"/>
      <c r="I32" s="458"/>
    </row>
    <row r="33" spans="1:9" ht="15.75">
      <c r="A33" s="102"/>
      <c r="B33" s="103"/>
      <c r="C33" s="68"/>
      <c r="D33" s="68"/>
      <c r="E33" s="469"/>
      <c r="F33" s="89"/>
      <c r="G33" s="89"/>
      <c r="H33" s="97"/>
      <c r="I33" s="458"/>
    </row>
    <row r="34" spans="1:9" ht="15.75">
      <c r="A34" s="77"/>
      <c r="B34" s="399" t="s">
        <v>436</v>
      </c>
      <c r="E34" s="476"/>
      <c r="F34" s="400"/>
      <c r="G34" s="398"/>
      <c r="H34" s="401"/>
      <c r="I34" s="458"/>
    </row>
    <row r="35" spans="1:9">
      <c r="A35" s="65">
        <f>+A30+1</f>
        <v>15</v>
      </c>
      <c r="B35" s="65"/>
      <c r="C35" s="409" t="s">
        <v>483</v>
      </c>
      <c r="D35" s="43"/>
      <c r="E35" s="678" t="str">
        <f>"(Note "&amp;B$288&amp;")"</f>
        <v>(Note B)</v>
      </c>
      <c r="F35" s="400" t="s">
        <v>400</v>
      </c>
      <c r="G35" s="27"/>
      <c r="H35" s="1066">
        <v>5005874607</v>
      </c>
      <c r="I35" s="458"/>
    </row>
    <row r="36" spans="1:9">
      <c r="A36" s="65">
        <f>A35+1</f>
        <v>16</v>
      </c>
      <c r="B36" s="65"/>
      <c r="C36" s="409" t="s">
        <v>200</v>
      </c>
      <c r="D36" s="43"/>
      <c r="E36" s="481" t="s">
        <v>341</v>
      </c>
      <c r="F36" s="83" t="s">
        <v>300</v>
      </c>
      <c r="G36" s="27"/>
      <c r="H36" s="824"/>
      <c r="I36" s="458"/>
    </row>
    <row r="37" spans="1:9">
      <c r="A37" s="65">
        <f>+A36+1</f>
        <v>17</v>
      </c>
      <c r="B37" s="65"/>
      <c r="C37" s="391" t="s">
        <v>248</v>
      </c>
      <c r="D37" s="143"/>
      <c r="E37" s="468" t="str">
        <f>"(Note "&amp;B$288&amp;")"</f>
        <v>(Note B)</v>
      </c>
      <c r="F37" s="80" t="s">
        <v>300</v>
      </c>
      <c r="G37" s="84"/>
      <c r="H37" s="825">
        <f>'6 - Est &amp; Reconcile WS'!G84</f>
        <v>173235474.5</v>
      </c>
      <c r="I37" s="458"/>
    </row>
    <row r="38" spans="1:9" ht="15.75">
      <c r="A38" s="65">
        <f>+A37+1</f>
        <v>18</v>
      </c>
      <c r="B38" s="65"/>
      <c r="C38" s="399" t="s">
        <v>601</v>
      </c>
      <c r="D38" s="43"/>
      <c r="E38" s="477"/>
      <c r="F38" s="383" t="str">
        <f>"(Line "&amp;A35&amp;" - Line "&amp;A36&amp;" + Line "&amp;A37&amp;")"</f>
        <v>(Line 15 - Line 16 + Line 17)</v>
      </c>
      <c r="G38" s="27"/>
      <c r="H38" s="410">
        <f>H35-H36+H37</f>
        <v>5179110081.5</v>
      </c>
      <c r="I38" s="458"/>
    </row>
    <row r="39" spans="1:9">
      <c r="A39" s="65"/>
      <c r="B39" s="65"/>
      <c r="C39" s="409"/>
      <c r="D39" s="43"/>
      <c r="E39" s="301"/>
      <c r="F39" s="400"/>
      <c r="G39" s="43"/>
      <c r="H39" s="824"/>
      <c r="I39" s="458"/>
    </row>
    <row r="40" spans="1:9">
      <c r="A40" s="65">
        <f>+A38+1</f>
        <v>19</v>
      </c>
      <c r="B40" s="65"/>
      <c r="C40" s="409" t="s">
        <v>4</v>
      </c>
      <c r="D40" s="43"/>
      <c r="E40" s="301"/>
      <c r="F40" s="400" t="s">
        <v>53</v>
      </c>
      <c r="G40" s="43"/>
      <c r="H40" s="1066">
        <v>2061262241</v>
      </c>
      <c r="I40" s="458"/>
    </row>
    <row r="41" spans="1:9">
      <c r="A41" s="65">
        <f>A40+1</f>
        <v>20</v>
      </c>
      <c r="B41" s="65"/>
      <c r="C41" s="409" t="s">
        <v>5</v>
      </c>
      <c r="D41" s="43"/>
      <c r="E41" s="301"/>
      <c r="F41" s="80" t="s">
        <v>6</v>
      </c>
      <c r="G41" s="43"/>
      <c r="H41" s="1066">
        <f>629675608-20133985</f>
        <v>609541623</v>
      </c>
      <c r="I41" s="458"/>
    </row>
    <row r="42" spans="1:9">
      <c r="A42" s="65">
        <f>A41+1</f>
        <v>21</v>
      </c>
      <c r="B42" s="65"/>
      <c r="C42" s="402" t="s">
        <v>73</v>
      </c>
      <c r="D42" s="45"/>
      <c r="E42" s="482"/>
      <c r="F42" s="383" t="str">
        <f>"(Line "&amp;A40&amp;" + Line "&amp;A41&amp;")"</f>
        <v>(Line 19 + Line 20)</v>
      </c>
      <c r="G42" s="45"/>
      <c r="H42" s="842">
        <f>SUM(H40:H41)</f>
        <v>2670803864</v>
      </c>
      <c r="I42" s="458"/>
    </row>
    <row r="43" spans="1:9">
      <c r="A43" s="65">
        <f>+A42+1</f>
        <v>22</v>
      </c>
      <c r="B43" s="65"/>
      <c r="C43" s="391" t="s">
        <v>0</v>
      </c>
      <c r="D43" s="143"/>
      <c r="E43" s="483"/>
      <c r="F43" s="393" t="s">
        <v>507</v>
      </c>
      <c r="G43" s="143"/>
      <c r="H43" s="1073">
        <v>859895506</v>
      </c>
      <c r="I43" s="458"/>
    </row>
    <row r="44" spans="1:9">
      <c r="A44" s="65">
        <f>+A43+1</f>
        <v>23</v>
      </c>
      <c r="B44" s="65"/>
      <c r="C44" s="389" t="s">
        <v>74</v>
      </c>
      <c r="D44" s="68"/>
      <c r="E44" s="484"/>
      <c r="F44" s="383" t="str">
        <f>"(Line "&amp;A42&amp;" - Line "&amp;A43&amp;")"</f>
        <v>(Line 21 - Line 22)</v>
      </c>
      <c r="G44" s="68"/>
      <c r="H44" s="831">
        <f>H42-H43</f>
        <v>1810908358</v>
      </c>
      <c r="I44" s="458"/>
    </row>
    <row r="45" spans="1:9" ht="15.75">
      <c r="A45" s="65">
        <f>A44+1</f>
        <v>24</v>
      </c>
      <c r="B45" s="65"/>
      <c r="C45" s="42" t="s">
        <v>597</v>
      </c>
      <c r="D45" s="409"/>
      <c r="E45" s="481"/>
      <c r="F45" s="393" t="str">
        <f>"(Line "&amp;A$15&amp;")"</f>
        <v>(Line 5)</v>
      </c>
      <c r="G45" s="412"/>
      <c r="H45" s="992">
        <f>H15</f>
        <v>0.13134730519136981</v>
      </c>
      <c r="I45" s="458"/>
    </row>
    <row r="46" spans="1:9">
      <c r="A46" s="65">
        <f>+A45+1</f>
        <v>25</v>
      </c>
      <c r="B46" s="44"/>
      <c r="C46" s="402" t="s">
        <v>75</v>
      </c>
      <c r="D46" s="47"/>
      <c r="E46" s="485"/>
      <c r="F46" s="383" t="str">
        <f>"(Line "&amp;A44&amp;" * Line "&amp;A45&amp;")"</f>
        <v>(Line 23 * Line 24)</v>
      </c>
      <c r="G46" s="47"/>
      <c r="H46" s="842">
        <f>H44*H45</f>
        <v>237857932.77182838</v>
      </c>
      <c r="I46" s="458"/>
    </row>
    <row r="47" spans="1:9">
      <c r="A47" s="65">
        <f>A46+1</f>
        <v>26</v>
      </c>
      <c r="B47" s="44"/>
      <c r="C47" s="391" t="s">
        <v>1</v>
      </c>
      <c r="D47" s="311"/>
      <c r="E47" s="486"/>
      <c r="F47" s="393" t="s">
        <v>303</v>
      </c>
      <c r="G47" s="311"/>
      <c r="H47" s="825">
        <f>'5 - Cost Support'!H10</f>
        <v>326760292.28000003</v>
      </c>
      <c r="I47" s="458"/>
    </row>
    <row r="48" spans="1:9" ht="15.75">
      <c r="A48" s="65">
        <f>A47+1</f>
        <v>27</v>
      </c>
      <c r="B48" s="44"/>
      <c r="C48" s="385" t="s">
        <v>76</v>
      </c>
      <c r="D48" s="89"/>
      <c r="E48" s="487"/>
      <c r="F48" s="383" t="str">
        <f>"(Line "&amp;A46&amp;" + Line "&amp;A47&amp;")"</f>
        <v>(Line 25 + Line 26)</v>
      </c>
      <c r="G48" s="89"/>
      <c r="H48" s="844">
        <f>H46+H47</f>
        <v>564618225.05182838</v>
      </c>
      <c r="I48" s="458"/>
    </row>
    <row r="49" spans="1:9" ht="15.75">
      <c r="A49" s="78"/>
      <c r="B49" s="39"/>
      <c r="C49" s="399"/>
      <c r="D49" s="44"/>
      <c r="E49" s="483"/>
      <c r="F49" s="44"/>
      <c r="G49" s="44"/>
      <c r="H49" s="437"/>
      <c r="I49" s="458"/>
    </row>
    <row r="50" spans="1:9" ht="15.75">
      <c r="A50" s="65">
        <f>A48+1</f>
        <v>28</v>
      </c>
      <c r="B50" s="26"/>
      <c r="C50" s="414" t="s">
        <v>61</v>
      </c>
      <c r="D50" s="145"/>
      <c r="E50" s="678" t="str">
        <f>"(Note "&amp;B$291&amp;")"</f>
        <v>(Note C)</v>
      </c>
      <c r="F50" s="404" t="str">
        <f>F47</f>
        <v>Attachment 5</v>
      </c>
      <c r="G50" s="45"/>
      <c r="H50" s="400">
        <f>'5 - Cost Support'!H33</f>
        <v>45781570</v>
      </c>
      <c r="I50" s="458"/>
    </row>
    <row r="51" spans="1:9" ht="15.75">
      <c r="A51" s="78"/>
      <c r="B51" s="39"/>
      <c r="C51" s="399"/>
      <c r="D51" s="44"/>
      <c r="E51" s="301"/>
      <c r="F51" s="44"/>
      <c r="H51" s="411"/>
      <c r="I51" s="458"/>
    </row>
    <row r="52" spans="1:9" s="61" customFormat="1" ht="16.5" thickBot="1">
      <c r="A52" s="65">
        <f>+A50+1</f>
        <v>29</v>
      </c>
      <c r="B52" s="408" t="s">
        <v>331</v>
      </c>
      <c r="C52" s="415"/>
      <c r="D52" s="415"/>
      <c r="E52" s="488"/>
      <c r="F52" s="416" t="str">
        <f>"(Line "&amp;A38&amp;" + Line "&amp;A48&amp;" + Line "&amp;A50&amp;")"</f>
        <v>(Line 18 + Line 27 + Line 28)</v>
      </c>
      <c r="G52" s="408"/>
      <c r="H52" s="417">
        <f>H38+H48+H50</f>
        <v>5789509876.5518284</v>
      </c>
      <c r="I52" s="951"/>
    </row>
    <row r="53" spans="1:9" ht="15.75" thickTop="1">
      <c r="A53" s="78"/>
      <c r="B53" s="39"/>
      <c r="C53" s="44"/>
      <c r="D53" s="44"/>
      <c r="E53" s="302"/>
      <c r="I53" s="458"/>
    </row>
    <row r="54" spans="1:9" ht="15.75">
      <c r="A54" s="65"/>
      <c r="B54" s="399" t="s">
        <v>426</v>
      </c>
      <c r="C54" s="399"/>
      <c r="D54" s="400"/>
      <c r="E54" s="476"/>
      <c r="F54" s="401"/>
      <c r="G54" s="418"/>
      <c r="H54" s="824"/>
      <c r="I54" s="458"/>
    </row>
    <row r="55" spans="1:9">
      <c r="A55" s="78"/>
      <c r="B55" s="43"/>
      <c r="C55" s="43"/>
      <c r="D55" s="43"/>
      <c r="E55" s="476"/>
      <c r="F55" s="400"/>
      <c r="G55" s="401"/>
      <c r="H55" s="834"/>
      <c r="I55" s="458"/>
    </row>
    <row r="56" spans="1:9">
      <c r="A56" s="65">
        <f>+A52+1</f>
        <v>30</v>
      </c>
      <c r="B56" s="65"/>
      <c r="C56" s="409" t="s">
        <v>498</v>
      </c>
      <c r="D56" s="43"/>
      <c r="E56" s="678" t="str">
        <f>"(Note "&amp;B$299&amp;")"</f>
        <v>(Note J)</v>
      </c>
      <c r="F56" s="400" t="s">
        <v>401</v>
      </c>
      <c r="G56" s="43"/>
      <c r="H56" s="1066">
        <v>1103446356</v>
      </c>
      <c r="I56" s="458"/>
    </row>
    <row r="57" spans="1:9">
      <c r="A57" s="65"/>
      <c r="B57" s="65"/>
      <c r="C57" s="389"/>
      <c r="D57" s="68"/>
      <c r="E57" s="481"/>
      <c r="F57" s="383"/>
      <c r="G57" s="68"/>
      <c r="H57" s="820"/>
      <c r="I57" s="458"/>
    </row>
    <row r="58" spans="1:9">
      <c r="A58" s="65">
        <f>A56+1</f>
        <v>31</v>
      </c>
      <c r="B58" s="65"/>
      <c r="C58" s="389" t="s">
        <v>541</v>
      </c>
      <c r="D58" s="68"/>
      <c r="E58" s="678" t="str">
        <f>"(Note "&amp;B$299&amp;")"</f>
        <v>(Note J)</v>
      </c>
      <c r="F58" s="383" t="s">
        <v>408</v>
      </c>
      <c r="G58" s="68"/>
      <c r="H58" s="1076">
        <f>782670674-14052056</f>
        <v>768618618</v>
      </c>
      <c r="I58" s="458"/>
    </row>
    <row r="59" spans="1:9">
      <c r="A59" s="65">
        <f>A58+1</f>
        <v>32</v>
      </c>
      <c r="B59" s="65"/>
      <c r="C59" s="391" t="s">
        <v>162</v>
      </c>
      <c r="D59" s="143"/>
      <c r="E59" s="468" t="str">
        <f>"(Note "&amp;B$299&amp;")"</f>
        <v>(Note J)</v>
      </c>
      <c r="F59" s="393" t="s">
        <v>303</v>
      </c>
      <c r="G59" s="143"/>
      <c r="H59" s="825">
        <f>'5 - Cost Support'!H14</f>
        <v>451801967</v>
      </c>
      <c r="I59" s="458"/>
    </row>
    <row r="60" spans="1:9">
      <c r="A60" s="65">
        <f>A59+1</f>
        <v>33</v>
      </c>
      <c r="B60" s="65"/>
      <c r="C60" s="409" t="s">
        <v>7</v>
      </c>
      <c r="D60" s="43"/>
      <c r="E60" s="487"/>
      <c r="F60" s="383" t="str">
        <f>"(Line "&amp;A58&amp;" - Line "&amp;A59&amp;")"</f>
        <v>(Line 31 - Line 32)</v>
      </c>
      <c r="G60" s="43"/>
      <c r="H60" s="824">
        <f>H58-H59</f>
        <v>316816651</v>
      </c>
      <c r="I60" s="458"/>
    </row>
    <row r="61" spans="1:9">
      <c r="A61" s="65">
        <f>A60+1</f>
        <v>34</v>
      </c>
      <c r="B61" s="65"/>
      <c r="C61" s="391" t="str">
        <f>+C21</f>
        <v>Accumulated Amortization</v>
      </c>
      <c r="D61" s="143"/>
      <c r="E61" s="486"/>
      <c r="F61" s="393" t="str">
        <f>"(Line "&amp;A$21&amp;")"</f>
        <v>(Line 8)</v>
      </c>
      <c r="G61" s="143"/>
      <c r="H61" s="825">
        <f>H21</f>
        <v>433555202</v>
      </c>
      <c r="I61" s="458"/>
    </row>
    <row r="62" spans="1:9">
      <c r="A62" s="65">
        <f>A61+1</f>
        <v>35</v>
      </c>
      <c r="B62" s="65"/>
      <c r="C62" s="389" t="s">
        <v>71</v>
      </c>
      <c r="D62" s="68"/>
      <c r="E62" s="487"/>
      <c r="F62" s="383" t="str">
        <f>"(Line "&amp;A60&amp;" + "&amp;A61&amp;")"</f>
        <v>(Line 33 + 34)</v>
      </c>
      <c r="G62" s="383"/>
      <c r="H62" s="831">
        <f>SUM(H60:H61)</f>
        <v>750371853</v>
      </c>
      <c r="I62" s="458"/>
    </row>
    <row r="63" spans="1:9">
      <c r="A63" s="65">
        <f>+A62+1</f>
        <v>36</v>
      </c>
      <c r="B63" s="65"/>
      <c r="C63" s="389" t="str">
        <f>+C45</f>
        <v>Wage &amp; Salary Allocator</v>
      </c>
      <c r="D63" s="68"/>
      <c r="E63" s="487"/>
      <c r="F63" s="393" t="str">
        <f>"(Line "&amp;A$15&amp;")"</f>
        <v>(Line 5)</v>
      </c>
      <c r="G63" s="383"/>
      <c r="H63" s="993">
        <f>H15</f>
        <v>0.13134730519136981</v>
      </c>
      <c r="I63" s="458"/>
    </row>
    <row r="64" spans="1:9">
      <c r="A64" s="65">
        <f>+A63+1</f>
        <v>37</v>
      </c>
      <c r="B64" s="44"/>
      <c r="C64" s="402" t="s">
        <v>72</v>
      </c>
      <c r="D64" s="47"/>
      <c r="E64" s="482"/>
      <c r="F64" s="383" t="str">
        <f>"(Line "&amp;A62&amp;" * Line "&amp;A63&amp;")"</f>
        <v>(Line 35 * Line 36)</v>
      </c>
      <c r="G64" s="47"/>
      <c r="H64" s="842">
        <f>H62*H63</f>
        <v>98559320.783004686</v>
      </c>
      <c r="I64" s="458"/>
    </row>
    <row r="65" spans="1:9">
      <c r="A65" s="65">
        <f>A64+1</f>
        <v>38</v>
      </c>
      <c r="B65" s="44"/>
      <c r="C65" s="389" t="s">
        <v>8</v>
      </c>
      <c r="D65" s="89"/>
      <c r="E65" s="484"/>
      <c r="F65" s="383" t="str">
        <f>"(Line "&amp;A47&amp;" / Line "&amp;A43&amp;")"</f>
        <v>(Line 26 / Line 22)</v>
      </c>
      <c r="G65" s="89"/>
      <c r="H65" s="994">
        <f>H47/H43</f>
        <v>0.38000000000000006</v>
      </c>
      <c r="I65" s="458"/>
    </row>
    <row r="66" spans="1:9">
      <c r="A66" s="65">
        <f>A65+1</f>
        <v>39</v>
      </c>
      <c r="B66" s="44"/>
      <c r="C66" s="389" t="s">
        <v>9</v>
      </c>
      <c r="D66" s="89"/>
      <c r="E66" s="484"/>
      <c r="F66" s="383" t="str">
        <f>"(Line "&amp;A65&amp;" * Line "&amp;A59&amp;")"</f>
        <v>(Line 38 * Line 32)</v>
      </c>
      <c r="G66" s="89"/>
      <c r="H66" s="820">
        <f>H65*H59</f>
        <v>171684747.46000004</v>
      </c>
      <c r="I66" s="458"/>
    </row>
    <row r="67" spans="1:9">
      <c r="A67" s="78"/>
      <c r="B67" s="39"/>
      <c r="C67" s="39"/>
      <c r="D67" s="39"/>
      <c r="E67" s="478"/>
      <c r="F67" s="77"/>
      <c r="G67" s="77"/>
      <c r="H67" s="845"/>
      <c r="I67" s="458"/>
    </row>
    <row r="68" spans="1:9" ht="16.5" thickBot="1">
      <c r="A68" s="65">
        <f>A66+1</f>
        <v>40</v>
      </c>
      <c r="B68" s="408" t="s">
        <v>433</v>
      </c>
      <c r="C68" s="408"/>
      <c r="D68" s="408"/>
      <c r="E68" s="489"/>
      <c r="F68" s="419" t="str">
        <f>"(Sum Lines "&amp;A56&amp;",  "&amp;A64&amp;" &amp; "&amp;A66&amp;")"</f>
        <v>(Sum Lines 30,  37 &amp; 39)</v>
      </c>
      <c r="G68" s="419"/>
      <c r="H68" s="846">
        <f>H56+H64+H66</f>
        <v>1373690424.2430048</v>
      </c>
      <c r="I68" s="458"/>
    </row>
    <row r="69" spans="1:9" ht="15.75" thickTop="1">
      <c r="A69" s="78"/>
      <c r="B69" s="39"/>
      <c r="C69" s="39"/>
      <c r="D69" s="39"/>
      <c r="E69" s="472"/>
      <c r="F69" s="44"/>
      <c r="G69" s="27"/>
      <c r="H69" s="39"/>
      <c r="I69" s="458"/>
    </row>
    <row r="70" spans="1:9" ht="16.5" thickBot="1">
      <c r="A70" s="65">
        <f>+A68+1</f>
        <v>41</v>
      </c>
      <c r="B70" s="408" t="s">
        <v>592</v>
      </c>
      <c r="C70" s="408"/>
      <c r="D70" s="408"/>
      <c r="E70" s="489"/>
      <c r="F70" s="416" t="str">
        <f>"(Line "&amp;A52&amp;" - Line "&amp;A68&amp;")"</f>
        <v>(Line 29 - Line 40)</v>
      </c>
      <c r="G70" s="408"/>
      <c r="H70" s="417">
        <f>H52-H68</f>
        <v>4415819452.3088236</v>
      </c>
      <c r="I70" s="458"/>
    </row>
    <row r="71" spans="1:9" ht="15.75" thickTop="1">
      <c r="A71" s="77"/>
      <c r="B71" s="39"/>
      <c r="C71" s="39"/>
      <c r="D71" s="39"/>
      <c r="E71" s="472"/>
      <c r="F71" s="44"/>
      <c r="I71" s="458"/>
    </row>
    <row r="72" spans="1:9" ht="15.75">
      <c r="A72" s="1179" t="s">
        <v>435</v>
      </c>
      <c r="B72" s="1179"/>
      <c r="C72" s="1179"/>
      <c r="D72" s="98"/>
      <c r="E72" s="470"/>
      <c r="F72" s="99"/>
      <c r="G72" s="99"/>
      <c r="H72" s="823"/>
      <c r="I72" s="458"/>
    </row>
    <row r="73" spans="1:9">
      <c r="A73" s="160"/>
      <c r="B73" s="161"/>
      <c r="C73" s="161"/>
      <c r="D73" s="161"/>
      <c r="E73" s="472"/>
      <c r="I73" s="458"/>
    </row>
    <row r="74" spans="1:9" ht="15.75">
      <c r="A74" s="78"/>
      <c r="B74" s="181" t="s">
        <v>27</v>
      </c>
      <c r="D74" s="44"/>
      <c r="E74" s="490"/>
      <c r="H74" s="834"/>
      <c r="I74" s="458"/>
    </row>
    <row r="75" spans="1:9" ht="15.75">
      <c r="A75" s="78">
        <f>+A70+1</f>
        <v>42</v>
      </c>
      <c r="B75" s="181"/>
      <c r="C75" s="420" t="s">
        <v>50</v>
      </c>
      <c r="D75" s="421"/>
      <c r="E75" s="472"/>
      <c r="F75" s="54" t="s">
        <v>301</v>
      </c>
      <c r="H75" s="872">
        <f>'1 - ADIT'!G17</f>
        <v>-1080966773.412884</v>
      </c>
      <c r="I75" s="458"/>
    </row>
    <row r="76" spans="1:9" ht="15.75">
      <c r="A76" s="78"/>
      <c r="B76" s="44"/>
      <c r="C76" s="181"/>
      <c r="D76" s="89"/>
      <c r="E76" s="491"/>
      <c r="F76" s="89"/>
      <c r="G76" s="70"/>
      <c r="H76" s="169"/>
      <c r="I76" s="458"/>
    </row>
    <row r="77" spans="1:9" ht="15.75">
      <c r="A77" s="65"/>
      <c r="B77" s="174" t="s">
        <v>318</v>
      </c>
      <c r="C77" s="44"/>
      <c r="D77" s="44"/>
      <c r="E77" s="159"/>
      <c r="F77" s="43"/>
      <c r="G77" s="44"/>
      <c r="H77" s="44"/>
      <c r="I77" s="458"/>
    </row>
    <row r="78" spans="1:9" ht="15.75">
      <c r="A78" s="65">
        <f>A75+1</f>
        <v>43</v>
      </c>
      <c r="B78" s="398"/>
      <c r="C78" s="389" t="s">
        <v>319</v>
      </c>
      <c r="D78" s="144"/>
      <c r="E78" s="678" t="str">
        <f>"(Note "&amp;B$296&amp;")"</f>
        <v>(Note H)</v>
      </c>
      <c r="F78" s="83" t="s">
        <v>300</v>
      </c>
      <c r="G78" s="89"/>
      <c r="H78" s="400">
        <f>'6 - Est &amp; Reconcile WS'!H85</f>
        <v>80140043.583333343</v>
      </c>
      <c r="I78" s="458"/>
    </row>
    <row r="79" spans="1:9">
      <c r="A79" s="65"/>
      <c r="B79" s="65"/>
      <c r="C79" s="389"/>
      <c r="D79" s="144"/>
      <c r="E79" s="492"/>
      <c r="F79" s="51"/>
      <c r="G79" s="383"/>
      <c r="H79" s="39"/>
      <c r="I79" s="458"/>
    </row>
    <row r="80" spans="1:9" ht="15.75">
      <c r="A80" s="65"/>
      <c r="B80" s="422" t="s">
        <v>427</v>
      </c>
      <c r="C80" s="42"/>
      <c r="D80" s="43"/>
      <c r="E80" s="301"/>
      <c r="F80" s="295"/>
      <c r="G80" s="50"/>
      <c r="H80" s="39"/>
      <c r="I80" s="458"/>
    </row>
    <row r="81" spans="1:9" ht="15.75">
      <c r="A81" s="65">
        <f>A78+1</f>
        <v>44</v>
      </c>
      <c r="B81" s="291"/>
      <c r="C81" s="351" t="s">
        <v>326</v>
      </c>
      <c r="D81" s="144"/>
      <c r="E81" s="678" t="str">
        <f>"(Note "&amp;B$287&amp;")"</f>
        <v>(Note A)</v>
      </c>
      <c r="F81" s="351" t="s">
        <v>303</v>
      </c>
      <c r="G81" s="127"/>
      <c r="H81" s="423">
        <f>+'5 - Cost Support'!F115</f>
        <v>2035152.6767547575</v>
      </c>
      <c r="I81" s="458"/>
    </row>
    <row r="82" spans="1:9" ht="15.75">
      <c r="A82" s="26"/>
      <c r="B82" s="41"/>
      <c r="C82" s="42"/>
      <c r="E82" s="493"/>
      <c r="F82" s="296"/>
      <c r="G82" s="50"/>
      <c r="H82" s="52"/>
      <c r="I82" s="458"/>
    </row>
    <row r="83" spans="1:9" ht="15.75">
      <c r="A83" s="65"/>
      <c r="B83" s="422" t="s">
        <v>424</v>
      </c>
      <c r="C83" s="44"/>
      <c r="D83" s="44"/>
      <c r="E83" s="494"/>
      <c r="F83" s="296"/>
      <c r="G83" s="50"/>
      <c r="H83" s="52"/>
      <c r="I83" s="458"/>
    </row>
    <row r="84" spans="1:9">
      <c r="A84" s="78">
        <f>A81+1</f>
        <v>45</v>
      </c>
      <c r="B84" s="44"/>
      <c r="C84" s="44" t="s">
        <v>556</v>
      </c>
      <c r="D84" s="43"/>
      <c r="E84" s="678" t="str">
        <f>"(Note "&amp;B$287&amp;")"</f>
        <v>(Note A)</v>
      </c>
      <c r="F84" s="42" t="s">
        <v>409</v>
      </c>
      <c r="H84" s="1066">
        <v>0</v>
      </c>
      <c r="I84" s="458"/>
    </row>
    <row r="85" spans="1:9" s="44" customFormat="1" ht="15.75">
      <c r="A85" s="65">
        <f>+A84+1</f>
        <v>46</v>
      </c>
      <c r="B85" s="41"/>
      <c r="C85" s="128" t="s">
        <v>597</v>
      </c>
      <c r="D85" s="80"/>
      <c r="E85" s="495"/>
      <c r="F85" s="393" t="str">
        <f>"(Line "&amp;A$15&amp;")"</f>
        <v>(Line 5)</v>
      </c>
      <c r="G85" s="82"/>
      <c r="H85" s="424">
        <f>H15</f>
        <v>0.13134730519136981</v>
      </c>
      <c r="I85" s="458"/>
    </row>
    <row r="86" spans="1:9" ht="15.75">
      <c r="A86" s="65">
        <f>+A85+1</f>
        <v>47</v>
      </c>
      <c r="B86" s="41"/>
      <c r="C86" s="42" t="s">
        <v>607</v>
      </c>
      <c r="D86" s="43"/>
      <c r="E86" s="301"/>
      <c r="F86" s="383" t="str">
        <f>"(Line "&amp;A84&amp;" * Line "&amp;A85&amp;")"</f>
        <v>(Line 45 * Line 46)</v>
      </c>
      <c r="G86" s="50"/>
      <c r="H86" s="56">
        <f>H84*H85</f>
        <v>0</v>
      </c>
      <c r="I86" s="458"/>
    </row>
    <row r="87" spans="1:9" ht="15.75">
      <c r="A87" s="65">
        <f>A86+1</f>
        <v>48</v>
      </c>
      <c r="B87" s="41"/>
      <c r="C87" s="42" t="s">
        <v>403</v>
      </c>
      <c r="D87" s="43"/>
      <c r="E87" s="496"/>
      <c r="F87" s="128" t="s">
        <v>447</v>
      </c>
      <c r="G87" s="50"/>
      <c r="H87" s="1072">
        <v>73139342</v>
      </c>
      <c r="I87" s="458"/>
    </row>
    <row r="88" spans="1:9" ht="18" customHeight="1">
      <c r="A88" s="65">
        <f>A87+1</f>
        <v>49</v>
      </c>
      <c r="B88" s="41"/>
      <c r="C88" s="395" t="s">
        <v>423</v>
      </c>
      <c r="D88" s="310"/>
      <c r="E88" s="497"/>
      <c r="F88" s="383" t="str">
        <f>"(Line "&amp;A86&amp;" + Line "&amp;A87&amp;")"</f>
        <v>(Line 47 + Line 48)</v>
      </c>
      <c r="G88" s="58"/>
      <c r="H88" s="59">
        <f>H86+H87</f>
        <v>73139342</v>
      </c>
      <c r="I88" s="458"/>
    </row>
    <row r="89" spans="1:9" ht="15.75">
      <c r="A89" s="65"/>
      <c r="B89" s="41"/>
      <c r="C89" s="42"/>
      <c r="D89" s="43"/>
      <c r="E89" s="498"/>
      <c r="F89" s="423"/>
      <c r="G89" s="50"/>
      <c r="I89" s="458"/>
    </row>
    <row r="90" spans="1:9" ht="15.75">
      <c r="A90" s="65"/>
      <c r="B90" s="422" t="s">
        <v>428</v>
      </c>
      <c r="C90" s="44"/>
      <c r="D90" s="43"/>
      <c r="E90" s="472"/>
      <c r="F90" s="819"/>
      <c r="G90" s="50"/>
      <c r="I90" s="458"/>
    </row>
    <row r="91" spans="1:9" ht="15.75">
      <c r="A91" s="65">
        <f>+A88+1</f>
        <v>50</v>
      </c>
      <c r="B91" s="41"/>
      <c r="C91" s="42" t="s">
        <v>317</v>
      </c>
      <c r="D91" s="54"/>
      <c r="E91" s="302"/>
      <c r="F91" s="820" t="str">
        <f>"(Line "&amp;A$142&amp;" - Line "&amp;A$140&amp;")"</f>
        <v>(Line 85 - Line 84)</v>
      </c>
      <c r="G91" s="50"/>
      <c r="H91" s="847">
        <f>H142-H140</f>
        <v>174999880.26838261</v>
      </c>
      <c r="I91" s="458"/>
    </row>
    <row r="92" spans="1:9">
      <c r="A92" s="65">
        <f>+A91+1</f>
        <v>51</v>
      </c>
      <c r="B92" s="41"/>
      <c r="C92" s="54" t="s">
        <v>492</v>
      </c>
      <c r="D92" s="54"/>
      <c r="E92" s="302"/>
      <c r="F92" s="821" t="s">
        <v>608</v>
      </c>
      <c r="H92" s="848">
        <f>1/8</f>
        <v>0.125</v>
      </c>
      <c r="I92" s="458"/>
    </row>
    <row r="93" spans="1:9" s="61" customFormat="1" ht="15.75">
      <c r="A93" s="65">
        <f>+A92+1</f>
        <v>52</v>
      </c>
      <c r="B93" s="412"/>
      <c r="C93" s="425" t="s">
        <v>402</v>
      </c>
      <c r="D93" s="60"/>
      <c r="E93" s="499"/>
      <c r="F93" s="820" t="str">
        <f>"(Line "&amp;A91&amp;" * Line "&amp;A92&amp;")"</f>
        <v>(Line 50 * Line 51)</v>
      </c>
      <c r="G93" s="57"/>
      <c r="H93" s="62">
        <f>H91*H92</f>
        <v>21874985.033547826</v>
      </c>
      <c r="I93" s="951"/>
    </row>
    <row r="94" spans="1:9" s="61" customFormat="1" ht="15.75">
      <c r="A94" s="65"/>
      <c r="B94" s="412"/>
      <c r="C94" s="181"/>
      <c r="D94" s="182"/>
      <c r="E94" s="500"/>
      <c r="F94" s="820"/>
      <c r="G94" s="183"/>
      <c r="H94" s="849"/>
      <c r="I94" s="951"/>
    </row>
    <row r="95" spans="1:9" s="61" customFormat="1" ht="15.75">
      <c r="B95" s="181" t="s">
        <v>121</v>
      </c>
      <c r="D95" s="182"/>
      <c r="E95" s="315"/>
      <c r="F95" s="820"/>
      <c r="G95" s="183"/>
      <c r="H95" s="849"/>
      <c r="I95" s="951"/>
    </row>
    <row r="96" spans="1:9">
      <c r="A96" s="65">
        <f>+A93+1</f>
        <v>53</v>
      </c>
      <c r="B96" s="39"/>
      <c r="C96" s="39" t="s">
        <v>123</v>
      </c>
      <c r="D96" s="39"/>
      <c r="E96" s="678" t="str">
        <f>"(Note "&amp;B$307&amp;")"</f>
        <v>(Note N)</v>
      </c>
      <c r="F96" s="458" t="s">
        <v>303</v>
      </c>
      <c r="H96" s="423">
        <f>'5 - Cost Support'!G128</f>
        <v>0</v>
      </c>
      <c r="I96" s="458"/>
    </row>
    <row r="97" spans="1:9">
      <c r="A97" s="77"/>
      <c r="B97" s="39"/>
      <c r="C97" s="39"/>
      <c r="D97" s="39"/>
      <c r="E97" s="478"/>
      <c r="F97" s="458"/>
      <c r="H97" s="75"/>
      <c r="I97" s="458"/>
    </row>
    <row r="98" spans="1:9" ht="16.5" thickBot="1">
      <c r="A98" s="77">
        <f>A96+1</f>
        <v>54</v>
      </c>
      <c r="B98" s="408" t="s">
        <v>593</v>
      </c>
      <c r="C98" s="408"/>
      <c r="D98" s="408"/>
      <c r="E98" s="489"/>
      <c r="F98" s="822" t="str">
        <f>"(Lines "&amp;A75&amp;" + "&amp;A78&amp;" + "&amp;A81&amp;" + "&amp;A88&amp;" + "&amp;A93&amp;" - "&amp;A96&amp;")"</f>
        <v>(Lines 42 + 43 + 44 + 49 + 52 - 53)</v>
      </c>
      <c r="G98" s="415"/>
      <c r="H98" s="427">
        <f>H75+H78+H81+H88+H93-H96</f>
        <v>-903777250.11924803</v>
      </c>
      <c r="I98" s="458"/>
    </row>
    <row r="99" spans="1:9" ht="15.75" thickTop="1">
      <c r="A99" s="77"/>
      <c r="B99" s="39"/>
      <c r="C99" s="39"/>
      <c r="D99" s="39"/>
      <c r="E99" s="472"/>
      <c r="F99" s="458"/>
      <c r="H99" s="843"/>
      <c r="I99" s="458"/>
    </row>
    <row r="100" spans="1:9" ht="16.5" thickBot="1">
      <c r="A100" s="26">
        <f>+A98+1</f>
        <v>55</v>
      </c>
      <c r="B100" s="408" t="s">
        <v>487</v>
      </c>
      <c r="C100" s="408"/>
      <c r="D100" s="408"/>
      <c r="E100" s="489"/>
      <c r="F100" s="822" t="str">
        <f>"(Line "&amp;A70&amp;" + Line "&amp;A98&amp;")"</f>
        <v>(Line 41 + Line 54)</v>
      </c>
      <c r="G100" s="408"/>
      <c r="H100" s="846">
        <f>H70+H98</f>
        <v>3512042202.1895757</v>
      </c>
      <c r="I100" s="458"/>
    </row>
    <row r="101" spans="1:9" ht="15.75" thickTop="1">
      <c r="B101" s="39"/>
      <c r="C101" s="39"/>
      <c r="D101" s="39"/>
      <c r="E101" s="472"/>
      <c r="F101" s="460"/>
      <c r="H101" s="39"/>
      <c r="I101" s="458"/>
    </row>
    <row r="102" spans="1:9" s="44" customFormat="1" ht="15.75">
      <c r="A102" s="1179" t="s">
        <v>614</v>
      </c>
      <c r="B102" s="1179"/>
      <c r="C102" s="1179"/>
      <c r="D102" s="107"/>
      <c r="E102" s="501"/>
      <c r="F102" s="823"/>
      <c r="G102" s="108"/>
      <c r="H102" s="109"/>
      <c r="I102" s="458"/>
    </row>
    <row r="103" spans="1:9" s="44" customFormat="1">
      <c r="A103" s="43"/>
      <c r="B103" s="43"/>
      <c r="C103" s="43"/>
      <c r="D103" s="43"/>
      <c r="E103" s="502"/>
      <c r="F103" s="458"/>
      <c r="H103" s="97"/>
      <c r="I103" s="458"/>
    </row>
    <row r="104" spans="1:9" ht="15.75">
      <c r="A104" s="26"/>
      <c r="B104" s="399" t="s">
        <v>478</v>
      </c>
      <c r="D104" s="401"/>
      <c r="E104" s="471"/>
      <c r="F104" s="460"/>
      <c r="G104" s="401"/>
      <c r="H104" s="401"/>
      <c r="I104" s="458"/>
    </row>
    <row r="105" spans="1:9" ht="15.75">
      <c r="A105" s="65">
        <f>+A100+1</f>
        <v>56</v>
      </c>
      <c r="B105" s="65"/>
      <c r="C105" s="409" t="s">
        <v>478</v>
      </c>
      <c r="D105" s="43"/>
      <c r="E105" s="302"/>
      <c r="F105" s="824" t="s">
        <v>303</v>
      </c>
      <c r="G105" s="398"/>
      <c r="H105" s="423">
        <f>'5 - Cost Support'!I135</f>
        <v>115752591</v>
      </c>
      <c r="I105" s="458"/>
    </row>
    <row r="106" spans="1:9">
      <c r="A106" s="65">
        <f>A105+1</f>
        <v>57</v>
      </c>
      <c r="B106" s="65"/>
      <c r="C106" s="409" t="s">
        <v>524</v>
      </c>
      <c r="D106" s="43"/>
      <c r="E106" s="302"/>
      <c r="F106" s="824" t="s">
        <v>303</v>
      </c>
      <c r="G106" s="43"/>
      <c r="H106" s="423">
        <f>'5 - Cost Support'!I138</f>
        <v>7092445</v>
      </c>
      <c r="I106" s="458"/>
    </row>
    <row r="107" spans="1:9">
      <c r="A107" s="65">
        <f>+A106+1</f>
        <v>58</v>
      </c>
      <c r="B107" s="65"/>
      <c r="C107" s="409" t="s">
        <v>620</v>
      </c>
      <c r="D107" s="43"/>
      <c r="E107" s="302"/>
      <c r="F107" s="824" t="str">
        <f>+F106</f>
        <v>Attachment 5</v>
      </c>
      <c r="G107" s="43"/>
      <c r="H107" s="423">
        <f>+'5 - Cost Support'!G138</f>
        <v>7092445</v>
      </c>
      <c r="I107" s="458"/>
    </row>
    <row r="108" spans="1:9">
      <c r="A108" s="65">
        <f>+A107+1</f>
        <v>59</v>
      </c>
      <c r="B108" s="65"/>
      <c r="C108" s="409" t="s">
        <v>189</v>
      </c>
      <c r="D108" s="43"/>
      <c r="E108" s="678" t="str">
        <f>"(Note "&amp;B$310&amp;")"</f>
        <v>(Note O)</v>
      </c>
      <c r="F108" s="824" t="s">
        <v>125</v>
      </c>
      <c r="G108" s="43"/>
      <c r="H108" s="423"/>
      <c r="I108" s="458"/>
    </row>
    <row r="109" spans="1:9">
      <c r="A109" s="26">
        <f>+A108+1</f>
        <v>60</v>
      </c>
      <c r="B109" s="26"/>
      <c r="C109" s="409" t="s">
        <v>479</v>
      </c>
      <c r="D109" s="400"/>
      <c r="E109" s="468" t="str">
        <f>"(Note "&amp;B$287&amp;")"</f>
        <v>(Note A)</v>
      </c>
      <c r="F109" s="825" t="s">
        <v>444</v>
      </c>
      <c r="G109" s="43"/>
      <c r="H109" s="1076">
        <v>0</v>
      </c>
      <c r="I109" s="458"/>
    </row>
    <row r="110" spans="1:9" ht="15.75">
      <c r="A110" s="65">
        <f>+A109+1</f>
        <v>61</v>
      </c>
      <c r="B110" s="43"/>
      <c r="C110" s="414" t="s">
        <v>478</v>
      </c>
      <c r="D110" s="45"/>
      <c r="E110" s="482"/>
      <c r="F110" s="820" t="str">
        <f>"(Lines "&amp;A105&amp;"  - "&amp;A106&amp;" + "&amp;A107&amp;" + "&amp;A108&amp;" + "&amp;A109&amp;")"</f>
        <v>(Lines 56  - 57 + 58 + 59 + 60)</v>
      </c>
      <c r="G110" s="47"/>
      <c r="H110" s="428">
        <f>H105-H106+H107+H108+H109</f>
        <v>115752591</v>
      </c>
      <c r="I110" s="458"/>
    </row>
    <row r="111" spans="1:9" ht="15.75">
      <c r="A111" s="65"/>
      <c r="B111" s="65"/>
      <c r="C111" s="399"/>
      <c r="D111" s="43"/>
      <c r="E111" s="481"/>
      <c r="F111" s="826"/>
      <c r="G111" s="43"/>
      <c r="H111" s="379"/>
      <c r="I111" s="458"/>
    </row>
    <row r="112" spans="1:9" ht="15.75">
      <c r="A112" s="65"/>
      <c r="B112" s="399" t="s">
        <v>77</v>
      </c>
      <c r="C112" s="43"/>
      <c r="D112" s="43"/>
      <c r="E112" s="481"/>
      <c r="F112" s="826"/>
      <c r="G112" s="43"/>
      <c r="H112" s="379"/>
      <c r="I112" s="458"/>
    </row>
    <row r="113" spans="1:9">
      <c r="A113" s="65">
        <f>A110+1</f>
        <v>62</v>
      </c>
      <c r="B113" s="65"/>
      <c r="C113" s="409" t="s">
        <v>482</v>
      </c>
      <c r="D113" s="43"/>
      <c r="E113" s="301"/>
      <c r="F113" s="824" t="str">
        <f>F106</f>
        <v>Attachment 5</v>
      </c>
      <c r="G113" s="43"/>
      <c r="H113" s="824">
        <f>'5 - Cost Support'!I61</f>
        <v>475549005</v>
      </c>
      <c r="I113" s="458"/>
    </row>
    <row r="114" spans="1:9">
      <c r="A114" s="65">
        <f t="shared" ref="A114:A124" si="0">+A113+1</f>
        <v>63</v>
      </c>
      <c r="B114" s="65"/>
      <c r="C114" s="409" t="s">
        <v>581</v>
      </c>
      <c r="D114" s="43"/>
      <c r="E114" s="678" t="str">
        <f>"(Note "&amp;B$299&amp;")"</f>
        <v>(Note J)</v>
      </c>
      <c r="F114" s="824" t="s">
        <v>588</v>
      </c>
      <c r="G114" s="43"/>
      <c r="H114" s="824">
        <f>+'5 - Cost Support'!G63</f>
        <v>-6752430</v>
      </c>
      <c r="I114" s="458"/>
    </row>
    <row r="115" spans="1:9">
      <c r="A115" s="65">
        <f t="shared" si="0"/>
        <v>64</v>
      </c>
      <c r="B115" s="65"/>
      <c r="C115" s="409" t="s">
        <v>249</v>
      </c>
      <c r="D115" s="43"/>
      <c r="E115" s="477"/>
      <c r="F115" s="824" t="s">
        <v>303</v>
      </c>
      <c r="G115" s="43"/>
      <c r="H115" s="824">
        <f>'5 - Cost Support'!G64</f>
        <v>-6752430</v>
      </c>
      <c r="I115" s="458"/>
    </row>
    <row r="116" spans="1:9">
      <c r="A116" s="65">
        <f t="shared" si="0"/>
        <v>65</v>
      </c>
      <c r="B116" s="65"/>
      <c r="C116" s="409" t="s">
        <v>354</v>
      </c>
      <c r="D116" s="400"/>
      <c r="E116" s="477"/>
      <c r="F116" s="824" t="str">
        <f>F107</f>
        <v>Attachment 5</v>
      </c>
      <c r="G116" s="43"/>
      <c r="H116" s="824">
        <f>'5 - Cost Support'!G65</f>
        <v>17019039</v>
      </c>
      <c r="I116" s="458"/>
    </row>
    <row r="117" spans="1:9">
      <c r="A117" s="65">
        <f t="shared" si="0"/>
        <v>66</v>
      </c>
      <c r="B117" s="65"/>
      <c r="C117" s="44" t="s">
        <v>586</v>
      </c>
      <c r="D117" s="400"/>
      <c r="E117" s="477"/>
      <c r="F117" s="824" t="s">
        <v>303</v>
      </c>
      <c r="G117" s="43"/>
      <c r="H117" s="824">
        <f>'5 - Cost Support'!G66</f>
        <v>532127</v>
      </c>
      <c r="I117" s="458"/>
    </row>
    <row r="118" spans="1:9">
      <c r="A118" s="65">
        <f t="shared" si="0"/>
        <v>67</v>
      </c>
      <c r="B118" s="65"/>
      <c r="C118" s="409" t="s">
        <v>527</v>
      </c>
      <c r="D118" s="400"/>
      <c r="E118" s="301"/>
      <c r="F118" s="827" t="s">
        <v>410</v>
      </c>
      <c r="G118" s="43"/>
      <c r="H118" s="1066">
        <v>420626</v>
      </c>
      <c r="I118" s="458"/>
    </row>
    <row r="119" spans="1:9">
      <c r="A119" s="65">
        <f t="shared" si="0"/>
        <v>68</v>
      </c>
      <c r="B119" s="65"/>
      <c r="C119" s="409" t="s">
        <v>528</v>
      </c>
      <c r="D119" s="400"/>
      <c r="E119" s="678" t="str">
        <f>"(Note "&amp;B$293&amp;")"</f>
        <v>(Note E)</v>
      </c>
      <c r="F119" s="827" t="s">
        <v>411</v>
      </c>
      <c r="G119" s="43"/>
      <c r="H119" s="1066">
        <v>2389788</v>
      </c>
      <c r="I119" s="458"/>
    </row>
    <row r="120" spans="1:9">
      <c r="A120" s="65">
        <f t="shared" si="0"/>
        <v>69</v>
      </c>
      <c r="B120" s="65"/>
      <c r="C120" s="409" t="s">
        <v>529</v>
      </c>
      <c r="D120" s="400"/>
      <c r="E120" s="301"/>
      <c r="F120" s="827" t="s">
        <v>412</v>
      </c>
      <c r="G120" s="43"/>
      <c r="H120" s="1066">
        <v>5727838</v>
      </c>
      <c r="I120" s="458"/>
    </row>
    <row r="121" spans="1:9">
      <c r="A121" s="65">
        <f t="shared" si="0"/>
        <v>70</v>
      </c>
      <c r="B121" s="65"/>
      <c r="C121" s="409" t="s">
        <v>513</v>
      </c>
      <c r="D121" s="44"/>
      <c r="E121" s="678" t="str">
        <f>"(Note "&amp;B$292&amp;")"</f>
        <v>(Note D)</v>
      </c>
      <c r="F121" s="825" t="s">
        <v>609</v>
      </c>
      <c r="G121" s="43"/>
      <c r="H121" s="383">
        <f>'5 - Cost Support'!H54</f>
        <v>0</v>
      </c>
      <c r="I121" s="458"/>
    </row>
    <row r="122" spans="1:9" ht="15.75">
      <c r="A122" s="65">
        <f t="shared" si="0"/>
        <v>71</v>
      </c>
      <c r="B122" s="65"/>
      <c r="C122" s="414" t="s">
        <v>78</v>
      </c>
      <c r="D122" s="45"/>
      <c r="E122" s="485"/>
      <c r="F122" s="820" t="str">
        <f>"Sum (Lines "&amp;A113&amp;" to "&amp;A114&amp;") -  Sum (Lines "&amp;A115&amp;" to "&amp;A121&amp;")"</f>
        <v>Sum (Lines 62 to 63) -  Sum (Lines 64 to 70)</v>
      </c>
      <c r="G122" s="45"/>
      <c r="H122" s="842">
        <f>SUM(H113:H114)-SUM(H115:H121)</f>
        <v>449459587</v>
      </c>
      <c r="I122" s="458"/>
    </row>
    <row r="123" spans="1:9" ht="15.75">
      <c r="A123" s="65">
        <f t="shared" si="0"/>
        <v>72</v>
      </c>
      <c r="B123" s="65"/>
      <c r="C123" s="128" t="s">
        <v>597</v>
      </c>
      <c r="D123" s="54"/>
      <c r="E123" s="478"/>
      <c r="F123" s="828" t="str">
        <f>"(Line "&amp;A$15&amp;")"</f>
        <v>(Line 5)</v>
      </c>
      <c r="G123" s="50"/>
      <c r="H123" s="852">
        <f>H15</f>
        <v>0.13134730519136981</v>
      </c>
      <c r="I123" s="458"/>
    </row>
    <row r="124" spans="1:9" ht="15.75">
      <c r="A124" s="65">
        <f t="shared" si="0"/>
        <v>73</v>
      </c>
      <c r="B124" s="65"/>
      <c r="C124" s="414" t="s">
        <v>79</v>
      </c>
      <c r="D124" s="45"/>
      <c r="E124" s="503"/>
      <c r="F124" s="820" t="str">
        <f>"(Line "&amp;A122&amp;" * Line "&amp;A123&amp;")"</f>
        <v>(Line 71 * Line 72)</v>
      </c>
      <c r="G124" s="49"/>
      <c r="H124" s="851">
        <f>H122*H123</f>
        <v>59035305.544876032</v>
      </c>
      <c r="I124" s="458"/>
    </row>
    <row r="125" spans="1:9" ht="15.75">
      <c r="A125" s="65"/>
      <c r="B125" s="65"/>
      <c r="C125" s="385"/>
      <c r="D125" s="68"/>
      <c r="E125" s="504"/>
      <c r="F125" s="829"/>
      <c r="G125" s="51"/>
      <c r="H125" s="411"/>
      <c r="I125" s="458"/>
    </row>
    <row r="126" spans="1:9" ht="15.75">
      <c r="A126" s="65"/>
      <c r="B126" s="399" t="s">
        <v>404</v>
      </c>
      <c r="C126" s="44"/>
      <c r="D126" s="68"/>
      <c r="E126" s="504"/>
      <c r="F126" s="829"/>
      <c r="G126" s="51"/>
      <c r="H126" s="411"/>
      <c r="I126" s="458"/>
    </row>
    <row r="127" spans="1:9">
      <c r="A127" s="65">
        <f>+A124+1</f>
        <v>74</v>
      </c>
      <c r="B127" s="41"/>
      <c r="C127" s="42" t="s">
        <v>530</v>
      </c>
      <c r="D127" s="138"/>
      <c r="E127" s="678" t="str">
        <f>"(Note "&amp;B$295&amp;")"</f>
        <v>(Note G)</v>
      </c>
      <c r="F127" s="824" t="s">
        <v>303</v>
      </c>
      <c r="G127" s="44"/>
      <c r="H127" s="423">
        <f>'5 - Cost Support'!H73</f>
        <v>17249</v>
      </c>
      <c r="I127" s="458"/>
    </row>
    <row r="128" spans="1:9">
      <c r="A128" s="26">
        <f>+A127+1</f>
        <v>75</v>
      </c>
      <c r="B128" s="41"/>
      <c r="C128" s="128" t="s">
        <v>531</v>
      </c>
      <c r="D128" s="146"/>
      <c r="E128" s="468" t="str">
        <f>"(Note "&amp;B$304&amp;")"</f>
        <v>(Note K)</v>
      </c>
      <c r="F128" s="825" t="s">
        <v>303</v>
      </c>
      <c r="G128" s="311"/>
      <c r="H128" s="1073">
        <f>'5 - Cost Support'!H92</f>
        <v>88574</v>
      </c>
      <c r="I128" s="458"/>
    </row>
    <row r="129" spans="1:9" ht="15.75">
      <c r="A129" s="26">
        <f>+A128+1</f>
        <v>76</v>
      </c>
      <c r="B129" s="41"/>
      <c r="C129" s="42" t="s">
        <v>610</v>
      </c>
      <c r="D129" s="43"/>
      <c r="E129" s="505"/>
      <c r="F129" s="820" t="str">
        <f>"(Line "&amp;A127&amp;" + Line "&amp;A128&amp;")"</f>
        <v>(Line 74 + Line 75)</v>
      </c>
      <c r="G129" s="44"/>
      <c r="H129" s="429">
        <f>SUM(H127:H128)</f>
        <v>105823</v>
      </c>
      <c r="I129" s="458"/>
    </row>
    <row r="130" spans="1:9" ht="15.75">
      <c r="A130" s="65"/>
      <c r="B130" s="41"/>
      <c r="C130" s="42"/>
      <c r="D130" s="43"/>
      <c r="E130" s="505"/>
      <c r="F130" s="830"/>
      <c r="G130" s="44"/>
      <c r="H130" s="819"/>
      <c r="I130" s="458"/>
    </row>
    <row r="131" spans="1:9">
      <c r="A131" s="26">
        <f>+A129+1</f>
        <v>77</v>
      </c>
      <c r="B131" s="41"/>
      <c r="C131" s="42" t="s">
        <v>532</v>
      </c>
      <c r="D131" s="43"/>
      <c r="E131" s="478"/>
      <c r="F131" s="830" t="str">
        <f>"(Line "&amp;A118&amp;")"</f>
        <v>(Line 67)</v>
      </c>
      <c r="G131" s="44"/>
      <c r="H131" s="847">
        <f>H118</f>
        <v>420626</v>
      </c>
      <c r="I131" s="458"/>
    </row>
    <row r="132" spans="1:9">
      <c r="A132" s="26">
        <f>+A131+1</f>
        <v>78</v>
      </c>
      <c r="B132" s="41"/>
      <c r="C132" s="42" t="s">
        <v>531</v>
      </c>
      <c r="D132" s="43"/>
      <c r="E132" s="678" t="str">
        <f>"(Note "&amp;B$294&amp;")"</f>
        <v>(Note F)</v>
      </c>
      <c r="F132" s="825" t="s">
        <v>303</v>
      </c>
      <c r="G132" s="44"/>
      <c r="H132" s="1067">
        <f>'5 - Cost Support'!H79</f>
        <v>0</v>
      </c>
      <c r="I132" s="458"/>
    </row>
    <row r="133" spans="1:9">
      <c r="A133" s="65">
        <f>+A132+1</f>
        <v>79</v>
      </c>
      <c r="B133" s="41"/>
      <c r="C133" s="312" t="s">
        <v>611</v>
      </c>
      <c r="D133" s="45"/>
      <c r="E133" s="479"/>
      <c r="F133" s="820" t="str">
        <f>"(Line "&amp;A131&amp;" + Line "&amp;A132&amp;")"</f>
        <v>(Line 77 + Line 78)</v>
      </c>
      <c r="G133" s="47"/>
      <c r="H133" s="836">
        <f>SUM(H131:H132)</f>
        <v>420626</v>
      </c>
      <c r="I133" s="458"/>
    </row>
    <row r="134" spans="1:9" ht="15.75">
      <c r="A134" s="26">
        <f>+A133+1</f>
        <v>80</v>
      </c>
      <c r="B134" s="65"/>
      <c r="C134" s="351" t="s">
        <v>486</v>
      </c>
      <c r="D134" s="54"/>
      <c r="E134" s="493"/>
      <c r="F134" s="825" t="str">
        <f>"(Line "&amp;A$30&amp;")"</f>
        <v>(Line 14)</v>
      </c>
      <c r="G134" s="50"/>
      <c r="H134" s="852">
        <f>H30</f>
        <v>0.25238744991173706</v>
      </c>
      <c r="I134" s="458"/>
    </row>
    <row r="135" spans="1:9" ht="15.75">
      <c r="A135" s="65">
        <f>+A134+1</f>
        <v>81</v>
      </c>
      <c r="B135" s="65"/>
      <c r="C135" s="414" t="s">
        <v>406</v>
      </c>
      <c r="D135" s="45"/>
      <c r="E135" s="503"/>
      <c r="F135" s="831" t="str">
        <f>"(Line "&amp;A133&amp;" * Line "&amp;A134&amp;")"</f>
        <v>(Line 79 * Line 80)</v>
      </c>
      <c r="G135" s="49"/>
      <c r="H135" s="853">
        <f>H133*H134</f>
        <v>106160.72350657432</v>
      </c>
      <c r="I135" s="458"/>
    </row>
    <row r="136" spans="1:9" ht="15.75">
      <c r="A136" s="65"/>
      <c r="B136" s="65"/>
      <c r="C136" s="385"/>
      <c r="D136" s="68"/>
      <c r="E136" s="504"/>
      <c r="F136" s="831"/>
      <c r="G136" s="51"/>
      <c r="H136" s="854"/>
      <c r="I136" s="458"/>
    </row>
    <row r="137" spans="1:9" ht="15.75">
      <c r="A137" s="65"/>
      <c r="B137" s="399" t="s">
        <v>325</v>
      </c>
      <c r="C137" s="385"/>
      <c r="D137" s="68"/>
      <c r="E137" s="487"/>
      <c r="F137" s="820"/>
      <c r="G137" s="68"/>
      <c r="H137" s="854"/>
      <c r="I137" s="458"/>
    </row>
    <row r="138" spans="1:9">
      <c r="A138" s="65">
        <f>A135+1</f>
        <v>82</v>
      </c>
      <c r="B138" s="65"/>
      <c r="C138" s="42" t="s">
        <v>207</v>
      </c>
      <c r="D138" s="68"/>
      <c r="E138" s="487"/>
      <c r="F138" s="824" t="s">
        <v>303</v>
      </c>
      <c r="G138" s="68"/>
      <c r="H138" s="400">
        <f>'5 - Cost Support'!F120</f>
        <v>126846948.00778952</v>
      </c>
      <c r="I138" s="458"/>
    </row>
    <row r="139" spans="1:9">
      <c r="A139" s="65">
        <f>A138+1</f>
        <v>83</v>
      </c>
      <c r="B139" s="65"/>
      <c r="C139" s="391" t="s">
        <v>324</v>
      </c>
      <c r="D139" s="143"/>
      <c r="E139" s="486"/>
      <c r="F139" s="825" t="str">
        <f>"(Line "&amp;A$199&amp;")"</f>
        <v>(Line 120)</v>
      </c>
      <c r="G139" s="143"/>
      <c r="H139" s="995">
        <f>H199</f>
        <v>4.7590113163469928E-2</v>
      </c>
      <c r="I139" s="458"/>
    </row>
    <row r="140" spans="1:9" ht="15.75">
      <c r="A140" s="65">
        <f>A139+1</f>
        <v>84</v>
      </c>
      <c r="B140" s="65"/>
      <c r="C140" s="399" t="s">
        <v>325</v>
      </c>
      <c r="D140" s="43"/>
      <c r="E140" s="481"/>
      <c r="F140" s="820" t="str">
        <f>"(Line "&amp;A138&amp;" * Line "&amp;A139&amp;")"</f>
        <v>(Line 82 * Line 83)</v>
      </c>
      <c r="G140" s="43"/>
      <c r="H140" s="430">
        <f>H138*H139</f>
        <v>6036660.61013149</v>
      </c>
      <c r="I140" s="458"/>
    </row>
    <row r="141" spans="1:9" ht="15.75">
      <c r="A141" s="65"/>
      <c r="B141" s="65"/>
      <c r="C141" s="399"/>
      <c r="D141" s="43"/>
      <c r="E141" s="481"/>
      <c r="F141" s="826"/>
      <c r="G141" s="43"/>
      <c r="H141" s="820"/>
      <c r="I141" s="458"/>
    </row>
    <row r="142" spans="1:9" ht="16.5" thickBot="1">
      <c r="A142" s="65">
        <f>A140+1</f>
        <v>85</v>
      </c>
      <c r="B142" s="65"/>
      <c r="C142" s="406" t="s">
        <v>196</v>
      </c>
      <c r="D142" s="100"/>
      <c r="E142" s="506"/>
      <c r="F142" s="832" t="str">
        <f>"(Lines "&amp;A110&amp;" + "&amp;A124&amp;" + "&amp;A129&amp;" + "&amp;A135&amp;" + "&amp;A140&amp;")"</f>
        <v>(Lines 61 + 73 + 76 + 81 + 84)</v>
      </c>
      <c r="G142" s="100"/>
      <c r="H142" s="832">
        <f>H110+H124+H129+H135+H140</f>
        <v>181036540.87851411</v>
      </c>
      <c r="I142" s="458"/>
    </row>
    <row r="143" spans="1:9" ht="16.5" thickTop="1">
      <c r="A143" s="40"/>
      <c r="B143" s="26"/>
      <c r="C143" s="399"/>
      <c r="D143" s="43"/>
      <c r="E143" s="507"/>
      <c r="F143" s="27"/>
      <c r="G143" s="27"/>
      <c r="H143" s="33"/>
      <c r="I143" s="458"/>
    </row>
    <row r="144" spans="1:9" ht="15.75">
      <c r="A144" s="1179" t="s">
        <v>474</v>
      </c>
      <c r="B144" s="1179"/>
      <c r="C144" s="1179"/>
      <c r="D144" s="107"/>
      <c r="E144" s="501"/>
      <c r="F144" s="108"/>
      <c r="G144" s="108"/>
      <c r="H144" s="109"/>
      <c r="I144" s="458"/>
    </row>
    <row r="145" spans="1:9" ht="15.75">
      <c r="A145" s="399"/>
      <c r="B145" s="26"/>
      <c r="C145" s="399"/>
      <c r="D145" s="43"/>
      <c r="E145" s="471"/>
      <c r="F145" s="27"/>
      <c r="G145" s="27"/>
      <c r="H145" s="379"/>
      <c r="I145" s="458"/>
    </row>
    <row r="146" spans="1:9" ht="15.75">
      <c r="A146" s="77"/>
      <c r="B146" s="381" t="s">
        <v>386</v>
      </c>
      <c r="C146" s="39"/>
      <c r="E146" s="472"/>
      <c r="F146" s="88"/>
      <c r="G146" s="63"/>
      <c r="H146" s="850"/>
      <c r="I146" s="458"/>
    </row>
    <row r="147" spans="1:9">
      <c r="A147" s="65">
        <f>+A142+1</f>
        <v>86</v>
      </c>
      <c r="B147" s="41"/>
      <c r="C147" s="42" t="s">
        <v>159</v>
      </c>
      <c r="D147" s="43"/>
      <c r="E147" s="678" t="str">
        <f>"(Note "&amp;B$299&amp;")"</f>
        <v>(Note J)</v>
      </c>
      <c r="F147" s="42" t="s">
        <v>623</v>
      </c>
      <c r="G147" s="44"/>
      <c r="H147" s="1072">
        <v>98826267</v>
      </c>
      <c r="I147" s="458"/>
    </row>
    <row r="148" spans="1:9" ht="15.75">
      <c r="A148" s="65"/>
      <c r="B148" s="41"/>
      <c r="C148" s="42"/>
      <c r="D148" s="43"/>
      <c r="E148" s="496"/>
      <c r="F148" s="42"/>
      <c r="G148" s="127"/>
      <c r="H148" s="850"/>
      <c r="I148" s="458"/>
    </row>
    <row r="149" spans="1:9">
      <c r="A149" s="65">
        <f>+A147+1</f>
        <v>87</v>
      </c>
      <c r="B149" s="41"/>
      <c r="C149" s="351" t="s">
        <v>160</v>
      </c>
      <c r="D149" s="68"/>
      <c r="E149" s="678" t="str">
        <f>"(Note "&amp;B$299&amp;")"</f>
        <v>(Note J)</v>
      </c>
      <c r="F149" s="351" t="s">
        <v>54</v>
      </c>
      <c r="G149" s="89"/>
      <c r="H149" s="1112">
        <v>102657524</v>
      </c>
      <c r="I149" s="458"/>
    </row>
    <row r="150" spans="1:9">
      <c r="A150" s="65">
        <f>A149+1</f>
        <v>88</v>
      </c>
      <c r="B150" s="41"/>
      <c r="C150" s="391" t="s">
        <v>656</v>
      </c>
      <c r="D150" s="143"/>
      <c r="E150" s="468" t="str">
        <f>"(Note "&amp;B$299&amp;")"</f>
        <v>(Note J)</v>
      </c>
      <c r="F150" s="393" t="str">
        <f>F127</f>
        <v>Attachment 5</v>
      </c>
      <c r="G150" s="143"/>
      <c r="H150" s="825">
        <f>'5 - Cost Support'!H23</f>
        <v>53578674.477400005</v>
      </c>
      <c r="I150" s="458"/>
    </row>
    <row r="151" spans="1:9">
      <c r="A151" s="65">
        <f>A150+1</f>
        <v>89</v>
      </c>
      <c r="B151" s="41"/>
      <c r="C151" s="409" t="s">
        <v>655</v>
      </c>
      <c r="D151" s="43"/>
      <c r="E151" s="301"/>
      <c r="F151" s="383" t="str">
        <f>"(Line "&amp;A149&amp;" - Line "&amp;A150&amp;")"</f>
        <v>(Line 87 - Line 88)</v>
      </c>
      <c r="G151" s="43"/>
      <c r="H151" s="824">
        <f>H149-H150</f>
        <v>49078849.522599995</v>
      </c>
      <c r="I151" s="458"/>
    </row>
    <row r="152" spans="1:9">
      <c r="A152" s="65">
        <f>A151+1</f>
        <v>90</v>
      </c>
      <c r="B152" s="41"/>
      <c r="C152" s="128" t="s">
        <v>438</v>
      </c>
      <c r="D152" s="143"/>
      <c r="E152" s="468" t="str">
        <f>"(Note "&amp;B$287&amp;")"</f>
        <v>(Note A)</v>
      </c>
      <c r="F152" s="128" t="s">
        <v>445</v>
      </c>
      <c r="G152" s="311"/>
      <c r="H152" s="1113">
        <f>61622433-4015811</f>
        <v>57606622</v>
      </c>
      <c r="I152" s="458"/>
    </row>
    <row r="153" spans="1:9">
      <c r="A153" s="65">
        <f>+A152+1</f>
        <v>91</v>
      </c>
      <c r="B153" s="41"/>
      <c r="C153" s="351" t="s">
        <v>493</v>
      </c>
      <c r="D153" s="68"/>
      <c r="E153" s="508"/>
      <c r="F153" s="383" t="str">
        <f>"(Line "&amp;A151&amp;" + Line "&amp;A152&amp;")"</f>
        <v>(Line 89 + Line 90)</v>
      </c>
      <c r="G153" s="44"/>
      <c r="H153" s="847">
        <f>SUM(H151:H152)</f>
        <v>106685471.5226</v>
      </c>
      <c r="I153" s="458"/>
    </row>
    <row r="154" spans="1:9" ht="15.75">
      <c r="A154" s="65">
        <f>+A153+1</f>
        <v>92</v>
      </c>
      <c r="B154" s="41"/>
      <c r="C154" s="128" t="s">
        <v>597</v>
      </c>
      <c r="D154" s="80"/>
      <c r="E154" s="483"/>
      <c r="F154" s="143" t="str">
        <f>"(Line "&amp;A$15&amp;")"</f>
        <v>(Line 5)</v>
      </c>
      <c r="G154" s="325"/>
      <c r="H154" s="996">
        <f>H15</f>
        <v>0.13134730519136981</v>
      </c>
      <c r="I154" s="458"/>
    </row>
    <row r="155" spans="1:9" ht="15.75">
      <c r="A155" s="65">
        <f>+A154+1</f>
        <v>93</v>
      </c>
      <c r="B155" s="41"/>
      <c r="C155" s="42" t="s">
        <v>157</v>
      </c>
      <c r="D155" s="43"/>
      <c r="E155" s="496"/>
      <c r="F155" s="383" t="str">
        <f>"(Line "&amp;A153&amp;" * Line "&amp;A154&amp;")"</f>
        <v>(Line 91 * Line 92)</v>
      </c>
      <c r="G155" s="127"/>
      <c r="H155" s="855">
        <f>H153*H154</f>
        <v>14012849.187564135</v>
      </c>
      <c r="I155" s="458"/>
    </row>
    <row r="156" spans="1:9" ht="15.75">
      <c r="A156" s="65">
        <f>A155+1</f>
        <v>94</v>
      </c>
      <c r="B156" s="41"/>
      <c r="C156" s="128" t="s">
        <v>163</v>
      </c>
      <c r="D156" s="143"/>
      <c r="E156" s="495"/>
      <c r="F156" s="393" t="str">
        <f>"(Line "&amp;A150&amp;" * Line "&amp;A65&amp;")"</f>
        <v>(Line 88 * Line 38)</v>
      </c>
      <c r="G156" s="325"/>
      <c r="H156" s="856">
        <f>H150*H65</f>
        <v>20359896.301412005</v>
      </c>
      <c r="I156" s="458"/>
    </row>
    <row r="157" spans="1:9" ht="15.75">
      <c r="A157" s="65">
        <f>A156+1</f>
        <v>95</v>
      </c>
      <c r="B157" s="41"/>
      <c r="C157" s="422" t="s">
        <v>158</v>
      </c>
      <c r="D157" s="43"/>
      <c r="E157" s="496"/>
      <c r="F157" s="383" t="str">
        <f>"(Line "&amp;A155&amp;" + Line "&amp;A156&amp;")"</f>
        <v>(Line 93 + Line 94)</v>
      </c>
      <c r="G157" s="127"/>
      <c r="H157" s="293">
        <f>H155+H156</f>
        <v>34372745.488976136</v>
      </c>
      <c r="I157" s="458"/>
    </row>
    <row r="158" spans="1:9" ht="15.75">
      <c r="A158" s="65"/>
      <c r="B158" s="41"/>
      <c r="C158" s="42"/>
      <c r="D158" s="43"/>
      <c r="E158" s="496"/>
      <c r="F158" s="383"/>
      <c r="G158" s="127"/>
      <c r="H158" s="423"/>
      <c r="I158" s="458"/>
    </row>
    <row r="159" spans="1:9" ht="15.75">
      <c r="A159" s="87"/>
      <c r="B159" s="29"/>
      <c r="C159" s="42"/>
      <c r="D159" s="43"/>
      <c r="E159" s="496"/>
      <c r="F159" s="42"/>
      <c r="G159" s="50"/>
      <c r="H159" s="52"/>
      <c r="I159" s="458"/>
    </row>
    <row r="160" spans="1:9" s="61" customFormat="1" ht="16.5" thickBot="1">
      <c r="A160" s="26">
        <f>A157+1</f>
        <v>96</v>
      </c>
      <c r="B160" s="432" t="s">
        <v>475</v>
      </c>
      <c r="C160" s="432"/>
      <c r="D160" s="433"/>
      <c r="E160" s="509"/>
      <c r="F160" s="434" t="str">
        <f>"(Lines "&amp;A147&amp;" + "&amp;A157&amp;")"</f>
        <v>(Lines 86 + 95)</v>
      </c>
      <c r="G160" s="85"/>
      <c r="H160" s="435">
        <f>H147+H157</f>
        <v>133199012.48897614</v>
      </c>
      <c r="I160" s="951"/>
    </row>
    <row r="161" spans="1:9" ht="15.75" thickTop="1">
      <c r="E161" s="472"/>
      <c r="F161" s="460"/>
      <c r="I161" s="458"/>
    </row>
    <row r="162" spans="1:9" ht="15.75">
      <c r="A162" s="1179" t="s">
        <v>616</v>
      </c>
      <c r="B162" s="1179"/>
      <c r="C162" s="1179"/>
      <c r="D162" s="107"/>
      <c r="E162" s="510"/>
      <c r="F162" s="823"/>
      <c r="G162" s="108"/>
      <c r="H162" s="840"/>
      <c r="I162" s="458"/>
    </row>
    <row r="163" spans="1:9" ht="15.75">
      <c r="A163" s="160"/>
      <c r="B163" s="26"/>
      <c r="C163" s="399"/>
      <c r="D163" s="43"/>
      <c r="E163" s="471"/>
      <c r="F163" s="833"/>
      <c r="G163" s="27"/>
      <c r="H163" s="33"/>
      <c r="I163" s="458"/>
    </row>
    <row r="164" spans="1:9" ht="15.75">
      <c r="A164" s="65">
        <f>+A160+1</f>
        <v>97</v>
      </c>
      <c r="B164" s="422" t="s">
        <v>617</v>
      </c>
      <c r="C164" s="291"/>
      <c r="E164" s="477"/>
      <c r="F164" s="458" t="s">
        <v>342</v>
      </c>
      <c r="G164" s="44"/>
      <c r="H164" s="876">
        <f>'2 - Other Taxes'!G36</f>
        <v>11405890.687920041</v>
      </c>
      <c r="I164" s="458"/>
    </row>
    <row r="165" spans="1:9">
      <c r="A165" s="78"/>
      <c r="B165" s="43"/>
      <c r="E165" s="493"/>
      <c r="F165" s="830"/>
      <c r="G165" s="44"/>
      <c r="H165" s="39"/>
      <c r="I165" s="458"/>
    </row>
    <row r="166" spans="1:9" ht="16.5" thickBot="1">
      <c r="A166" s="65">
        <f>+A164+1</f>
        <v>98</v>
      </c>
      <c r="B166" s="406" t="s">
        <v>618</v>
      </c>
      <c r="C166" s="406"/>
      <c r="D166" s="433"/>
      <c r="E166" s="489"/>
      <c r="F166" s="832" t="str">
        <f>"(Line "&amp;A164&amp;")"</f>
        <v>(Line 97)</v>
      </c>
      <c r="G166" s="408"/>
      <c r="H166" s="417">
        <f>H164</f>
        <v>11405890.687920041</v>
      </c>
      <c r="I166" s="458"/>
    </row>
    <row r="167" spans="1:9" ht="15.75" thickTop="1">
      <c r="A167" s="77"/>
      <c r="E167" s="472"/>
      <c r="F167" s="44"/>
      <c r="I167" s="458"/>
    </row>
    <row r="168" spans="1:9" ht="15.75">
      <c r="A168" s="1179" t="s">
        <v>619</v>
      </c>
      <c r="B168" s="1179"/>
      <c r="C168" s="1179"/>
      <c r="D168" s="107"/>
      <c r="E168" s="501"/>
      <c r="F168" s="108"/>
      <c r="G168" s="108"/>
      <c r="H168" s="840"/>
      <c r="I168" s="458"/>
    </row>
    <row r="169" spans="1:9" ht="15.75">
      <c r="A169" s="40"/>
      <c r="B169" s="26"/>
      <c r="C169" s="399"/>
      <c r="D169" s="43"/>
      <c r="E169" s="471"/>
      <c r="F169" s="27"/>
      <c r="G169" s="27"/>
      <c r="H169" s="33"/>
      <c r="I169" s="458"/>
    </row>
    <row r="170" spans="1:9" ht="15.75">
      <c r="A170" s="65"/>
      <c r="B170" s="386" t="s">
        <v>383</v>
      </c>
      <c r="D170" s="51"/>
      <c r="E170" s="511"/>
      <c r="G170" s="411"/>
      <c r="H170" s="39"/>
      <c r="I170" s="458"/>
    </row>
    <row r="171" spans="1:9" ht="15.75">
      <c r="A171" s="65">
        <f>+A166+1</f>
        <v>99</v>
      </c>
      <c r="B171" s="386"/>
      <c r="C171" s="27" t="s">
        <v>383</v>
      </c>
      <c r="D171" s="51"/>
      <c r="E171" s="511"/>
      <c r="F171" s="383" t="s">
        <v>303</v>
      </c>
      <c r="G171" s="411"/>
      <c r="H171" s="875">
        <f>'5 - Cost Support'!I146</f>
        <v>346475873</v>
      </c>
      <c r="I171" s="458"/>
    </row>
    <row r="172" spans="1:9">
      <c r="A172" s="65">
        <f>+A171+1</f>
        <v>100</v>
      </c>
      <c r="B172" s="65"/>
      <c r="C172" s="436" t="s">
        <v>385</v>
      </c>
      <c r="D172" s="143"/>
      <c r="E172" s="468" t="str">
        <f>"(Note "&amp;B$312&amp;")"</f>
        <v>(Note P)</v>
      </c>
      <c r="F172" s="393" t="s">
        <v>302</v>
      </c>
      <c r="G172" s="437"/>
      <c r="H172" s="1073">
        <f>'8 - Securitization'!E14</f>
        <v>0</v>
      </c>
      <c r="I172" s="458"/>
    </row>
    <row r="173" spans="1:9" ht="15.75">
      <c r="A173" s="26">
        <f>+A172+1</f>
        <v>101</v>
      </c>
      <c r="B173" s="26"/>
      <c r="C173" s="386" t="s">
        <v>383</v>
      </c>
      <c r="D173" s="51"/>
      <c r="E173" s="512"/>
      <c r="F173" s="383" t="str">
        <f>"(Line "&amp;A171&amp;" - Line "&amp;A172&amp;")"</f>
        <v>(Line 99 - Line 100)</v>
      </c>
      <c r="G173" s="411"/>
      <c r="H173" s="411">
        <f>H171-H172</f>
        <v>346475873</v>
      </c>
      <c r="I173" s="458"/>
    </row>
    <row r="174" spans="1:9">
      <c r="A174" s="26"/>
      <c r="B174" s="26"/>
      <c r="C174" s="401"/>
      <c r="E174" s="478"/>
      <c r="F174" s="43"/>
      <c r="G174" s="401"/>
      <c r="H174" s="401"/>
      <c r="I174" s="458"/>
    </row>
    <row r="175" spans="1:9" ht="15.75">
      <c r="A175" s="26">
        <f>+A173+1</f>
        <v>102</v>
      </c>
      <c r="B175" s="438" t="s">
        <v>471</v>
      </c>
      <c r="E175" s="507" t="s">
        <v>489</v>
      </c>
      <c r="F175" s="400" t="s">
        <v>451</v>
      </c>
      <c r="G175" s="401"/>
      <c r="H175" s="1066">
        <v>0</v>
      </c>
      <c r="I175" s="458"/>
    </row>
    <row r="176" spans="1:9">
      <c r="A176" s="26"/>
      <c r="B176" s="26"/>
      <c r="C176" s="405"/>
      <c r="E176" s="507"/>
      <c r="F176" s="400"/>
      <c r="G176" s="401"/>
      <c r="H176" s="401"/>
      <c r="I176" s="458"/>
    </row>
    <row r="177" spans="1:9" ht="15.75">
      <c r="A177" s="26"/>
      <c r="B177" s="439" t="s">
        <v>375</v>
      </c>
      <c r="E177" s="507"/>
      <c r="F177" s="400"/>
      <c r="G177" s="401"/>
      <c r="H177" s="401"/>
      <c r="I177" s="458"/>
    </row>
    <row r="178" spans="1:9">
      <c r="A178" s="26">
        <f>+A175+1</f>
        <v>103</v>
      </c>
      <c r="B178" s="26"/>
      <c r="C178" s="401" t="s">
        <v>495</v>
      </c>
      <c r="D178" s="401"/>
      <c r="E178" s="477"/>
      <c r="F178" s="400" t="s">
        <v>452</v>
      </c>
      <c r="G178" s="401"/>
      <c r="H178" s="1066">
        <v>8722498446</v>
      </c>
      <c r="I178" s="458"/>
    </row>
    <row r="179" spans="1:9">
      <c r="A179" s="65">
        <f>A178+1</f>
        <v>104</v>
      </c>
      <c r="B179" s="65"/>
      <c r="C179" s="400" t="s">
        <v>590</v>
      </c>
      <c r="D179" s="400"/>
      <c r="E179" s="481"/>
      <c r="F179" s="400" t="s">
        <v>591</v>
      </c>
      <c r="G179" s="401"/>
      <c r="H179" s="1066">
        <v>-14658</v>
      </c>
      <c r="I179" s="458"/>
    </row>
    <row r="180" spans="1:9">
      <c r="A180" s="65">
        <f>A179+1</f>
        <v>105</v>
      </c>
      <c r="B180" s="65"/>
      <c r="C180" s="400" t="s">
        <v>440</v>
      </c>
      <c r="D180" s="400"/>
      <c r="E180" s="481"/>
      <c r="F180" s="68" t="str">
        <f>"(Line "&amp;A191&amp;")"</f>
        <v>(Line 114)</v>
      </c>
      <c r="G180" s="401"/>
      <c r="H180" s="400">
        <f>H191</f>
        <v>0</v>
      </c>
      <c r="I180" s="458"/>
    </row>
    <row r="181" spans="1:9">
      <c r="A181" s="65">
        <f>+A180+1</f>
        <v>106</v>
      </c>
      <c r="B181" s="65"/>
      <c r="C181" s="393" t="s">
        <v>439</v>
      </c>
      <c r="D181" s="393"/>
      <c r="E181" s="486"/>
      <c r="F181" s="393" t="s">
        <v>453</v>
      </c>
      <c r="G181" s="437"/>
      <c r="H181" s="1073">
        <v>16953392</v>
      </c>
      <c r="I181" s="458"/>
    </row>
    <row r="182" spans="1:9" ht="15.75">
      <c r="A182" s="65">
        <f>+A181+1</f>
        <v>107</v>
      </c>
      <c r="B182" s="65"/>
      <c r="C182" s="413" t="s">
        <v>375</v>
      </c>
      <c r="D182" s="383"/>
      <c r="E182" s="484"/>
      <c r="F182" s="43" t="str">
        <f>"(Line "&amp;A178&amp;" - "&amp;A179&amp;" - "&amp;A180&amp;" - "&amp;A181&amp;")"</f>
        <v>(Line 103 - 104 - 105 - 106)</v>
      </c>
      <c r="G182" s="110"/>
      <c r="H182" s="401">
        <f>H178-H179-H180-H181</f>
        <v>8705559712</v>
      </c>
      <c r="I182" s="458"/>
    </row>
    <row r="183" spans="1:9">
      <c r="A183" s="65"/>
      <c r="B183" s="65"/>
      <c r="C183" s="409"/>
      <c r="D183" s="43"/>
      <c r="E183" s="481"/>
      <c r="F183" s="400"/>
      <c r="G183" s="27"/>
      <c r="H183" s="401"/>
      <c r="I183" s="458"/>
    </row>
    <row r="184" spans="1:9" ht="15.75">
      <c r="A184" s="26"/>
      <c r="B184" s="439" t="s">
        <v>441</v>
      </c>
      <c r="E184" s="507"/>
      <c r="F184" s="400"/>
      <c r="G184" s="27"/>
      <c r="H184" s="401"/>
      <c r="I184" s="458"/>
    </row>
    <row r="185" spans="1:9">
      <c r="A185" s="26">
        <f>+A182+1</f>
        <v>108</v>
      </c>
      <c r="B185" s="26"/>
      <c r="C185" s="405" t="s">
        <v>384</v>
      </c>
      <c r="E185" s="493"/>
      <c r="F185" s="409" t="s">
        <v>99</v>
      </c>
      <c r="G185" s="27"/>
      <c r="H185" s="1066">
        <v>7299786000</v>
      </c>
      <c r="I185" s="458"/>
    </row>
    <row r="186" spans="1:9">
      <c r="A186" s="65">
        <f t="shared" ref="A186:A193" si="1">+A185+1</f>
        <v>109</v>
      </c>
      <c r="B186" s="26"/>
      <c r="C186" s="405" t="s">
        <v>51</v>
      </c>
      <c r="E186" s="481"/>
      <c r="F186" s="409" t="s">
        <v>454</v>
      </c>
      <c r="G186" s="27"/>
      <c r="H186" s="1066">
        <v>31573759</v>
      </c>
      <c r="I186" s="458"/>
    </row>
    <row r="187" spans="1:9">
      <c r="A187" s="65">
        <f t="shared" si="1"/>
        <v>110</v>
      </c>
      <c r="B187" s="26"/>
      <c r="C187" s="405" t="s">
        <v>60</v>
      </c>
      <c r="E187" s="493"/>
      <c r="F187" s="389" t="s">
        <v>455</v>
      </c>
      <c r="G187" s="27"/>
      <c r="H187" s="1066">
        <v>0</v>
      </c>
      <c r="I187" s="458"/>
    </row>
    <row r="188" spans="1:9">
      <c r="A188" s="65">
        <f>+A187+1</f>
        <v>111</v>
      </c>
      <c r="B188" s="65"/>
      <c r="C188" s="409" t="s">
        <v>352</v>
      </c>
      <c r="D188" s="273"/>
      <c r="E188" s="481"/>
      <c r="F188" s="389" t="s">
        <v>301</v>
      </c>
      <c r="G188" s="43"/>
      <c r="H188" s="400">
        <f>'1 - ADIT'!D22</f>
        <v>-12204845</v>
      </c>
      <c r="I188" s="458"/>
    </row>
    <row r="189" spans="1:9">
      <c r="A189" s="65">
        <f>+A188+1</f>
        <v>112</v>
      </c>
      <c r="B189" s="65"/>
      <c r="C189" s="44" t="s">
        <v>119</v>
      </c>
      <c r="E189" s="678" t="str">
        <f>"(Note "&amp;B$312&amp;")"</f>
        <v>(Note P)</v>
      </c>
      <c r="F189" s="393" t="str">
        <f>+F172</f>
        <v>Attachment 8</v>
      </c>
      <c r="G189" s="27"/>
      <c r="H189" s="1073">
        <f>'8 - Securitization'!E18</f>
        <v>0</v>
      </c>
      <c r="I189" s="458"/>
    </row>
    <row r="190" spans="1:9">
      <c r="A190" s="65">
        <f>+A189+1</f>
        <v>113</v>
      </c>
      <c r="B190" s="65"/>
      <c r="C190" s="402" t="s">
        <v>380</v>
      </c>
      <c r="D190" s="45"/>
      <c r="E190" s="482"/>
      <c r="F190" s="43" t="str">
        <f>"(Line "&amp;A185&amp;" - "&amp;A186&amp;" + "&amp;A187&amp;" - "&amp;A188&amp;" - "&amp;A189&amp;")"</f>
        <v>(Line 108 - 109 + 110 - 111 - 112)</v>
      </c>
      <c r="G190" s="45"/>
      <c r="H190" s="404">
        <f>H185-H186+H187-H188-H189</f>
        <v>7280417086</v>
      </c>
      <c r="I190" s="458"/>
    </row>
    <row r="191" spans="1:9">
      <c r="A191" s="26">
        <f t="shared" si="1"/>
        <v>114</v>
      </c>
      <c r="B191" s="26"/>
      <c r="C191" s="405" t="s">
        <v>396</v>
      </c>
      <c r="E191" s="493"/>
      <c r="F191" s="409" t="s">
        <v>456</v>
      </c>
      <c r="G191" s="27"/>
      <c r="H191" s="1066">
        <v>0</v>
      </c>
      <c r="I191" s="458"/>
    </row>
    <row r="192" spans="1:9">
      <c r="A192" s="26">
        <f t="shared" si="1"/>
        <v>115</v>
      </c>
      <c r="B192" s="26"/>
      <c r="C192" s="405" t="s">
        <v>375</v>
      </c>
      <c r="E192" s="478"/>
      <c r="F192" s="393" t="str">
        <f>"(Line "&amp;A182&amp;")"</f>
        <v>(Line 107)</v>
      </c>
      <c r="G192" s="27"/>
      <c r="H192" s="411">
        <f>H182</f>
        <v>8705559712</v>
      </c>
      <c r="I192" s="458"/>
    </row>
    <row r="193" spans="1:9" ht="15.75">
      <c r="A193" s="26">
        <f t="shared" si="1"/>
        <v>116</v>
      </c>
      <c r="B193" s="26"/>
      <c r="C193" s="414" t="s">
        <v>379</v>
      </c>
      <c r="D193" s="49"/>
      <c r="E193" s="479"/>
      <c r="F193" s="383" t="str">
        <f>"(Sum Lines "&amp;A190&amp;" to "&amp;A192&amp;")"</f>
        <v>(Sum Lines 113 to 115)</v>
      </c>
      <c r="G193" s="403"/>
      <c r="H193" s="403">
        <f>SUM(H190:H192)</f>
        <v>15985976798</v>
      </c>
      <c r="I193" s="458"/>
    </row>
    <row r="194" spans="1:9">
      <c r="A194" s="26"/>
      <c r="B194" s="26"/>
      <c r="C194" s="405"/>
      <c r="E194" s="478"/>
      <c r="F194" s="44"/>
      <c r="G194" s="401"/>
      <c r="H194" s="235"/>
      <c r="I194" s="458"/>
    </row>
    <row r="195" spans="1:9">
      <c r="A195" s="65">
        <f>+A193+1</f>
        <v>117</v>
      </c>
      <c r="B195" s="26"/>
      <c r="C195" s="67" t="s">
        <v>535</v>
      </c>
      <c r="D195" s="389" t="s">
        <v>380</v>
      </c>
      <c r="E195" s="678" t="str">
        <f>"(Note "&amp;B$313&amp;")"</f>
        <v>(Note Q)</v>
      </c>
      <c r="F195" s="383" t="str">
        <f>"(Line "&amp;A190&amp;" / Line "&amp;A193&amp;")"</f>
        <v>(Line 113 / Line 116)</v>
      </c>
      <c r="G195" s="401"/>
      <c r="H195" s="790">
        <f>1-H196-H197</f>
        <v>0.45542522537070429</v>
      </c>
      <c r="I195" s="458"/>
    </row>
    <row r="196" spans="1:9">
      <c r="A196" s="65">
        <f>+A195+1</f>
        <v>118</v>
      </c>
      <c r="B196" s="26"/>
      <c r="C196" s="67" t="s">
        <v>542</v>
      </c>
      <c r="D196" s="405" t="s">
        <v>396</v>
      </c>
      <c r="E196" s="477"/>
      <c r="F196" s="383" t="str">
        <f>"(Line "&amp;A191&amp;" / Line "&amp;A193&amp;")"</f>
        <v>(Line 114 / Line 116)</v>
      </c>
      <c r="G196" s="401"/>
      <c r="H196" s="440">
        <f>H191/H193</f>
        <v>0</v>
      </c>
      <c r="I196" s="458"/>
    </row>
    <row r="197" spans="1:9">
      <c r="A197" s="65">
        <f>+A196+1</f>
        <v>119</v>
      </c>
      <c r="B197" s="26"/>
      <c r="C197" s="67" t="s">
        <v>536</v>
      </c>
      <c r="D197" s="405" t="s">
        <v>375</v>
      </c>
      <c r="E197" s="678" t="str">
        <f>"(Note "&amp;B$313&amp;")"</f>
        <v>(Note Q)</v>
      </c>
      <c r="F197" s="383" t="str">
        <f>"(Line "&amp;A192&amp;" / Line "&amp;A193&amp;")"</f>
        <v>(Line 115 / Line 116)</v>
      </c>
      <c r="G197" s="401"/>
      <c r="H197" s="1077">
        <f>IF(H192/H193&gt;55%,55%,H192/H193)</f>
        <v>0.54457477462929571</v>
      </c>
      <c r="I197" s="458"/>
    </row>
    <row r="198" spans="1:9">
      <c r="A198" s="65"/>
      <c r="B198" s="26"/>
      <c r="C198" s="441"/>
      <c r="E198" s="478"/>
      <c r="F198" s="400"/>
      <c r="G198" s="401"/>
      <c r="H198" s="235"/>
      <c r="I198" s="458"/>
    </row>
    <row r="199" spans="1:9">
      <c r="A199" s="65">
        <f>+A197+1</f>
        <v>120</v>
      </c>
      <c r="B199" s="26"/>
      <c r="C199" s="441" t="s">
        <v>537</v>
      </c>
      <c r="D199" s="389" t="s">
        <v>380</v>
      </c>
      <c r="E199" s="478"/>
      <c r="F199" s="383" t="str">
        <f>"(Line "&amp;A173&amp;" / Line "&amp;A190&amp;")"</f>
        <v>(Line 101 / Line 113)</v>
      </c>
      <c r="G199" s="401"/>
      <c r="H199" s="1004">
        <f>H173/H190</f>
        <v>4.7590113163469928E-2</v>
      </c>
      <c r="I199" s="458"/>
    </row>
    <row r="200" spans="1:9">
      <c r="A200" s="65">
        <f>+A199+1</f>
        <v>121</v>
      </c>
      <c r="B200" s="26"/>
      <c r="C200" s="441" t="s">
        <v>543</v>
      </c>
      <c r="D200" s="405" t="s">
        <v>396</v>
      </c>
      <c r="E200" s="478"/>
      <c r="F200" s="383" t="str">
        <f>"(Line "&amp;A175&amp;" / Line "&amp;A191&amp;")"</f>
        <v>(Line 102 / Line 114)</v>
      </c>
      <c r="G200" s="401"/>
      <c r="H200" s="1004">
        <v>0</v>
      </c>
      <c r="I200" s="458"/>
    </row>
    <row r="201" spans="1:9">
      <c r="A201" s="65">
        <f>+A200+1</f>
        <v>122</v>
      </c>
      <c r="B201" s="26"/>
      <c r="C201" s="441" t="s">
        <v>538</v>
      </c>
      <c r="D201" s="405" t="s">
        <v>375</v>
      </c>
      <c r="E201" s="678" t="str">
        <f>"(Note "&amp;B$299&amp;")"</f>
        <v>(Note J)</v>
      </c>
      <c r="F201" s="400" t="s">
        <v>521</v>
      </c>
      <c r="G201" s="401"/>
      <c r="H201" s="1004">
        <f>0.11+0.005</f>
        <v>0.115</v>
      </c>
      <c r="I201" s="458"/>
    </row>
    <row r="202" spans="1:9">
      <c r="A202" s="65"/>
      <c r="B202" s="26"/>
      <c r="C202" s="441"/>
      <c r="E202" s="478"/>
      <c r="F202" s="400"/>
      <c r="G202" s="401"/>
      <c r="H202" s="461"/>
      <c r="I202" s="458"/>
    </row>
    <row r="203" spans="1:9">
      <c r="A203" s="65">
        <f>+A201+1</f>
        <v>123</v>
      </c>
      <c r="B203" s="26"/>
      <c r="C203" s="67" t="s">
        <v>539</v>
      </c>
      <c r="D203" s="389" t="s">
        <v>381</v>
      </c>
      <c r="E203" s="478"/>
      <c r="F203" s="383" t="str">
        <f>"(Line "&amp;A195&amp;" * Line "&amp;A199&amp;")"</f>
        <v>(Line 117 * Line 120)</v>
      </c>
      <c r="G203" s="442"/>
      <c r="H203" s="461">
        <f>H195*H199</f>
        <v>2.1673738012890614E-2</v>
      </c>
      <c r="I203" s="458"/>
    </row>
    <row r="204" spans="1:9">
      <c r="A204" s="65">
        <f>+A203+1</f>
        <v>124</v>
      </c>
      <c r="B204" s="26"/>
      <c r="C204" s="67" t="s">
        <v>22</v>
      </c>
      <c r="D204" s="405" t="s">
        <v>396</v>
      </c>
      <c r="E204" s="478"/>
      <c r="F204" s="383" t="str">
        <f>"(Line "&amp;A196&amp;" * Line "&amp;A200&amp;")"</f>
        <v>(Line 118 * Line 121)</v>
      </c>
      <c r="G204" s="63"/>
      <c r="H204" s="461">
        <f>H196*H200</f>
        <v>0</v>
      </c>
      <c r="I204" s="458"/>
    </row>
    <row r="205" spans="1:9">
      <c r="A205" s="65">
        <f>+A204+1</f>
        <v>125</v>
      </c>
      <c r="B205" s="135"/>
      <c r="C205" s="81" t="s">
        <v>540</v>
      </c>
      <c r="D205" s="443" t="s">
        <v>375</v>
      </c>
      <c r="E205" s="535"/>
      <c r="F205" s="393" t="str">
        <f>"(Line "&amp;A197&amp;" * Line "&amp;A201&amp;")"</f>
        <v>(Line 119 * Line 122)</v>
      </c>
      <c r="G205" s="444"/>
      <c r="H205" s="1005">
        <f>H197*H201</f>
        <v>6.2626099082369005E-2</v>
      </c>
      <c r="I205" s="458"/>
    </row>
    <row r="206" spans="1:9" s="61" customFormat="1" ht="15.75">
      <c r="A206" s="26">
        <f>+A205+1</f>
        <v>126</v>
      </c>
      <c r="B206" s="445" t="s">
        <v>555</v>
      </c>
      <c r="C206" s="445"/>
      <c r="D206" s="446"/>
      <c r="E206" s="500"/>
      <c r="F206" s="383" t="str">
        <f>"(Sum Lines "&amp;A203&amp;" to "&amp;A205&amp;")"</f>
        <v>(Sum Lines 123 to 125)</v>
      </c>
      <c r="G206" s="447"/>
      <c r="H206" s="989">
        <f>SUM(H203:H205)</f>
        <v>8.4299837095259622E-2</v>
      </c>
      <c r="I206" s="951"/>
    </row>
    <row r="207" spans="1:9" s="61" customFormat="1" ht="15.75">
      <c r="A207" s="449"/>
      <c r="B207" s="449"/>
      <c r="C207" s="445"/>
      <c r="D207" s="446"/>
      <c r="E207" s="500"/>
      <c r="F207" s="413"/>
      <c r="G207" s="447"/>
      <c r="H207" s="448"/>
      <c r="I207" s="951"/>
    </row>
    <row r="208" spans="1:9" ht="16.5" thickBot="1">
      <c r="A208" s="26">
        <f>+A206+1</f>
        <v>127</v>
      </c>
      <c r="B208" s="450" t="s">
        <v>469</v>
      </c>
      <c r="C208" s="91"/>
      <c r="D208" s="433"/>
      <c r="E208" s="513"/>
      <c r="F208" s="416" t="str">
        <f>"(Line "&amp;A100&amp;" * Line "&amp;A206&amp;")"</f>
        <v>(Line 55 * Line 126)</v>
      </c>
      <c r="G208" s="451"/>
      <c r="H208" s="434">
        <f>H100*H206</f>
        <v>296064585.51625806</v>
      </c>
      <c r="I208" s="458"/>
    </row>
    <row r="209" spans="1:9" ht="15.75" thickTop="1">
      <c r="A209" s="26"/>
      <c r="B209" s="26"/>
      <c r="C209" s="405"/>
      <c r="E209" s="472"/>
      <c r="F209" s="834"/>
      <c r="G209" s="401"/>
      <c r="H209" s="857"/>
      <c r="I209" s="458"/>
    </row>
    <row r="210" spans="1:9" ht="15.75">
      <c r="A210" s="1179" t="s">
        <v>218</v>
      </c>
      <c r="B210" s="1179"/>
      <c r="C210" s="1179"/>
      <c r="D210" s="107"/>
      <c r="E210" s="510"/>
      <c r="F210" s="823"/>
      <c r="G210" s="108"/>
      <c r="H210" s="840"/>
      <c r="I210" s="458"/>
    </row>
    <row r="211" spans="1:9" ht="15.75">
      <c r="A211" s="42"/>
      <c r="B211" s="26"/>
      <c r="C211" s="399"/>
      <c r="D211" s="43"/>
      <c r="E211" s="471"/>
      <c r="F211" s="833"/>
      <c r="G211" s="27"/>
      <c r="H211" s="33"/>
      <c r="I211" s="458"/>
    </row>
    <row r="212" spans="1:9" ht="15.75">
      <c r="A212" s="26" t="s">
        <v>391</v>
      </c>
      <c r="B212" s="452" t="s">
        <v>470</v>
      </c>
      <c r="E212" s="471"/>
      <c r="F212" s="834"/>
      <c r="G212" s="453"/>
      <c r="H212" s="27"/>
      <c r="I212" s="458"/>
    </row>
    <row r="213" spans="1:9">
      <c r="A213" s="26">
        <f>+A208+1</f>
        <v>128</v>
      </c>
      <c r="B213" s="26"/>
      <c r="C213" s="27" t="s">
        <v>468</v>
      </c>
      <c r="E213" s="678" t="str">
        <f>"(Note "&amp;B$297&amp;")"</f>
        <v>(Note I)</v>
      </c>
      <c r="F213" s="833"/>
      <c r="G213" s="28"/>
      <c r="H213" s="1080">
        <v>0.35</v>
      </c>
      <c r="I213" s="458"/>
    </row>
    <row r="214" spans="1:9">
      <c r="A214" s="26">
        <f>+A213+1</f>
        <v>129</v>
      </c>
      <c r="B214" s="26"/>
      <c r="C214" s="454" t="s">
        <v>467</v>
      </c>
      <c r="D214" s="455"/>
      <c r="E214" s="478"/>
      <c r="F214" s="833"/>
      <c r="G214" s="28"/>
      <c r="H214" s="1080">
        <v>7.7499999999999999E-2</v>
      </c>
      <c r="I214" s="458"/>
    </row>
    <row r="215" spans="1:9">
      <c r="A215" s="26">
        <f>+A214+1</f>
        <v>130</v>
      </c>
      <c r="B215" s="26"/>
      <c r="C215" s="454" t="s">
        <v>516</v>
      </c>
      <c r="D215" s="28" t="s">
        <v>517</v>
      </c>
      <c r="E215" s="478"/>
      <c r="F215" s="833" t="s">
        <v>120</v>
      </c>
      <c r="G215" s="28"/>
      <c r="H215" s="1080">
        <v>0</v>
      </c>
      <c r="I215" s="458"/>
    </row>
    <row r="216" spans="1:9">
      <c r="A216" s="65">
        <f>+A215+1</f>
        <v>131</v>
      </c>
      <c r="B216" s="65"/>
      <c r="C216" s="454" t="s">
        <v>522</v>
      </c>
      <c r="D216" s="456" t="s">
        <v>533</v>
      </c>
      <c r="E216" s="301"/>
      <c r="F216" s="826"/>
      <c r="G216" s="28"/>
      <c r="H216" s="424">
        <f>1-(((1-H214)*(1-H213))/(1-H214*H213*H215))</f>
        <v>0.40037500000000004</v>
      </c>
      <c r="I216" s="458"/>
    </row>
    <row r="217" spans="1:9" s="460" customFormat="1">
      <c r="A217" s="457">
        <f>A216+1</f>
        <v>132</v>
      </c>
      <c r="B217" s="458"/>
      <c r="C217" s="454" t="s">
        <v>496</v>
      </c>
      <c r="D217" s="458"/>
      <c r="E217" s="514"/>
      <c r="F217" s="458"/>
      <c r="G217" s="458"/>
      <c r="H217" s="459">
        <f>H216/(1-H216)</f>
        <v>0.66770898478215557</v>
      </c>
      <c r="I217" s="458"/>
    </row>
    <row r="218" spans="1:9">
      <c r="A218" s="26"/>
      <c r="B218" s="26"/>
      <c r="E218" s="515"/>
      <c r="F218" s="833"/>
      <c r="G218" s="453"/>
      <c r="H218" s="424"/>
      <c r="I218" s="458"/>
    </row>
    <row r="219" spans="1:9" ht="15.75">
      <c r="A219" s="26"/>
      <c r="B219" s="452" t="s">
        <v>442</v>
      </c>
      <c r="C219" s="405"/>
      <c r="E219" s="678" t="str">
        <f>"(Note "&amp;B$297&amp;")"</f>
        <v>(Note I)</v>
      </c>
      <c r="F219" s="833"/>
      <c r="G219" s="453"/>
      <c r="H219" s="461"/>
      <c r="I219" s="458"/>
    </row>
    <row r="220" spans="1:9">
      <c r="A220" s="26">
        <f>A217+1</f>
        <v>133</v>
      </c>
      <c r="B220" s="26"/>
      <c r="C220" s="409" t="s">
        <v>497</v>
      </c>
      <c r="E220" s="481" t="s">
        <v>520</v>
      </c>
      <c r="F220" s="833" t="s">
        <v>84</v>
      </c>
      <c r="G220" s="453"/>
      <c r="H220" s="1066">
        <v>-2056258</v>
      </c>
      <c r="I220" s="458"/>
    </row>
    <row r="221" spans="1:9">
      <c r="A221" s="65">
        <f>+A220+1</f>
        <v>134</v>
      </c>
      <c r="B221" s="65"/>
      <c r="C221" s="409" t="s">
        <v>514</v>
      </c>
      <c r="D221" s="43"/>
      <c r="E221" s="496"/>
      <c r="F221" s="833" t="str">
        <f>"1 / (1 -Line "&amp;A216&amp;")"</f>
        <v>1 / (1 -Line 131)</v>
      </c>
      <c r="G221" s="462"/>
      <c r="H221" s="459">
        <f>1/(1-H216)</f>
        <v>1.6677089847821556</v>
      </c>
      <c r="I221" s="458"/>
    </row>
    <row r="222" spans="1:9" s="70" customFormat="1" ht="15.75">
      <c r="A222" s="26">
        <f>+A221+1</f>
        <v>135</v>
      </c>
      <c r="B222" s="66"/>
      <c r="C222" s="128" t="s">
        <v>437</v>
      </c>
      <c r="D222" s="80"/>
      <c r="E222" s="516"/>
      <c r="F222" s="825" t="str">
        <f>"(Line "&amp;A$30&amp;")"</f>
        <v>(Line 14)</v>
      </c>
      <c r="G222" s="69"/>
      <c r="H222" s="997">
        <f>H30</f>
        <v>0.25238744991173706</v>
      </c>
      <c r="I222" s="839"/>
    </row>
    <row r="223" spans="1:9" ht="15.75">
      <c r="A223" s="26">
        <f>+A222+1</f>
        <v>136</v>
      </c>
      <c r="B223" s="26"/>
      <c r="C223" s="463" t="s">
        <v>466</v>
      </c>
      <c r="D223" s="45"/>
      <c r="E223" s="477"/>
      <c r="F223" s="820" t="str">
        <f>"(Line "&amp;A220&amp;" * Line "&amp;A221&amp;" * Line "&amp;A222&amp;")"</f>
        <v>(Line 133 * Line 134 * Line 135)</v>
      </c>
      <c r="G223" s="71"/>
      <c r="H223" s="426">
        <f>(H220*H221*H222)</f>
        <v>-865497.12400351663</v>
      </c>
      <c r="I223" s="458"/>
    </row>
    <row r="224" spans="1:9" ht="15.75">
      <c r="A224" s="26"/>
      <c r="B224" s="26"/>
      <c r="C224" s="388"/>
      <c r="D224" s="68"/>
      <c r="E224" s="517"/>
      <c r="F224" s="820"/>
      <c r="G224" s="69"/>
      <c r="H224" s="855"/>
      <c r="I224" s="458"/>
    </row>
    <row r="225" spans="1:9" ht="15.75">
      <c r="A225" s="26"/>
      <c r="B225" s="26"/>
      <c r="E225" s="518"/>
      <c r="F225" s="835"/>
      <c r="G225" s="453"/>
      <c r="H225" s="858"/>
      <c r="I225" s="458"/>
    </row>
    <row r="226" spans="1:9" ht="15.75">
      <c r="A226" s="65">
        <f>+A223+1</f>
        <v>137</v>
      </c>
      <c r="B226" s="174" t="s">
        <v>488</v>
      </c>
      <c r="C226" s="44"/>
      <c r="D226" s="43" t="s">
        <v>643</v>
      </c>
      <c r="E226" s="481"/>
      <c r="F226" s="820" t="str">
        <f>"[Line "&amp;A217&amp;" * Line "&amp;A208&amp;" * (1- (Line "&amp;A203&amp;" / Line "&amp;A206&amp;"))]"</f>
        <v>[Line 132 * Line 127 * (1- (Line 123 / Line 126))]</v>
      </c>
      <c r="G226" s="43"/>
      <c r="H226" s="184">
        <f>((H217*H208*(1-(H203/H206))))</f>
        <v>146859588.47265416</v>
      </c>
      <c r="I226" s="458"/>
    </row>
    <row r="227" spans="1:9" ht="15.75">
      <c r="A227" s="26"/>
      <c r="B227" s="26"/>
      <c r="C227" s="67"/>
      <c r="D227" s="68"/>
      <c r="E227" s="508"/>
      <c r="F227" s="836"/>
      <c r="G227" s="69"/>
      <c r="H227" s="431"/>
      <c r="I227" s="458"/>
    </row>
    <row r="228" spans="1:9" ht="16.5" thickBot="1">
      <c r="A228" s="26">
        <f>+A226+1</f>
        <v>138</v>
      </c>
      <c r="B228" s="450" t="s">
        <v>371</v>
      </c>
      <c r="C228" s="450"/>
      <c r="D228" s="433"/>
      <c r="E228" s="489"/>
      <c r="F228" s="832" t="str">
        <f>"(Line "&amp;A223&amp;" + Line "&amp;A226&amp;")"</f>
        <v>(Line 136 + Line 137)</v>
      </c>
      <c r="G228" s="464"/>
      <c r="H228" s="465">
        <f>H223+H226</f>
        <v>145994091.34865063</v>
      </c>
      <c r="I228" s="458"/>
    </row>
    <row r="229" spans="1:9" ht="17.25" thickTop="1" thickBot="1">
      <c r="A229" s="26"/>
      <c r="B229" s="26"/>
      <c r="C229" s="466"/>
      <c r="E229" s="472"/>
      <c r="F229" s="423"/>
      <c r="G229" s="467"/>
      <c r="H229" s="465"/>
      <c r="I229" s="458"/>
    </row>
    <row r="230" spans="1:9" ht="16.5" thickTop="1">
      <c r="A230" s="1179" t="s">
        <v>615</v>
      </c>
      <c r="B230" s="1179"/>
      <c r="C230" s="1179"/>
      <c r="D230" s="107"/>
      <c r="E230" s="501"/>
      <c r="F230" s="108"/>
      <c r="G230" s="108"/>
      <c r="H230" s="840"/>
      <c r="I230" s="458"/>
    </row>
    <row r="231" spans="1:9">
      <c r="A231" s="77"/>
      <c r="B231" s="39"/>
      <c r="C231" s="39"/>
      <c r="D231" s="39"/>
      <c r="E231" s="472"/>
      <c r="I231" s="458"/>
    </row>
    <row r="232" spans="1:9" ht="15.75">
      <c r="A232" s="77"/>
      <c r="B232" s="61" t="s">
        <v>372</v>
      </c>
      <c r="C232" s="89"/>
      <c r="D232" s="70"/>
      <c r="E232" s="472"/>
      <c r="I232" s="458"/>
    </row>
    <row r="233" spans="1:9">
      <c r="A233" s="77">
        <f>+A228+1</f>
        <v>139</v>
      </c>
      <c r="B233" s="39"/>
      <c r="C233" s="89" t="s">
        <v>373</v>
      </c>
      <c r="D233" s="70"/>
      <c r="E233" s="472"/>
      <c r="F233" s="383" t="str">
        <f>"(Line "&amp;A70&amp;")"</f>
        <v>(Line 41)</v>
      </c>
      <c r="H233" s="843">
        <f>H70</f>
        <v>4415819452.3088236</v>
      </c>
      <c r="I233" s="458"/>
    </row>
    <row r="234" spans="1:9">
      <c r="A234" s="26">
        <f>+A233+1</f>
        <v>140</v>
      </c>
      <c r="B234" s="39"/>
      <c r="C234" s="89" t="s">
        <v>593</v>
      </c>
      <c r="D234" s="70"/>
      <c r="E234" s="472"/>
      <c r="F234" s="393" t="str">
        <f>"(Line "&amp;A98&amp;")"</f>
        <v>(Line 54)</v>
      </c>
      <c r="H234" s="843">
        <f>H98</f>
        <v>-903777250.11924803</v>
      </c>
      <c r="I234" s="458"/>
    </row>
    <row r="235" spans="1:9" ht="15.75">
      <c r="A235" s="26">
        <f>+A234+1</f>
        <v>141</v>
      </c>
      <c r="B235" s="26"/>
      <c r="C235" s="395" t="s">
        <v>487</v>
      </c>
      <c r="D235" s="310"/>
      <c r="E235" s="519"/>
      <c r="F235" s="383" t="str">
        <f>"(Line "&amp;A100&amp;")"</f>
        <v>(Line 55)</v>
      </c>
      <c r="G235" s="396"/>
      <c r="H235" s="118">
        <f>SUM(H233:H234)</f>
        <v>3512042202.1895757</v>
      </c>
      <c r="I235" s="458"/>
    </row>
    <row r="236" spans="1:9">
      <c r="A236" s="26"/>
      <c r="B236" s="26"/>
      <c r="C236" s="389"/>
      <c r="D236" s="68"/>
      <c r="E236" s="471"/>
      <c r="F236" s="43"/>
      <c r="G236" s="27"/>
      <c r="H236" s="75"/>
      <c r="I236" s="458"/>
    </row>
    <row r="237" spans="1:9">
      <c r="A237" s="26">
        <f>+A235+1</f>
        <v>142</v>
      </c>
      <c r="C237" s="389" t="s">
        <v>481</v>
      </c>
      <c r="D237" s="51"/>
      <c r="E237" s="472"/>
      <c r="F237" s="383" t="str">
        <f>"(Line "&amp;A142&amp;")"</f>
        <v>(Line 85)</v>
      </c>
      <c r="H237" s="75">
        <f>H142</f>
        <v>181036540.87851411</v>
      </c>
      <c r="I237" s="458"/>
    </row>
    <row r="238" spans="1:9">
      <c r="A238" s="26">
        <f>+A237+1</f>
        <v>143</v>
      </c>
      <c r="C238" s="351" t="s">
        <v>475</v>
      </c>
      <c r="D238" s="51"/>
      <c r="E238" s="472"/>
      <c r="F238" s="383" t="str">
        <f>"(Line "&amp;A160&amp;")"</f>
        <v>(Line 96)</v>
      </c>
      <c r="H238" s="75">
        <f>H160</f>
        <v>133199012.48897614</v>
      </c>
      <c r="I238" s="458"/>
    </row>
    <row r="239" spans="1:9">
      <c r="A239" s="26">
        <f>+A238+1</f>
        <v>144</v>
      </c>
      <c r="B239" s="26"/>
      <c r="C239" s="389" t="s">
        <v>374</v>
      </c>
      <c r="D239" s="68"/>
      <c r="E239" s="471"/>
      <c r="F239" s="383" t="str">
        <f>"(Line "&amp;A166&amp;")"</f>
        <v>(Line 98)</v>
      </c>
      <c r="G239" s="27"/>
      <c r="H239" s="75">
        <f>H166</f>
        <v>11405890.687920041</v>
      </c>
      <c r="I239" s="458"/>
    </row>
    <row r="240" spans="1:9">
      <c r="A240" s="26">
        <f>+A239+1</f>
        <v>145</v>
      </c>
      <c r="B240" s="26"/>
      <c r="C240" s="397" t="s">
        <v>500</v>
      </c>
      <c r="D240" s="68"/>
      <c r="E240" s="471"/>
      <c r="F240" s="383" t="str">
        <f>"(Line "&amp;A208&amp;")"</f>
        <v>(Line 127)</v>
      </c>
      <c r="G240" s="27"/>
      <c r="H240" s="75">
        <f>H208</f>
        <v>296064585.51625806</v>
      </c>
      <c r="I240" s="458"/>
    </row>
    <row r="241" spans="1:9">
      <c r="A241" s="26">
        <f>+A240+1</f>
        <v>146</v>
      </c>
      <c r="B241" s="26"/>
      <c r="C241" s="397" t="s">
        <v>501</v>
      </c>
      <c r="D241" s="68"/>
      <c r="E241" s="471"/>
      <c r="F241" s="383" t="str">
        <f>"(Line "&amp;A228&amp;")"</f>
        <v>(Line 138)</v>
      </c>
      <c r="G241" s="27"/>
      <c r="H241" s="75">
        <f>H228</f>
        <v>145994091.34865063</v>
      </c>
      <c r="I241" s="458"/>
    </row>
    <row r="242" spans="1:9" ht="15.75" thickBot="1">
      <c r="A242" s="26"/>
      <c r="B242" s="26"/>
      <c r="C242" s="397"/>
      <c r="D242" s="68"/>
      <c r="E242" s="471"/>
      <c r="F242" s="43"/>
      <c r="G242" s="27"/>
      <c r="H242" s="75"/>
      <c r="I242" s="458"/>
    </row>
    <row r="243" spans="1:9" ht="18.75" thickBot="1">
      <c r="A243" s="125">
        <f>+A241+1</f>
        <v>147</v>
      </c>
      <c r="B243" s="122"/>
      <c r="C243" s="309" t="s">
        <v>512</v>
      </c>
      <c r="D243" s="123"/>
      <c r="E243" s="520"/>
      <c r="F243" s="279" t="str">
        <f>"(Sum Lines "&amp;A237&amp;" to "&amp;A241&amp;")"</f>
        <v>(Sum Lines 142 to 146)</v>
      </c>
      <c r="G243" s="124"/>
      <c r="H243" s="859">
        <f>SUM(H237:H241)</f>
        <v>767700120.92031908</v>
      </c>
      <c r="I243" s="458"/>
    </row>
    <row r="244" spans="1:9" ht="15.75">
      <c r="A244" s="384"/>
      <c r="B244" s="66"/>
      <c r="C244" s="385"/>
      <c r="D244" s="171"/>
      <c r="E244" s="521"/>
      <c r="F244" s="73"/>
      <c r="G244" s="51"/>
      <c r="H244" s="860"/>
      <c r="I244" s="458"/>
    </row>
    <row r="245" spans="1:9" ht="15.75">
      <c r="A245" s="387"/>
      <c r="B245" s="388" t="s">
        <v>407</v>
      </c>
      <c r="C245" s="385"/>
      <c r="D245" s="171"/>
      <c r="E245" s="521"/>
      <c r="F245" s="73"/>
      <c r="G245" s="51"/>
      <c r="H245" s="860"/>
      <c r="I245" s="458"/>
    </row>
    <row r="246" spans="1:9" ht="15.75">
      <c r="A246" s="141">
        <f>+A243+1</f>
        <v>148</v>
      </c>
      <c r="B246" s="141"/>
      <c r="C246" s="389" t="str">
        <f>+C35</f>
        <v>Transmission Plant In Service</v>
      </c>
      <c r="D246" s="171"/>
      <c r="E246" s="521"/>
      <c r="F246" s="383" t="str">
        <f>"(Line "&amp;A35&amp;")"</f>
        <v>(Line 15)</v>
      </c>
      <c r="G246" s="51"/>
      <c r="H246" s="390">
        <f>H35</f>
        <v>5005874607</v>
      </c>
      <c r="I246" s="458"/>
    </row>
    <row r="247" spans="1:9" ht="15.75">
      <c r="A247" s="141">
        <f>+A246+1</f>
        <v>149</v>
      </c>
      <c r="B247" s="141"/>
      <c r="C247" s="391" t="s">
        <v>415</v>
      </c>
      <c r="D247" s="392"/>
      <c r="E247" s="468" t="str">
        <f>"(Note "&amp;B$306&amp;")"</f>
        <v>(Note M)</v>
      </c>
      <c r="F247" s="393" t="s">
        <v>303</v>
      </c>
      <c r="G247" s="84"/>
      <c r="H247" s="1084">
        <f>'5 - Cost Support'!G101</f>
        <v>0</v>
      </c>
      <c r="I247" s="458"/>
    </row>
    <row r="248" spans="1:9" ht="15.75">
      <c r="A248" s="141">
        <f>+A247+1</f>
        <v>150</v>
      </c>
      <c r="B248" s="141"/>
      <c r="C248" s="389" t="s">
        <v>416</v>
      </c>
      <c r="D248" s="171"/>
      <c r="E248" s="522"/>
      <c r="F248" s="383" t="str">
        <f>"(Line "&amp;A246&amp;" - Line "&amp;A247&amp;")"</f>
        <v>(Line 148 - Line 149)</v>
      </c>
      <c r="G248" s="51"/>
      <c r="H248" s="390">
        <f>H246-H247</f>
        <v>5005874607</v>
      </c>
      <c r="I248" s="458"/>
    </row>
    <row r="249" spans="1:9" ht="15.75">
      <c r="A249" s="141">
        <f>+A248+1</f>
        <v>151</v>
      </c>
      <c r="B249" s="141"/>
      <c r="C249" s="389" t="s">
        <v>417</v>
      </c>
      <c r="D249" s="171"/>
      <c r="E249" s="521"/>
      <c r="F249" s="383" t="str">
        <f>"(Line "&amp;A248&amp;" / Line "&amp;A246&amp;")"</f>
        <v>(Line 150 / Line 148)</v>
      </c>
      <c r="G249" s="51"/>
      <c r="H249" s="357">
        <f>H248/H246</f>
        <v>1</v>
      </c>
      <c r="I249" s="458"/>
    </row>
    <row r="250" spans="1:9" ht="15.75">
      <c r="A250" s="141">
        <f>+A249+1</f>
        <v>152</v>
      </c>
      <c r="B250" s="141"/>
      <c r="C250" s="391" t="s">
        <v>512</v>
      </c>
      <c r="D250" s="392"/>
      <c r="E250" s="523"/>
      <c r="F250" s="393" t="str">
        <f>"(Line "&amp;A243&amp;")"</f>
        <v>(Line 147)</v>
      </c>
      <c r="G250" s="84"/>
      <c r="H250" s="394">
        <f>H243</f>
        <v>767700120.92031908</v>
      </c>
      <c r="I250" s="458"/>
    </row>
    <row r="251" spans="1:9" ht="15.75">
      <c r="A251" s="141">
        <f>+A250+1</f>
        <v>153</v>
      </c>
      <c r="B251" s="141"/>
      <c r="C251" s="385" t="s">
        <v>418</v>
      </c>
      <c r="D251" s="171"/>
      <c r="E251" s="521"/>
      <c r="F251" s="383" t="str">
        <f>"(Line "&amp;A249&amp;" * Line "&amp;A250&amp;")"</f>
        <v>(Line 151 * Line 152)</v>
      </c>
      <c r="G251" s="51"/>
      <c r="H251" s="380">
        <f>H249*H250</f>
        <v>767700120.92031908</v>
      </c>
      <c r="I251" s="458"/>
    </row>
    <row r="252" spans="1:9" ht="15.75">
      <c r="A252" s="160"/>
      <c r="B252" s="26"/>
      <c r="C252" s="389"/>
      <c r="D252" s="68"/>
      <c r="E252" s="471"/>
      <c r="F252" s="43"/>
      <c r="G252" s="27"/>
      <c r="H252" s="379"/>
      <c r="I252" s="458"/>
    </row>
    <row r="253" spans="1:9" ht="15.75">
      <c r="A253" s="160"/>
      <c r="B253" s="86" t="s">
        <v>126</v>
      </c>
      <c r="C253" s="389"/>
      <c r="D253" s="68"/>
      <c r="E253" s="471"/>
      <c r="F253" s="43"/>
      <c r="G253" s="27"/>
      <c r="H253" s="379"/>
      <c r="I253" s="458"/>
    </row>
    <row r="254" spans="1:9" ht="15.75">
      <c r="A254" s="65">
        <f>+A251+1</f>
        <v>154</v>
      </c>
      <c r="B254" s="39"/>
      <c r="C254" s="381" t="s">
        <v>376</v>
      </c>
      <c r="D254" s="274"/>
      <c r="E254" s="471"/>
      <c r="F254" s="43" t="s">
        <v>304</v>
      </c>
      <c r="G254" s="27"/>
      <c r="H254" s="824">
        <f>'3 - Revenue Credits'!D24</f>
        <v>43740622</v>
      </c>
      <c r="I254" s="458"/>
    </row>
    <row r="255" spans="1:9" ht="15.75">
      <c r="A255" s="65">
        <f>+A254+1</f>
        <v>155</v>
      </c>
      <c r="B255" s="39"/>
      <c r="C255" s="381" t="s">
        <v>124</v>
      </c>
      <c r="D255" s="68"/>
      <c r="E255" s="678" t="str">
        <f>"(Note "&amp;B$307&amp;")"</f>
        <v>(Note N)</v>
      </c>
      <c r="F255" s="27" t="s">
        <v>303</v>
      </c>
      <c r="G255" s="27"/>
      <c r="H255" s="390">
        <f>'5 - Cost Support'!G154</f>
        <v>0</v>
      </c>
      <c r="I255" s="458"/>
    </row>
    <row r="256" spans="1:9" ht="16.5" thickBot="1">
      <c r="A256" s="26"/>
      <c r="B256" s="26"/>
      <c r="C256" s="89"/>
      <c r="D256" s="89"/>
      <c r="E256" s="478"/>
      <c r="F256" s="27"/>
      <c r="G256" s="27"/>
      <c r="H256" s="33"/>
      <c r="I256" s="458"/>
    </row>
    <row r="257" spans="1:9" s="61" customFormat="1" ht="16.5" thickBot="1">
      <c r="A257" s="528">
        <f>+A255+1</f>
        <v>156</v>
      </c>
      <c r="B257" s="529"/>
      <c r="C257" s="530" t="s">
        <v>523</v>
      </c>
      <c r="D257" s="531"/>
      <c r="E257" s="524"/>
      <c r="F257" s="532" t="str">
        <f>"(Line "&amp;A251&amp;" - Line "&amp;A254&amp;" + Line "&amp;A255&amp;")"</f>
        <v>(Line 153 - Line 154 + Line 155)</v>
      </c>
      <c r="G257" s="533"/>
      <c r="H257" s="861">
        <f>H251-H254+H255</f>
        <v>723959498.92031908</v>
      </c>
      <c r="I257" s="951"/>
    </row>
    <row r="258" spans="1:9" ht="15.75">
      <c r="A258" s="160"/>
      <c r="B258" s="26"/>
      <c r="C258" s="89"/>
      <c r="D258" s="89"/>
      <c r="E258" s="472"/>
      <c r="F258" s="833"/>
      <c r="G258" s="27"/>
      <c r="H258" s="33"/>
      <c r="I258" s="458"/>
    </row>
    <row r="259" spans="1:9" ht="15.75">
      <c r="A259" s="65"/>
      <c r="B259" s="120" t="s">
        <v>14</v>
      </c>
      <c r="C259" s="44"/>
      <c r="D259" s="89"/>
      <c r="E259" s="472"/>
      <c r="F259" s="826"/>
      <c r="G259" s="27"/>
      <c r="H259" s="33"/>
      <c r="I259" s="458"/>
    </row>
    <row r="260" spans="1:9" ht="15.75">
      <c r="A260" s="65">
        <f>+A257+1</f>
        <v>157</v>
      </c>
      <c r="B260" s="65"/>
      <c r="C260" s="89" t="str">
        <f>+C250</f>
        <v>Gross Revenue Requirement</v>
      </c>
      <c r="D260" s="89"/>
      <c r="E260" s="472"/>
      <c r="F260" s="826" t="str">
        <f>"(Line "&amp;A250&amp;")"</f>
        <v>(Line 152)</v>
      </c>
      <c r="G260" s="27"/>
      <c r="H260" s="862">
        <f>H250</f>
        <v>767700120.92031908</v>
      </c>
      <c r="I260" s="458"/>
    </row>
    <row r="261" spans="1:9" ht="15.75">
      <c r="A261" s="65">
        <f>+A260+1</f>
        <v>158</v>
      </c>
      <c r="B261" s="65"/>
      <c r="C261" s="89" t="s">
        <v>458</v>
      </c>
      <c r="D261" s="89"/>
      <c r="E261" s="472"/>
      <c r="F261" s="826" t="str">
        <f>"(Line "&amp;A35&amp;" - Line "&amp;A56&amp;")"</f>
        <v>(Line 15 - Line 30)</v>
      </c>
      <c r="G261" s="27"/>
      <c r="H261" s="862">
        <f>(H35-H56)</f>
        <v>3902428251</v>
      </c>
      <c r="I261" s="458"/>
    </row>
    <row r="262" spans="1:9" ht="15.75">
      <c r="A262" s="65">
        <f>+A261+1</f>
        <v>159</v>
      </c>
      <c r="B262" s="65"/>
      <c r="C262" s="89" t="s">
        <v>19</v>
      </c>
      <c r="D262" s="89"/>
      <c r="E262" s="472"/>
      <c r="F262" s="826" t="str">
        <f>"(Line "&amp;A260&amp;" / Line "&amp;A261&amp;")"</f>
        <v>(Line 157 / Line 158)</v>
      </c>
      <c r="G262" s="27"/>
      <c r="H262" s="998">
        <f>H260/H261</f>
        <v>0.19672369907725923</v>
      </c>
      <c r="I262" s="458"/>
    </row>
    <row r="263" spans="1:9" ht="15.75">
      <c r="A263" s="65">
        <f>+A262+1</f>
        <v>160</v>
      </c>
      <c r="B263" s="65"/>
      <c r="C263" s="89" t="s">
        <v>20</v>
      </c>
      <c r="D263" s="89"/>
      <c r="E263" s="472"/>
      <c r="F263" s="826" t="str">
        <f>"(Line "&amp;A260&amp;" - Line "&amp;A147&amp;") / Line "&amp;A261</f>
        <v>(Line 157 - Line 86) / Line 158</v>
      </c>
      <c r="G263" s="27"/>
      <c r="H263" s="998">
        <f>(H260-H147)/H261</f>
        <v>0.17139939824618677</v>
      </c>
      <c r="I263" s="458"/>
    </row>
    <row r="264" spans="1:9" ht="15.75">
      <c r="A264" s="65">
        <f>+A263+1</f>
        <v>161</v>
      </c>
      <c r="B264" s="65"/>
      <c r="C264" s="89" t="s">
        <v>21</v>
      </c>
      <c r="D264" s="89"/>
      <c r="E264" s="302"/>
      <c r="F264" s="826" t="str">
        <f>"(Line "&amp;A260&amp;" - Line "&amp;A147&amp;" - Line "&amp;A208&amp;" - Line "&amp;A228&amp;") / Line "&amp;A261</f>
        <v>(Line 157 - Line 86 - Line 127 - Line 138) / Line 158</v>
      </c>
      <c r="G264" s="27"/>
      <c r="H264" s="998">
        <f>(H260-H147-H208-H228)/H261</f>
        <v>5.8121549575521042E-2</v>
      </c>
      <c r="I264" s="458"/>
    </row>
    <row r="265" spans="1:9" ht="15.75">
      <c r="A265" s="65"/>
      <c r="B265" s="65"/>
      <c r="C265" s="89"/>
      <c r="D265" s="89"/>
      <c r="E265" s="472"/>
      <c r="F265" s="826"/>
      <c r="G265" s="27"/>
      <c r="H265" s="33"/>
      <c r="I265" s="458"/>
    </row>
    <row r="266" spans="1:9" ht="15.75">
      <c r="A266" s="65"/>
      <c r="B266" s="120" t="s">
        <v>15</v>
      </c>
      <c r="C266" s="89"/>
      <c r="D266" s="89"/>
      <c r="E266" s="472"/>
      <c r="F266" s="826"/>
      <c r="G266" s="27"/>
      <c r="H266" s="33"/>
      <c r="I266" s="458"/>
    </row>
    <row r="267" spans="1:9" ht="15.75">
      <c r="A267" s="65">
        <f>+A264+1</f>
        <v>162</v>
      </c>
      <c r="B267" s="65"/>
      <c r="C267" s="89" t="s">
        <v>459</v>
      </c>
      <c r="D267" s="89"/>
      <c r="E267" s="472"/>
      <c r="F267" s="826" t="str">
        <f>"(Line "&amp;A250&amp;" - Line "&amp;A240&amp;" - Line "&amp;A241&amp;")"</f>
        <v>(Line 152 - Line 145 - Line 146)</v>
      </c>
      <c r="G267" s="27"/>
      <c r="H267" s="862">
        <f>H250-H240-H241</f>
        <v>325641444.05541039</v>
      </c>
      <c r="I267" s="458"/>
    </row>
    <row r="268" spans="1:9" ht="15.75">
      <c r="A268" s="65">
        <f>+A267+1</f>
        <v>163</v>
      </c>
      <c r="B268" s="65"/>
      <c r="C268" s="89" t="s">
        <v>190</v>
      </c>
      <c r="D268" s="89"/>
      <c r="E268" s="472"/>
      <c r="F268" s="826" t="s">
        <v>305</v>
      </c>
      <c r="G268" s="27"/>
      <c r="H268" s="862">
        <f>'4 - 100 Basis Pt ROE'!I7</f>
        <v>473954771.76999044</v>
      </c>
      <c r="I268" s="458"/>
    </row>
    <row r="269" spans="1:9" ht="15.75">
      <c r="A269" s="65">
        <f>+A268+1</f>
        <v>164</v>
      </c>
      <c r="B269" s="65"/>
      <c r="C269" s="89" t="s">
        <v>16</v>
      </c>
      <c r="D269" s="89"/>
      <c r="E269" s="472"/>
      <c r="F269" s="826" t="str">
        <f>"(Line "&amp;A267&amp;" + Line "&amp;A268&amp;")"</f>
        <v>(Line 162 + Line 163)</v>
      </c>
      <c r="G269" s="27"/>
      <c r="H269" s="862">
        <f>H267+H268</f>
        <v>799596215.82540083</v>
      </c>
      <c r="I269" s="458"/>
    </row>
    <row r="270" spans="1:9" ht="15.75">
      <c r="A270" s="65">
        <f>+A269+1</f>
        <v>165</v>
      </c>
      <c r="B270" s="65"/>
      <c r="C270" s="89" t="str">
        <f>+C261</f>
        <v xml:space="preserve">Net Transmission Plant </v>
      </c>
      <c r="D270" s="89"/>
      <c r="E270" s="472"/>
      <c r="F270" s="826" t="str">
        <f>"(Line "&amp;A35&amp;" - Line "&amp;A56&amp;")"</f>
        <v>(Line 15 - Line 30)</v>
      </c>
      <c r="G270" s="27"/>
      <c r="H270" s="862">
        <f>H35-H56</f>
        <v>3902428251</v>
      </c>
      <c r="I270" s="458"/>
    </row>
    <row r="271" spans="1:9" ht="15.75">
      <c r="A271" s="65">
        <f>+A270+1</f>
        <v>166</v>
      </c>
      <c r="B271" s="65"/>
      <c r="C271" s="89" t="s">
        <v>17</v>
      </c>
      <c r="D271" s="89"/>
      <c r="E271" s="472"/>
      <c r="F271" s="826" t="str">
        <f>"(Line "&amp;A269&amp;" / Line "&amp;A270&amp;")"</f>
        <v>(Line 164 / Line 165)</v>
      </c>
      <c r="G271" s="27"/>
      <c r="H271" s="998">
        <f>H269/H270</f>
        <v>0.20489709596082997</v>
      </c>
      <c r="I271" s="458"/>
    </row>
    <row r="272" spans="1:9" ht="15.75">
      <c r="A272" s="65">
        <f>+A271+1</f>
        <v>167</v>
      </c>
      <c r="B272" s="65"/>
      <c r="C272" s="89" t="s">
        <v>18</v>
      </c>
      <c r="D272" s="89"/>
      <c r="E272" s="472"/>
      <c r="F272" s="826" t="str">
        <f>"(Line "&amp;A269&amp;" - Line "&amp;A147&amp;") /  Line "&amp;A270</f>
        <v>(Line 164 - Line 86) /  Line 165</v>
      </c>
      <c r="G272" s="27"/>
      <c r="H272" s="998">
        <f>(H269-H147)/H270</f>
        <v>0.17957279512975749</v>
      </c>
      <c r="I272" s="839"/>
    </row>
    <row r="273" spans="1:9" ht="15.75">
      <c r="A273" s="65"/>
      <c r="B273" s="65"/>
      <c r="C273" s="89"/>
      <c r="D273" s="89"/>
      <c r="E273" s="472"/>
      <c r="F273" s="826"/>
      <c r="G273" s="27"/>
      <c r="H273" s="33"/>
      <c r="I273" s="839"/>
    </row>
    <row r="274" spans="1:9" ht="15.75">
      <c r="A274" s="65">
        <f>+A272+1</f>
        <v>168</v>
      </c>
      <c r="B274" s="65"/>
      <c r="C274" s="120" t="s">
        <v>523</v>
      </c>
      <c r="D274" s="89"/>
      <c r="E274" s="302"/>
      <c r="F274" s="826" t="str">
        <f>"(Line "&amp;A257&amp;")"</f>
        <v>(Line 156)</v>
      </c>
      <c r="G274" s="27"/>
      <c r="H274" s="862">
        <f>H257</f>
        <v>723959498.92031908</v>
      </c>
      <c r="I274" s="839"/>
    </row>
    <row r="275" spans="1:9" ht="15.75">
      <c r="A275" s="65">
        <f>+A274+1</f>
        <v>169</v>
      </c>
      <c r="B275" s="65"/>
      <c r="C275" s="89" t="s">
        <v>191</v>
      </c>
      <c r="D275" s="89"/>
      <c r="E275" s="471"/>
      <c r="F275" s="837" t="s">
        <v>300</v>
      </c>
      <c r="G275" s="27"/>
      <c r="H275" s="184">
        <f>'6 - Est &amp; Reconcile WS'!K161</f>
        <v>-498984.74562302249</v>
      </c>
      <c r="I275" s="839"/>
    </row>
    <row r="276" spans="1:9" ht="15.75">
      <c r="A276" s="65">
        <f>+A275+1</f>
        <v>170</v>
      </c>
      <c r="B276" s="65"/>
      <c r="C276" s="89" t="s">
        <v>557</v>
      </c>
      <c r="D276" s="89"/>
      <c r="E276" s="471"/>
      <c r="F276" s="837" t="s">
        <v>182</v>
      </c>
      <c r="G276" s="27"/>
      <c r="H276" s="184">
        <f>'7 - Cap Add WS'!AP53-'7 - Cap Add WS'!AQ52</f>
        <v>2531534.351244539</v>
      </c>
      <c r="I276" s="839"/>
    </row>
    <row r="277" spans="1:9" ht="15.75">
      <c r="A277" s="65">
        <f>+A276+1</f>
        <v>171</v>
      </c>
      <c r="B277" s="65"/>
      <c r="C277" s="68" t="s">
        <v>350</v>
      </c>
      <c r="D277" s="258"/>
      <c r="E277" s="477"/>
      <c r="F277" s="838" t="s">
        <v>353</v>
      </c>
      <c r="G277" s="27"/>
      <c r="H277" s="863">
        <f>+'5 - Cost Support'!G164</f>
        <v>0</v>
      </c>
      <c r="I277" s="839"/>
    </row>
    <row r="278" spans="1:9" ht="15.75">
      <c r="A278" s="65">
        <f>+A277+1</f>
        <v>172</v>
      </c>
      <c r="B278" s="65"/>
      <c r="C278" s="120" t="s">
        <v>130</v>
      </c>
      <c r="D278" s="89"/>
      <c r="E278" s="301"/>
      <c r="F278" s="826" t="str">
        <f>"(Line "&amp;A274&amp;" + "&amp;A275&amp;" + "&amp;A276&amp;" + "&amp;A277&amp;")"</f>
        <v>(Line 168 + 169 + 170 + 171)</v>
      </c>
      <c r="G278" s="27"/>
      <c r="H278" s="862">
        <f>(H274+H275+H276+H277)</f>
        <v>725992048.52594066</v>
      </c>
      <c r="I278" s="839"/>
    </row>
    <row r="279" spans="1:9" ht="15.75">
      <c r="A279" s="65"/>
      <c r="B279" s="26"/>
      <c r="C279" s="89"/>
      <c r="D279" s="89"/>
      <c r="E279" s="478"/>
      <c r="F279" s="826"/>
      <c r="G279" s="27"/>
      <c r="H279" s="184"/>
      <c r="I279" s="839"/>
    </row>
    <row r="280" spans="1:9" ht="15.75">
      <c r="A280" s="65"/>
      <c r="B280" s="381" t="s">
        <v>129</v>
      </c>
      <c r="C280" s="89"/>
      <c r="D280" s="89"/>
      <c r="E280" s="478"/>
      <c r="F280" s="826"/>
      <c r="G280" s="27"/>
      <c r="H280" s="184"/>
      <c r="I280" s="839"/>
    </row>
    <row r="281" spans="1:9" ht="15.75">
      <c r="A281" s="65">
        <f>+A278+1</f>
        <v>173</v>
      </c>
      <c r="B281" s="26"/>
      <c r="C281" s="27" t="s">
        <v>473</v>
      </c>
      <c r="D281" s="113"/>
      <c r="E281" s="678" t="str">
        <f>"(Note "&amp;B$305&amp;")"</f>
        <v>(Note L)</v>
      </c>
      <c r="F281" s="839" t="s">
        <v>125</v>
      </c>
      <c r="G281" s="89"/>
      <c r="H281" s="1129">
        <v>21174.6</v>
      </c>
      <c r="I281" s="839"/>
    </row>
    <row r="282" spans="1:9" ht="15.75">
      <c r="A282" s="65">
        <f>+A281+1</f>
        <v>174</v>
      </c>
      <c r="B282" s="26"/>
      <c r="C282" s="27" t="s">
        <v>472</v>
      </c>
      <c r="D282" s="382"/>
      <c r="E282" s="525"/>
      <c r="F282" s="820" t="str">
        <f>"(Line "&amp;A278&amp;" / "&amp;A281&amp;")"</f>
        <v>(Line 172 / 173)</v>
      </c>
      <c r="G282" s="119"/>
      <c r="H282" s="300">
        <f>H278/H281</f>
        <v>34285.986442527399</v>
      </c>
      <c r="I282" s="839"/>
    </row>
    <row r="283" spans="1:9" ht="16.5" thickBot="1">
      <c r="A283" s="26"/>
      <c r="B283" s="26"/>
      <c r="C283" s="113"/>
      <c r="D283" s="113"/>
      <c r="E283" s="526"/>
      <c r="F283" s="229"/>
      <c r="G283" s="119"/>
      <c r="H283" s="294"/>
      <c r="I283" s="839"/>
    </row>
    <row r="284" spans="1:9" s="70" customFormat="1" ht="16.5" thickBot="1">
      <c r="A284" s="528">
        <f>+A282+1</f>
        <v>175</v>
      </c>
      <c r="B284" s="534"/>
      <c r="C284" s="530" t="s">
        <v>534</v>
      </c>
      <c r="D284" s="534"/>
      <c r="E284" s="527"/>
      <c r="F284" s="530" t="str">
        <f>"(Line "&amp;A282&amp;")"</f>
        <v>(Line 174)</v>
      </c>
      <c r="G284" s="534"/>
      <c r="H284" s="864">
        <f>H282</f>
        <v>34285.986442527399</v>
      </c>
      <c r="I284" s="839"/>
    </row>
    <row r="285" spans="1:9" s="70" customFormat="1" ht="15.75">
      <c r="A285" s="160"/>
      <c r="B285" s="66"/>
      <c r="C285" s="51"/>
      <c r="D285" s="51"/>
      <c r="E285" s="142"/>
      <c r="F285" s="119"/>
      <c r="G285" s="119"/>
      <c r="H285" s="294"/>
      <c r="I285" s="89"/>
    </row>
    <row r="286" spans="1:9" s="70" customFormat="1" ht="20.25">
      <c r="A286" s="328"/>
      <c r="B286" s="329" t="s">
        <v>518</v>
      </c>
      <c r="C286" s="330"/>
      <c r="D286" s="330"/>
      <c r="E286" s="331"/>
      <c r="F286" s="332"/>
      <c r="G286" s="229"/>
      <c r="H286" s="184"/>
      <c r="I286" s="89"/>
    </row>
    <row r="287" spans="1:9" s="70" customFormat="1" ht="20.25">
      <c r="A287" s="333"/>
      <c r="B287" s="280" t="s">
        <v>393</v>
      </c>
      <c r="C287" s="377" t="s">
        <v>526</v>
      </c>
      <c r="D287" s="377"/>
      <c r="E287" s="378"/>
      <c r="F287" s="343"/>
      <c r="G287" s="343"/>
      <c r="H287" s="340"/>
      <c r="I287" s="89"/>
    </row>
    <row r="288" spans="1:9" s="70" customFormat="1" ht="20.25">
      <c r="A288" s="333"/>
      <c r="B288" s="280" t="s">
        <v>494</v>
      </c>
      <c r="C288" s="377" t="str">
        <f>"Line "&amp;A36&amp;", for the Reconciliation, includes New Transmission Plant that was actually placed in service weighted by the number of months it was actually in service"</f>
        <v>Line 16, for the Reconciliation, includes New Transmission Plant that was actually placed in service weighted by the number of months it was actually in service</v>
      </c>
      <c r="D288" s="373"/>
      <c r="E288" s="374"/>
      <c r="F288" s="343"/>
      <c r="G288" s="343"/>
      <c r="H288" s="340"/>
      <c r="I288" s="89"/>
    </row>
    <row r="289" spans="1:9" s="70" customFormat="1" ht="20.25">
      <c r="A289" s="333"/>
      <c r="B289" s="280"/>
      <c r="C289" s="377" t="str">
        <f>"Line "&amp;A37&amp;" includes New Transmission Plant to be placed in servcie in the current calendar year that is not included in the PJM regional Transmission Plan (RTEP)"</f>
        <v>Line 17 includes New Transmission Plant to be placed in servcie in the current calendar year that is not included in the PJM regional Transmission Plan (RTEP)</v>
      </c>
      <c r="D289" s="373"/>
      <c r="E289" s="374"/>
      <c r="F289" s="343"/>
      <c r="G289" s="343"/>
      <c r="H289" s="340"/>
      <c r="I289" s="89"/>
    </row>
    <row r="290" spans="1:9" s="70" customFormat="1" ht="20.25">
      <c r="A290" s="333"/>
      <c r="B290" s="280"/>
      <c r="C290" s="377" t="s">
        <v>155</v>
      </c>
      <c r="D290" s="373"/>
      <c r="E290" s="374"/>
      <c r="F290" s="343"/>
      <c r="G290" s="343"/>
      <c r="H290" s="340"/>
      <c r="I290" s="89"/>
    </row>
    <row r="291" spans="1:9" s="70" customFormat="1" ht="20.25">
      <c r="A291" s="333"/>
      <c r="B291" s="280" t="s">
        <v>377</v>
      </c>
      <c r="C291" s="377" t="s">
        <v>587</v>
      </c>
      <c r="D291" s="373"/>
      <c r="E291" s="374"/>
      <c r="F291" s="343"/>
      <c r="G291" s="343"/>
      <c r="H291" s="340"/>
      <c r="I291" s="89"/>
    </row>
    <row r="292" spans="1:9" s="70" customFormat="1" ht="20.25">
      <c r="A292" s="333"/>
      <c r="B292" s="280" t="s">
        <v>394</v>
      </c>
      <c r="C292" s="377" t="s">
        <v>85</v>
      </c>
      <c r="D292" s="373"/>
      <c r="E292" s="374"/>
      <c r="F292" s="343"/>
      <c r="G292" s="343"/>
      <c r="H292" s="340"/>
      <c r="I292" s="89"/>
    </row>
    <row r="293" spans="1:9" s="70" customFormat="1" ht="20.25">
      <c r="A293" s="333"/>
      <c r="B293" s="280" t="s">
        <v>392</v>
      </c>
      <c r="C293" s="377" t="s">
        <v>560</v>
      </c>
      <c r="D293" s="373"/>
      <c r="E293" s="374"/>
      <c r="F293" s="343"/>
      <c r="G293" s="343"/>
      <c r="H293" s="340"/>
      <c r="I293" s="89"/>
    </row>
    <row r="294" spans="1:9" s="70" customFormat="1" ht="20.25">
      <c r="A294" s="333"/>
      <c r="B294" s="280" t="s">
        <v>169</v>
      </c>
      <c r="C294" s="377" t="s">
        <v>559</v>
      </c>
      <c r="D294" s="373"/>
      <c r="E294" s="374"/>
      <c r="F294" s="343"/>
      <c r="G294" s="343"/>
      <c r="H294" s="340"/>
      <c r="I294" s="89"/>
    </row>
    <row r="295" spans="1:9" s="70" customFormat="1" ht="20.25">
      <c r="A295" s="333"/>
      <c r="B295" s="280" t="s">
        <v>395</v>
      </c>
      <c r="C295" s="377" t="s">
        <v>558</v>
      </c>
      <c r="D295" s="373"/>
      <c r="E295" s="374"/>
      <c r="F295" s="343"/>
      <c r="G295" s="343"/>
      <c r="H295" s="340"/>
      <c r="I295" s="89"/>
    </row>
    <row r="296" spans="1:9" s="70" customFormat="1" ht="20.25">
      <c r="A296" s="333"/>
      <c r="B296" s="280" t="s">
        <v>625</v>
      </c>
      <c r="C296" s="377" t="s">
        <v>122</v>
      </c>
      <c r="D296" s="373"/>
      <c r="E296" s="374"/>
      <c r="F296" s="343"/>
      <c r="G296" s="343"/>
      <c r="H296" s="340"/>
      <c r="I296" s="89"/>
    </row>
    <row r="297" spans="1:9" s="70" customFormat="1" ht="20.25">
      <c r="A297" s="333"/>
      <c r="B297" s="280" t="s">
        <v>658</v>
      </c>
      <c r="C297" s="377" t="s">
        <v>561</v>
      </c>
      <c r="D297" s="373"/>
      <c r="E297" s="374"/>
      <c r="F297" s="343"/>
      <c r="G297" s="343"/>
      <c r="H297" s="340"/>
      <c r="I297" s="89"/>
    </row>
    <row r="298" spans="1:9" s="70" customFormat="1" ht="20.25">
      <c r="A298" s="333"/>
      <c r="B298" s="280"/>
      <c r="C298" s="377" t="s">
        <v>86</v>
      </c>
      <c r="D298" s="373"/>
      <c r="E298" s="374"/>
      <c r="F298" s="343"/>
      <c r="G298" s="343"/>
      <c r="H298" s="340"/>
      <c r="I298" s="89"/>
    </row>
    <row r="299" spans="1:9" s="70" customFormat="1" ht="20.25" customHeight="1">
      <c r="A299" s="333"/>
      <c r="B299" s="280" t="s">
        <v>382</v>
      </c>
      <c r="C299" s="377" t="s">
        <v>582</v>
      </c>
      <c r="D299" s="373"/>
      <c r="E299" s="374"/>
      <c r="F299" s="343"/>
      <c r="G299" s="343"/>
      <c r="H299" s="340"/>
      <c r="I299" s="89"/>
    </row>
    <row r="300" spans="1:9" s="70" customFormat="1" ht="20.25" customHeight="1">
      <c r="A300" s="333"/>
      <c r="B300" s="280"/>
      <c r="C300" s="377" t="s">
        <v>197</v>
      </c>
      <c r="D300" s="373"/>
      <c r="E300" s="374"/>
      <c r="F300" s="343"/>
      <c r="G300" s="343"/>
      <c r="H300" s="340"/>
      <c r="I300" s="89"/>
    </row>
    <row r="301" spans="1:9" s="70" customFormat="1" ht="20.25" customHeight="1">
      <c r="A301" s="333"/>
      <c r="B301" s="280"/>
      <c r="C301" s="377" t="s">
        <v>87</v>
      </c>
      <c r="D301" s="373"/>
      <c r="E301" s="374"/>
      <c r="F301" s="343"/>
      <c r="G301" s="343"/>
      <c r="H301" s="340"/>
      <c r="I301" s="89"/>
    </row>
    <row r="302" spans="1:9" s="70" customFormat="1" ht="20.25" customHeight="1">
      <c r="A302" s="333"/>
      <c r="B302" s="280"/>
      <c r="C302" s="377" t="s">
        <v>88</v>
      </c>
      <c r="D302" s="373"/>
      <c r="E302" s="374"/>
      <c r="F302" s="343"/>
      <c r="G302" s="343"/>
      <c r="H302" s="340"/>
      <c r="I302" s="89"/>
    </row>
    <row r="303" spans="1:9" s="70" customFormat="1" ht="20.25" customHeight="1">
      <c r="A303" s="333"/>
      <c r="B303" s="280"/>
      <c r="C303" s="377" t="s">
        <v>101</v>
      </c>
      <c r="D303" s="373"/>
      <c r="E303" s="374"/>
      <c r="F303" s="343"/>
      <c r="G303" s="343"/>
      <c r="H303" s="340"/>
      <c r="I303" s="89"/>
    </row>
    <row r="304" spans="1:9" s="70" customFormat="1" ht="18.75" customHeight="1">
      <c r="A304" s="333"/>
      <c r="B304" s="280" t="s">
        <v>397</v>
      </c>
      <c r="C304" s="377" t="s">
        <v>28</v>
      </c>
      <c r="D304" s="373"/>
      <c r="E304" s="374"/>
      <c r="F304" s="343"/>
      <c r="G304" s="343"/>
      <c r="H304" s="340"/>
      <c r="I304" s="89"/>
    </row>
    <row r="305" spans="1:9" s="70" customFormat="1" ht="20.25">
      <c r="A305" s="333"/>
      <c r="B305" s="280" t="s">
        <v>476</v>
      </c>
      <c r="C305" s="377" t="s">
        <v>589</v>
      </c>
      <c r="D305" s="373"/>
      <c r="E305" s="374"/>
      <c r="F305" s="343"/>
      <c r="G305" s="343"/>
      <c r="H305" s="340"/>
      <c r="I305" s="89"/>
    </row>
    <row r="306" spans="1:9" ht="20.25">
      <c r="A306" s="334"/>
      <c r="B306" s="280" t="s">
        <v>477</v>
      </c>
      <c r="C306" s="377" t="s">
        <v>548</v>
      </c>
      <c r="D306" s="373"/>
      <c r="E306" s="374"/>
      <c r="F306" s="343"/>
      <c r="G306" s="343"/>
      <c r="H306" s="340"/>
      <c r="I306" s="44"/>
    </row>
    <row r="307" spans="1:9" ht="20.25">
      <c r="A307" s="334"/>
      <c r="B307" s="280" t="s">
        <v>170</v>
      </c>
      <c r="C307" s="377" t="s">
        <v>127</v>
      </c>
      <c r="D307" s="373"/>
      <c r="E307" s="374"/>
      <c r="F307" s="343"/>
      <c r="G307" s="343"/>
      <c r="H307" s="340"/>
      <c r="I307" s="44"/>
    </row>
    <row r="308" spans="1:9" ht="20.25">
      <c r="A308" s="334"/>
      <c r="B308" s="280"/>
      <c r="C308" s="377" t="s">
        <v>646</v>
      </c>
      <c r="D308" s="373"/>
      <c r="E308" s="374"/>
      <c r="F308" s="343"/>
      <c r="G308" s="343"/>
      <c r="H308" s="340"/>
      <c r="I308" s="44"/>
    </row>
    <row r="309" spans="1:9" ht="20.25">
      <c r="A309" s="334"/>
      <c r="B309" s="280"/>
      <c r="C309" s="377" t="str">
        <f>"  Interest on the Network Credits as booked each year is added to the revenue requirement to make the Transmisison Owner whole on Line "&amp;A255&amp;"."</f>
        <v xml:space="preserve">  Interest on the Network Credits as booked each year is added to the revenue requirement to make the Transmisison Owner whole on Line 155.</v>
      </c>
      <c r="D309" s="375"/>
      <c r="E309" s="374"/>
      <c r="F309" s="343"/>
      <c r="G309" s="343"/>
      <c r="H309" s="340"/>
      <c r="I309" s="44"/>
    </row>
    <row r="310" spans="1:9" ht="20.25">
      <c r="A310" s="334"/>
      <c r="B310" s="280" t="s">
        <v>286</v>
      </c>
      <c r="C310" s="377" t="s">
        <v>100</v>
      </c>
      <c r="D310" s="375"/>
      <c r="E310" s="374"/>
      <c r="F310" s="343"/>
      <c r="G310" s="343"/>
      <c r="H310" s="340"/>
      <c r="I310" s="44"/>
    </row>
    <row r="311" spans="1:9" ht="20.25">
      <c r="A311" s="334"/>
      <c r="B311" s="280"/>
      <c r="C311" s="377" t="str">
        <f>"in Transmission O&amp;M on Line "&amp;A105&amp;".    If they are booked to Acct 565, they are included on Line "&amp;A108&amp;"."</f>
        <v>in Transmission O&amp;M on Line 56.    If they are booked to Acct 565, they are included on Line 59.</v>
      </c>
      <c r="D311" s="562"/>
      <c r="E311" s="377"/>
      <c r="F311" s="343"/>
      <c r="G311" s="343"/>
      <c r="H311" s="340"/>
      <c r="I311" s="44"/>
    </row>
    <row r="312" spans="1:9" s="70" customFormat="1" ht="20.25">
      <c r="A312" s="335"/>
      <c r="B312" s="280" t="s">
        <v>425</v>
      </c>
      <c r="C312" s="377" t="s">
        <v>464</v>
      </c>
      <c r="D312" s="376"/>
      <c r="E312" s="376"/>
      <c r="F312" s="234"/>
      <c r="G312" s="280"/>
      <c r="H312" s="280"/>
      <c r="I312" s="89"/>
    </row>
    <row r="313" spans="1:9" ht="20.25">
      <c r="A313" s="336"/>
      <c r="B313" s="280" t="s">
        <v>657</v>
      </c>
      <c r="C313" s="377" t="s">
        <v>463</v>
      </c>
      <c r="D313" s="373"/>
      <c r="E313" s="1009"/>
      <c r="F313" s="344"/>
      <c r="G313" s="343"/>
      <c r="H313" s="340"/>
      <c r="I313" s="44"/>
    </row>
    <row r="314" spans="1:9" ht="20.25">
      <c r="A314" s="336"/>
      <c r="B314" s="280"/>
      <c r="C314" s="377" t="str">
        <f>"period May 1, 2007 through May 31, 2009 the formula produces an equity ratio exceeding 58.0%, the formulaic value at Line "&amp;A197&amp;" shall be manually set to 58.0%"</f>
        <v>period May 1, 2007 through May 31, 2009 the formula produces an equity ratio exceeding 58.0%, the formulaic value at Line 119 shall be manually set to 58.0%</v>
      </c>
      <c r="D314" s="373"/>
      <c r="E314" s="1009"/>
      <c r="F314" s="344"/>
      <c r="G314" s="343"/>
      <c r="H314" s="340"/>
      <c r="I314" s="44"/>
    </row>
    <row r="315" spans="1:9" ht="20.25">
      <c r="A315" s="336"/>
      <c r="B315" s="280"/>
      <c r="C315" s="377" t="str">
        <f>"and the formulaic value at Line "&amp;A195&amp;" shall be manually set to 42.0% less the percentage shown at Line "&amp;A196&amp;"."</f>
        <v>and the formulaic value at Line 117 shall be manually set to 42.0% less the percentage shown at Line 118.</v>
      </c>
      <c r="D315" s="373"/>
      <c r="E315" s="1009"/>
      <c r="F315" s="344"/>
      <c r="G315" s="343"/>
      <c r="H315" s="340"/>
      <c r="I315" s="44"/>
    </row>
    <row r="316" spans="1:9" ht="20.25">
      <c r="A316" s="337"/>
      <c r="B316" s="280"/>
      <c r="C316" s="377" t="str">
        <f>"If, during the period June 1, 2009 through May 31, 2010, the formula produces an equity ratio exceeding 57.0%, the formulaic value at Line "&amp;A197&amp;" shall be manually"</f>
        <v>If, during the period June 1, 2009 through May 31, 2010, the formula produces an equity ratio exceeding 57.0%, the formulaic value at Line 119 shall be manually</v>
      </c>
      <c r="D316" s="375"/>
      <c r="E316" s="1010"/>
      <c r="F316" s="344"/>
      <c r="G316" s="341"/>
      <c r="H316" s="1011"/>
      <c r="I316" s="44"/>
    </row>
    <row r="317" spans="1:9" ht="18">
      <c r="A317" s="44"/>
      <c r="B317" s="280"/>
      <c r="C317" s="377" t="str">
        <f>"set to 57% and the value at Line "&amp;A195&amp;" shall be manually set to 43.0% less the percentage shown at Line "&amp;A196&amp;"."</f>
        <v>set to 57% and the value at Line 117 shall be manually set to 43.0% less the percentage shown at Line 118.</v>
      </c>
      <c r="D317" s="375"/>
      <c r="E317" s="1009"/>
      <c r="F317" s="344"/>
      <c r="G317" s="341"/>
      <c r="H317" s="865"/>
      <c r="I317" s="44"/>
    </row>
    <row r="318" spans="1:9" ht="20.25">
      <c r="A318" s="337"/>
      <c r="B318" s="280"/>
      <c r="C318" s="377" t="str">
        <f>"If, during the period June 1, 2010 through May 31, 2011, the formula produces an equity ratio exceeding 56.0%, the formulaic value at Line "&amp;A197&amp;" shall be manually "</f>
        <v xml:space="preserve">If, during the period June 1, 2010 through May 31, 2011, the formula produces an equity ratio exceeding 56.0%, the formulaic value at Line 119 shall be manually </v>
      </c>
      <c r="D318" s="1012"/>
      <c r="E318" s="1009"/>
      <c r="F318" s="344"/>
      <c r="G318" s="342"/>
      <c r="H318" s="865"/>
      <c r="I318" s="44"/>
    </row>
    <row r="319" spans="1:9" ht="20.25">
      <c r="A319" s="339"/>
      <c r="B319" s="280"/>
      <c r="C319" s="377" t="str">
        <f>"set to 56% and the value at Line "&amp;A195&amp;" shall be manually set to 44.0% less the percentage shown at Line "&amp;A196&amp;"."</f>
        <v>set to 56% and the value at Line 117 shall be manually set to 44.0% less the percentage shown at Line 118.</v>
      </c>
      <c r="D319" s="375"/>
      <c r="E319" s="1009"/>
      <c r="F319" s="344"/>
      <c r="G319" s="342"/>
      <c r="H319" s="1013"/>
      <c r="I319" s="44"/>
    </row>
    <row r="320" spans="1:9" ht="20.25">
      <c r="A320" s="339"/>
      <c r="B320" s="280"/>
      <c r="C320" s="377" t="str">
        <f>"If, during any period following May 31, 2011, the formula produces an equity ratio exceeding 55.0%, the formulaic value at Line "&amp;A197&amp;" shall be manually set to 55.0% "</f>
        <v xml:space="preserve">If, during any period following May 31, 2011, the formula produces an equity ratio exceeding 55.0%, the formulaic value at Line 119 shall be manually set to 55.0% </v>
      </c>
      <c r="D320" s="375"/>
      <c r="E320" s="1009"/>
      <c r="F320" s="344"/>
      <c r="G320" s="342"/>
      <c r="H320" s="1014"/>
      <c r="I320" s="44"/>
    </row>
    <row r="321" spans="1:9" ht="20.25">
      <c r="A321" s="338"/>
      <c r="B321" s="280"/>
      <c r="C321" s="377" t="str">
        <f>"and the formulaic value at Line "&amp;A195&amp;" shall be manually set to 45.0% less the percentage shown at Line "&amp;A196&amp;"."</f>
        <v>and the formulaic value at Line 117 shall be manually set to 45.0% less the percentage shown at Line 118.</v>
      </c>
      <c r="D321" s="375"/>
      <c r="E321" s="1009"/>
      <c r="F321" s="344"/>
      <c r="G321" s="342"/>
      <c r="H321" s="1015"/>
      <c r="I321" s="44"/>
    </row>
  </sheetData>
  <mergeCells count="15">
    <mergeCell ref="A6:C6"/>
    <mergeCell ref="A210:C210"/>
    <mergeCell ref="A230:C230"/>
    <mergeCell ref="A32:C32"/>
    <mergeCell ref="A72:C72"/>
    <mergeCell ref="A102:C102"/>
    <mergeCell ref="A144:C144"/>
    <mergeCell ref="A162:C162"/>
    <mergeCell ref="A168:C168"/>
    <mergeCell ref="B1:H1"/>
    <mergeCell ref="D2:F2"/>
    <mergeCell ref="D3:F3"/>
    <mergeCell ref="A5:D5"/>
    <mergeCell ref="A4:C4"/>
    <mergeCell ref="A3:C3"/>
  </mergeCells>
  <pageMargins left="0.5" right="0.5" top="0.95" bottom="0.5" header="0.5" footer="0.5"/>
  <pageSetup scale="10" fitToHeight="0" orientation="portrait"/>
  <headerFooter alignWithMargins="0">
    <oddHeader>&amp;R&amp;14ATTACHMENT H-13A
Page &amp;P of &amp;N</oddHeader>
  </headerFooter>
  <rowBreaks count="4" manualBreakCount="4">
    <brk id="71" max="12" man="1"/>
    <brk id="143" max="12" man="1"/>
    <brk id="209" max="12" man="1"/>
    <brk id="28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85" zoomScaleNormal="85" workbookViewId="0">
      <selection activeCell="A2" sqref="A2"/>
    </sheetView>
  </sheetViews>
  <sheetFormatPr defaultColWidth="8.7109375" defaultRowHeight="12.75"/>
  <cols>
    <col min="2" max="2" width="48" customWidth="1"/>
    <col min="3" max="3" width="10.28515625" customWidth="1"/>
  </cols>
  <sheetData>
    <row r="1" spans="1:10" ht="15.75">
      <c r="A1" s="1205" t="s">
        <v>627</v>
      </c>
      <c r="B1" s="1205"/>
      <c r="C1" s="1205"/>
      <c r="D1" s="1205"/>
      <c r="E1" s="1205"/>
      <c r="F1" s="1205"/>
    </row>
    <row r="2" spans="1:10" ht="15.75">
      <c r="A2" s="362"/>
      <c r="B2" s="240"/>
      <c r="C2" s="240"/>
      <c r="D2" s="363"/>
      <c r="E2" s="240"/>
      <c r="F2" s="31"/>
    </row>
    <row r="3" spans="1:10" ht="15">
      <c r="A3" s="1208" t="s">
        <v>80</v>
      </c>
      <c r="B3" s="1206"/>
      <c r="C3" s="1206"/>
      <c r="D3" s="1206"/>
      <c r="E3" s="1206"/>
      <c r="F3" s="1206"/>
    </row>
    <row r="5" spans="1:10">
      <c r="D5" s="157"/>
    </row>
    <row r="6" spans="1:10">
      <c r="D6" s="157" t="s">
        <v>81</v>
      </c>
    </row>
    <row r="7" spans="1:10">
      <c r="B7" s="367" t="s">
        <v>82</v>
      </c>
      <c r="D7" s="367" t="s">
        <v>83</v>
      </c>
    </row>
    <row r="8" spans="1:10">
      <c r="D8" s="246"/>
    </row>
    <row r="9" spans="1:10">
      <c r="B9" s="1095" t="s">
        <v>679</v>
      </c>
      <c r="D9" s="1114">
        <v>2.1800000000000002</v>
      </c>
    </row>
    <row r="10" spans="1:10">
      <c r="D10" s="870"/>
    </row>
    <row r="11" spans="1:10">
      <c r="B11" s="1095" t="s">
        <v>680</v>
      </c>
      <c r="C11" s="2"/>
      <c r="D11" s="791"/>
    </row>
    <row r="12" spans="1:10">
      <c r="B12" s="1095" t="s">
        <v>681</v>
      </c>
      <c r="C12" s="2"/>
      <c r="D12" s="1114">
        <v>2.7</v>
      </c>
      <c r="J12" s="928"/>
    </row>
    <row r="13" spans="1:10">
      <c r="B13" s="1115" t="s">
        <v>682</v>
      </c>
      <c r="C13" s="2"/>
      <c r="D13" s="1114">
        <v>9.3000000000000007</v>
      </c>
      <c r="H13" s="368"/>
      <c r="J13" s="928"/>
    </row>
    <row r="14" spans="1:10">
      <c r="B14" s="1115" t="s">
        <v>683</v>
      </c>
      <c r="C14" s="2"/>
      <c r="D14" s="1114">
        <v>4.6100000000000003</v>
      </c>
      <c r="H14" s="368"/>
      <c r="J14" s="928"/>
    </row>
    <row r="15" spans="1:10">
      <c r="B15" s="1115" t="s">
        <v>684</v>
      </c>
      <c r="C15" s="2"/>
      <c r="D15" s="1114">
        <v>20.74</v>
      </c>
      <c r="J15" s="870"/>
    </row>
    <row r="16" spans="1:10">
      <c r="B16" s="1115" t="s">
        <v>685</v>
      </c>
      <c r="D16" s="1114">
        <v>7.23</v>
      </c>
    </row>
    <row r="17" spans="2:10">
      <c r="B17" s="1115" t="s">
        <v>686</v>
      </c>
      <c r="D17" s="1114">
        <v>6.55</v>
      </c>
    </row>
    <row r="18" spans="2:10">
      <c r="B18" s="1115" t="s">
        <v>687</v>
      </c>
      <c r="D18" s="1114">
        <v>4.78</v>
      </c>
    </row>
    <row r="19" spans="2:10">
      <c r="B19" s="1115" t="s">
        <v>688</v>
      </c>
      <c r="D19" s="1114">
        <v>4.6399999999999997</v>
      </c>
    </row>
    <row r="20" spans="2:10">
      <c r="B20" s="1115" t="s">
        <v>689</v>
      </c>
      <c r="D20" s="1114">
        <v>6.08</v>
      </c>
    </row>
    <row r="21" spans="2:10">
      <c r="B21" s="1115" t="s">
        <v>690</v>
      </c>
      <c r="C21" s="2"/>
      <c r="D21" s="1114">
        <v>15</v>
      </c>
      <c r="J21" s="929"/>
    </row>
    <row r="22" spans="2:10">
      <c r="B22" s="1115" t="s">
        <v>691</v>
      </c>
      <c r="C22" s="2"/>
      <c r="D22" s="1114">
        <v>3.72</v>
      </c>
      <c r="H22" s="368"/>
      <c r="J22" s="928"/>
    </row>
    <row r="23" spans="2:10">
      <c r="B23" s="1115" t="s">
        <v>692</v>
      </c>
      <c r="C23" s="2"/>
      <c r="D23" s="1114">
        <v>4.1900000000000004</v>
      </c>
      <c r="H23" s="368"/>
      <c r="J23" s="928"/>
    </row>
    <row r="24" spans="2:10">
      <c r="B24" s="1115" t="s">
        <v>693</v>
      </c>
      <c r="C24" s="2"/>
      <c r="D24" s="1114">
        <v>6.84</v>
      </c>
      <c r="J24" s="929"/>
    </row>
    <row r="25" spans="2:10">
      <c r="B25" s="1115" t="s">
        <v>694</v>
      </c>
      <c r="C25" s="2"/>
      <c r="D25" s="1114">
        <v>7.18</v>
      </c>
      <c r="J25" s="870"/>
    </row>
    <row r="26" spans="2:10">
      <c r="B26" s="1115" t="s">
        <v>695</v>
      </c>
      <c r="D26" s="1114">
        <v>7.1</v>
      </c>
    </row>
    <row r="27" spans="2:10">
      <c r="B27" s="1115" t="s">
        <v>696</v>
      </c>
      <c r="C27" s="2"/>
      <c r="D27" s="1114">
        <v>7.11</v>
      </c>
      <c r="H27" s="368"/>
      <c r="J27" s="928"/>
    </row>
    <row r="28" spans="2:10">
      <c r="B28" s="1115" t="s">
        <v>697</v>
      </c>
      <c r="D28" s="1114">
        <v>18.45</v>
      </c>
    </row>
    <row r="29" spans="2:10">
      <c r="B29" s="2"/>
      <c r="C29" s="2"/>
      <c r="D29" s="791"/>
      <c r="H29" s="368"/>
      <c r="J29" s="928"/>
    </row>
    <row r="30" spans="2:10">
      <c r="B30" s="2"/>
      <c r="C30" s="2"/>
      <c r="D30" s="1116"/>
    </row>
    <row r="31" spans="2:10">
      <c r="B31" t="s">
        <v>698</v>
      </c>
      <c r="D31" s="1117"/>
    </row>
    <row r="32" spans="2:10">
      <c r="C32" s="1115"/>
      <c r="D32" s="1116"/>
    </row>
    <row r="33" spans="2:4">
      <c r="B33" s="1115" t="s">
        <v>699</v>
      </c>
    </row>
    <row r="34" spans="2:4">
      <c r="B34" s="1095" t="s">
        <v>700</v>
      </c>
    </row>
    <row r="35" spans="2:4">
      <c r="B35" s="1095" t="s">
        <v>701</v>
      </c>
      <c r="D35" s="1118"/>
    </row>
  </sheetData>
  <mergeCells count="2">
    <mergeCell ref="A1:F1"/>
    <mergeCell ref="A3:F3"/>
  </mergeCells>
  <pageMargins left="0.75" right="0.75" top="1" bottom="1" header="0.5" footer="0.5"/>
  <pageSetup scale="10" orientation="portrait"/>
  <headerFooter alignWithMargins="0">
    <oddHeader>&amp;RATTACHMENT H-13A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
  <sheetViews>
    <sheetView zoomScale="75" zoomScaleNormal="75" workbookViewId="0">
      <selection activeCell="A3" sqref="A3"/>
    </sheetView>
  </sheetViews>
  <sheetFormatPr defaultColWidth="9.140625" defaultRowHeight="12.75"/>
  <cols>
    <col min="1" max="1" width="11.42578125" style="361" customWidth="1"/>
    <col min="2" max="2" width="44.85546875" style="246" customWidth="1"/>
    <col min="3" max="3" width="16.140625" style="246" bestFit="1" customWidth="1"/>
    <col min="4" max="4" width="15.85546875" style="246" customWidth="1"/>
    <col min="5" max="5" width="20" style="246" customWidth="1"/>
    <col min="6" max="6" width="16.140625" style="246" customWidth="1"/>
    <col min="7" max="7" width="19.140625" style="246" customWidth="1"/>
    <col min="8" max="8" width="83.85546875" style="246" customWidth="1"/>
    <col min="9" max="9" width="3.7109375" style="246" customWidth="1"/>
    <col min="10" max="10" width="9.140625" style="246" customWidth="1"/>
    <col min="11" max="11" width="16.28515625" style="1166" bestFit="1" customWidth="1"/>
    <col min="12" max="12" width="12.140625" style="1166" bestFit="1" customWidth="1"/>
    <col min="13" max="16384" width="9.140625" style="246"/>
  </cols>
  <sheetData>
    <row r="1" spans="1:12" s="159" customFormat="1" ht="18">
      <c r="A1" s="1196" t="str">
        <f>'Appendix A'!A3</f>
        <v>Commonwealth Edison Company</v>
      </c>
      <c r="B1" s="1197"/>
      <c r="C1" s="1197"/>
      <c r="D1" s="1197"/>
      <c r="E1" s="1197"/>
      <c r="F1" s="1197"/>
      <c r="G1" s="1197"/>
      <c r="H1" s="1197"/>
      <c r="I1" s="563"/>
      <c r="K1" s="1163"/>
      <c r="L1" s="1163"/>
    </row>
    <row r="2" spans="1:12" s="159" customFormat="1" ht="18">
      <c r="A2" s="1201" t="s">
        <v>295</v>
      </c>
      <c r="B2" s="1201"/>
      <c r="C2" s="1201"/>
      <c r="D2" s="1201"/>
      <c r="E2" s="1201"/>
      <c r="F2" s="1201"/>
      <c r="G2" s="1201"/>
      <c r="H2" s="1201"/>
      <c r="I2" s="563"/>
      <c r="K2" s="1163"/>
      <c r="L2" s="1163"/>
    </row>
    <row r="3" spans="1:12" s="987" customFormat="1" ht="11.25">
      <c r="A3" s="984"/>
      <c r="B3" s="986"/>
      <c r="C3" s="986"/>
      <c r="D3" s="986"/>
      <c r="E3" s="986"/>
      <c r="F3" s="986"/>
      <c r="G3" s="988"/>
      <c r="H3" s="986"/>
      <c r="I3" s="986"/>
      <c r="K3" s="1164"/>
      <c r="L3" s="1164"/>
    </row>
    <row r="4" spans="1:12" s="987" customFormat="1" ht="11.25">
      <c r="A4" s="984"/>
      <c r="B4" s="986"/>
      <c r="C4" s="986"/>
      <c r="D4" s="986"/>
      <c r="E4" s="986"/>
      <c r="F4" s="986"/>
      <c r="G4" s="988"/>
      <c r="H4" s="986"/>
      <c r="I4" s="986"/>
      <c r="K4" s="1164"/>
      <c r="L4" s="1164"/>
    </row>
    <row r="5" spans="1:12" s="987" customFormat="1" ht="11.25">
      <c r="A5" s="984"/>
      <c r="B5" s="986"/>
      <c r="C5" s="986"/>
      <c r="D5" s="986"/>
      <c r="E5" s="986"/>
      <c r="F5" s="986"/>
      <c r="G5" s="988"/>
      <c r="H5" s="986"/>
      <c r="I5" s="986"/>
      <c r="K5" s="1164"/>
      <c r="L5" s="1164"/>
    </row>
    <row r="6" spans="1:12" s="159" customFormat="1">
      <c r="A6" s="1181" t="s">
        <v>393</v>
      </c>
      <c r="B6" s="1181"/>
      <c r="C6" s="1048" t="s">
        <v>494</v>
      </c>
      <c r="D6" s="1048" t="s">
        <v>377</v>
      </c>
      <c r="E6" s="1048" t="s">
        <v>394</v>
      </c>
      <c r="F6" s="1048" t="s">
        <v>392</v>
      </c>
      <c r="G6" s="1048" t="s">
        <v>169</v>
      </c>
      <c r="H6" s="1048" t="s">
        <v>395</v>
      </c>
      <c r="I6" s="563"/>
      <c r="K6" s="1163"/>
      <c r="L6" s="1163"/>
    </row>
    <row r="7" spans="1:12" s="263" customFormat="1">
      <c r="A7" s="655"/>
      <c r="B7" s="563"/>
      <c r="C7" s="1063" t="s">
        <v>32</v>
      </c>
      <c r="D7" s="711" t="s">
        <v>34</v>
      </c>
      <c r="E7" s="711"/>
      <c r="F7" s="563"/>
      <c r="G7" s="711"/>
      <c r="H7" s="564"/>
      <c r="I7" s="564"/>
      <c r="K7" s="1163"/>
      <c r="L7" s="1163"/>
    </row>
    <row r="8" spans="1:12" s="263" customFormat="1">
      <c r="A8" s="655"/>
      <c r="B8" s="563"/>
      <c r="C8" s="1063" t="s">
        <v>33</v>
      </c>
      <c r="D8" s="711" t="s">
        <v>23</v>
      </c>
      <c r="E8" s="711" t="s">
        <v>29</v>
      </c>
      <c r="F8" s="711" t="s">
        <v>31</v>
      </c>
      <c r="G8" s="711" t="s">
        <v>493</v>
      </c>
      <c r="H8" s="564"/>
      <c r="I8" s="564"/>
      <c r="K8" s="1163"/>
      <c r="L8" s="1163"/>
    </row>
    <row r="9" spans="1:12" s="159" customFormat="1">
      <c r="A9" s="655"/>
      <c r="B9" s="563"/>
      <c r="C9" s="1064" t="s">
        <v>30</v>
      </c>
      <c r="D9" s="733" t="s">
        <v>30</v>
      </c>
      <c r="E9" s="733" t="s">
        <v>30</v>
      </c>
      <c r="F9" s="733" t="s">
        <v>30</v>
      </c>
      <c r="G9" s="733" t="s">
        <v>38</v>
      </c>
      <c r="H9" s="563"/>
      <c r="I9" s="563"/>
      <c r="K9" s="1163"/>
      <c r="L9" s="1163"/>
    </row>
    <row r="10" spans="1:12" s="159" customFormat="1">
      <c r="A10" s="655"/>
      <c r="B10" s="563"/>
      <c r="C10" s="563"/>
      <c r="D10" s="733"/>
      <c r="E10" s="733"/>
      <c r="F10" s="733"/>
      <c r="G10" s="733"/>
      <c r="H10" s="563"/>
      <c r="I10" s="563"/>
      <c r="K10" s="1163"/>
      <c r="L10" s="1163"/>
    </row>
    <row r="11" spans="1:12" s="704" customFormat="1" ht="15">
      <c r="A11" s="734">
        <v>1</v>
      </c>
      <c r="B11" s="735" t="s">
        <v>25</v>
      </c>
      <c r="C11" s="736">
        <f>D119</f>
        <v>-1348344356</v>
      </c>
      <c r="D11" s="736">
        <f>+E119</f>
        <v>-94181610</v>
      </c>
      <c r="E11" s="736">
        <f>+F119</f>
        <v>-3909955522</v>
      </c>
      <c r="F11" s="736">
        <f>+G119</f>
        <v>0</v>
      </c>
      <c r="G11" s="1056">
        <f>C119</f>
        <v>-5352481488</v>
      </c>
      <c r="H11" s="737" t="s">
        <v>598</v>
      </c>
      <c r="I11" s="738"/>
      <c r="K11" s="1165"/>
      <c r="L11" s="1165"/>
    </row>
    <row r="12" spans="1:12" s="704" customFormat="1" ht="15">
      <c r="A12" s="734">
        <v>2</v>
      </c>
      <c r="B12" s="735" t="s">
        <v>26</v>
      </c>
      <c r="C12" s="736">
        <f>D170</f>
        <v>-684336050</v>
      </c>
      <c r="D12" s="736">
        <f>+E170</f>
        <v>0</v>
      </c>
      <c r="E12" s="736">
        <f>+F170</f>
        <v>-8104756</v>
      </c>
      <c r="F12" s="736">
        <f>+G170</f>
        <v>-166458405</v>
      </c>
      <c r="G12" s="1056">
        <f>C170</f>
        <v>-858899211</v>
      </c>
      <c r="H12" s="737" t="s">
        <v>599</v>
      </c>
      <c r="I12" s="738"/>
      <c r="K12" s="1165"/>
      <c r="L12" s="1165"/>
    </row>
    <row r="13" spans="1:12" s="704" customFormat="1" ht="15">
      <c r="A13" s="734">
        <v>3</v>
      </c>
      <c r="B13" s="739" t="s">
        <v>24</v>
      </c>
      <c r="C13" s="740">
        <f>D75</f>
        <v>404688371</v>
      </c>
      <c r="D13" s="740">
        <f>+E75</f>
        <v>0</v>
      </c>
      <c r="E13" s="740">
        <f>F75</f>
        <v>31877879</v>
      </c>
      <c r="F13" s="740">
        <f>G75</f>
        <v>121071118</v>
      </c>
      <c r="G13" s="1057">
        <f>C75</f>
        <v>557637368</v>
      </c>
      <c r="H13" s="741" t="s">
        <v>600</v>
      </c>
      <c r="I13" s="738"/>
      <c r="K13" s="1165"/>
      <c r="L13" s="1165"/>
    </row>
    <row r="14" spans="1:12" s="704" customFormat="1" ht="15">
      <c r="A14" s="734">
        <v>4</v>
      </c>
      <c r="B14" s="742" t="s">
        <v>525</v>
      </c>
      <c r="C14" s="743">
        <f>SUM(C11:C13)</f>
        <v>-1627992035</v>
      </c>
      <c r="D14" s="743">
        <f>SUM(D11:D13)</f>
        <v>-94181610</v>
      </c>
      <c r="E14" s="743">
        <f>SUM(E11:E13)</f>
        <v>-3886182399</v>
      </c>
      <c r="F14" s="743">
        <f>SUM(F11:F13)</f>
        <v>-45387287</v>
      </c>
      <c r="G14" s="1058">
        <f>SUM(G11:G13)</f>
        <v>-5653743331</v>
      </c>
      <c r="H14" s="743" t="s">
        <v>602</v>
      </c>
      <c r="I14" s="738"/>
      <c r="K14" s="1165"/>
      <c r="L14" s="1165"/>
    </row>
    <row r="15" spans="1:12" s="704" customFormat="1" ht="15">
      <c r="A15" s="734">
        <v>5</v>
      </c>
      <c r="B15" s="735" t="s">
        <v>480</v>
      </c>
      <c r="C15" s="737"/>
      <c r="D15" s="737"/>
      <c r="E15" s="737"/>
      <c r="F15" s="1029">
        <f>'Appendix A'!H15</f>
        <v>0.13134730519136981</v>
      </c>
      <c r="G15" s="744"/>
      <c r="H15" s="737"/>
      <c r="I15" s="738"/>
      <c r="K15" s="1165"/>
      <c r="L15" s="1165"/>
    </row>
    <row r="16" spans="1:12" s="704" customFormat="1" ht="15">
      <c r="A16" s="734">
        <v>6</v>
      </c>
      <c r="B16" s="745" t="s">
        <v>486</v>
      </c>
      <c r="C16" s="746"/>
      <c r="D16" s="746"/>
      <c r="E16" s="877">
        <f>'Appendix A'!H30</f>
        <v>0.25238744991173706</v>
      </c>
      <c r="F16" s="746"/>
      <c r="G16" s="746"/>
      <c r="H16" s="746"/>
      <c r="I16" s="738"/>
      <c r="K16" s="1165"/>
      <c r="L16" s="1165"/>
    </row>
    <row r="17" spans="1:12" s="704" customFormat="1" ht="15">
      <c r="A17" s="734">
        <v>7</v>
      </c>
      <c r="B17" s="747" t="s">
        <v>38</v>
      </c>
      <c r="C17" s="748"/>
      <c r="D17" s="748">
        <f>+D14</f>
        <v>-94181610</v>
      </c>
      <c r="E17" s="748">
        <f>+E16*E14</f>
        <v>-980823665.57548666</v>
      </c>
      <c r="F17" s="748">
        <f>+F15*F14</f>
        <v>-5961497.8373972913</v>
      </c>
      <c r="G17" s="749">
        <f>SUM(D17:F17)</f>
        <v>-1080966773.412884</v>
      </c>
      <c r="H17" s="750" t="s">
        <v>603</v>
      </c>
      <c r="I17" s="738"/>
      <c r="K17" s="1165"/>
      <c r="L17" s="1165"/>
    </row>
    <row r="18" spans="1:12" s="704" customFormat="1" ht="14.25">
      <c r="A18" s="751"/>
      <c r="B18" s="738"/>
      <c r="C18" s="752"/>
      <c r="D18" s="753" t="s">
        <v>604</v>
      </c>
      <c r="E18" s="753" t="s">
        <v>92</v>
      </c>
      <c r="F18" s="753" t="s">
        <v>93</v>
      </c>
      <c r="G18" s="738"/>
      <c r="H18" s="738"/>
      <c r="I18" s="738"/>
      <c r="K18" s="1165"/>
      <c r="L18" s="1165"/>
    </row>
    <row r="19" spans="1:12" s="987" customFormat="1" ht="11.25">
      <c r="A19" s="984"/>
      <c r="B19" s="986"/>
      <c r="C19" s="986"/>
      <c r="D19" s="1008"/>
      <c r="E19" s="1008"/>
      <c r="F19" s="1008"/>
      <c r="G19" s="986"/>
      <c r="H19" s="986"/>
      <c r="I19" s="986"/>
      <c r="K19" s="1164"/>
      <c r="L19" s="1164"/>
    </row>
    <row r="20" spans="1:12" s="987" customFormat="1" ht="11.25">
      <c r="A20" s="984"/>
      <c r="B20" s="986"/>
      <c r="C20" s="986"/>
      <c r="D20" s="1008"/>
      <c r="E20" s="1008"/>
      <c r="F20" s="1008"/>
      <c r="G20" s="986"/>
      <c r="H20" s="986"/>
      <c r="I20" s="986"/>
      <c r="K20" s="1164"/>
      <c r="L20" s="1164"/>
    </row>
    <row r="21" spans="1:12" s="704" customFormat="1" ht="15">
      <c r="A21" s="754" t="s">
        <v>840</v>
      </c>
      <c r="B21" s="738"/>
      <c r="C21" s="738"/>
      <c r="D21" s="738"/>
      <c r="E21" s="738"/>
      <c r="F21" s="738"/>
      <c r="G21" s="738"/>
      <c r="H21" s="738"/>
      <c r="I21" s="738"/>
      <c r="K21" s="1165"/>
      <c r="L21" s="1165"/>
    </row>
    <row r="22" spans="1:12" s="704" customFormat="1" ht="15">
      <c r="A22" s="738"/>
      <c r="B22" s="738"/>
      <c r="C22" s="738"/>
      <c r="D22" s="1030">
        <f>C142</f>
        <v>-12204845</v>
      </c>
      <c r="E22" s="737" t="s">
        <v>626</v>
      </c>
      <c r="F22" s="737"/>
      <c r="G22" s="738"/>
      <c r="H22" s="738"/>
      <c r="I22" s="738"/>
      <c r="K22" s="1165"/>
      <c r="L22" s="1165"/>
    </row>
    <row r="23" spans="1:12" s="987" customFormat="1" ht="11.25">
      <c r="A23" s="986"/>
      <c r="B23" s="986"/>
      <c r="C23" s="986"/>
      <c r="D23" s="986"/>
      <c r="E23" s="986"/>
      <c r="F23" s="986"/>
      <c r="G23" s="986"/>
      <c r="H23" s="986"/>
      <c r="I23" s="986"/>
      <c r="K23" s="1164"/>
      <c r="L23" s="1164"/>
    </row>
    <row r="24" spans="1:12" s="704" customFormat="1" ht="15">
      <c r="A24" s="755" t="s">
        <v>605</v>
      </c>
      <c r="B24" s="738"/>
      <c r="C24" s="738"/>
      <c r="D24" s="738"/>
      <c r="E24" s="738"/>
      <c r="F24" s="738"/>
      <c r="G24" s="738"/>
      <c r="H24" s="738"/>
      <c r="I24" s="738"/>
      <c r="K24" s="1165"/>
      <c r="L24" s="1165"/>
    </row>
    <row r="25" spans="1:12" s="704" customFormat="1" ht="15">
      <c r="A25" s="755" t="s">
        <v>606</v>
      </c>
      <c r="B25" s="738"/>
      <c r="C25" s="738"/>
      <c r="D25" s="738"/>
      <c r="E25" s="738"/>
      <c r="F25" s="738"/>
      <c r="G25" s="738"/>
      <c r="H25" s="738"/>
      <c r="I25" s="738"/>
      <c r="K25" s="1165"/>
      <c r="L25" s="1165"/>
    </row>
    <row r="26" spans="1:12" s="987" customFormat="1" ht="11.25">
      <c r="A26" s="984"/>
      <c r="B26" s="985"/>
      <c r="C26" s="985"/>
      <c r="D26" s="985"/>
      <c r="E26" s="985"/>
      <c r="F26" s="985"/>
      <c r="G26" s="985"/>
      <c r="H26" s="986"/>
      <c r="I26" s="986"/>
      <c r="K26" s="1164"/>
      <c r="L26" s="1164"/>
    </row>
    <row r="27" spans="1:12" s="987" customFormat="1" ht="11.25">
      <c r="A27" s="984"/>
      <c r="B27" s="986"/>
      <c r="C27" s="986"/>
      <c r="D27" s="986"/>
      <c r="E27" s="986"/>
      <c r="F27" s="986"/>
      <c r="G27" s="988"/>
      <c r="H27" s="986"/>
      <c r="I27" s="986"/>
      <c r="K27" s="1164"/>
      <c r="L27" s="1164"/>
    </row>
    <row r="28" spans="1:12" s="263" customFormat="1">
      <c r="A28" s="1180"/>
      <c r="B28" s="1180"/>
      <c r="C28" s="563"/>
      <c r="D28" s="712" t="s">
        <v>32</v>
      </c>
      <c r="E28" s="712" t="s">
        <v>34</v>
      </c>
      <c r="F28" s="712"/>
      <c r="G28" s="712"/>
      <c r="H28" s="564"/>
      <c r="I28" s="564"/>
      <c r="K28" s="1163"/>
      <c r="L28" s="1163"/>
    </row>
    <row r="29" spans="1:12" s="263" customFormat="1">
      <c r="A29" s="1180"/>
      <c r="B29" s="1180"/>
      <c r="C29" s="712"/>
      <c r="D29" s="712" t="s">
        <v>33</v>
      </c>
      <c r="E29" s="712" t="s">
        <v>23</v>
      </c>
      <c r="F29" s="712" t="s">
        <v>29</v>
      </c>
      <c r="G29" s="712" t="s">
        <v>31</v>
      </c>
      <c r="H29" s="564"/>
      <c r="I29" s="564"/>
      <c r="K29" s="1163"/>
      <c r="L29" s="1163"/>
    </row>
    <row r="30" spans="1:12" s="159" customFormat="1" ht="15">
      <c r="A30" s="1182" t="s">
        <v>24</v>
      </c>
      <c r="B30" s="1182"/>
      <c r="C30" s="713" t="s">
        <v>493</v>
      </c>
      <c r="D30" s="713" t="s">
        <v>30</v>
      </c>
      <c r="E30" s="713" t="s">
        <v>30</v>
      </c>
      <c r="F30" s="713" t="s">
        <v>30</v>
      </c>
      <c r="G30" s="713" t="s">
        <v>30</v>
      </c>
      <c r="H30" s="714" t="s">
        <v>368</v>
      </c>
      <c r="I30" s="563"/>
      <c r="K30" s="1163"/>
      <c r="L30" s="1163"/>
    </row>
    <row r="31" spans="1:12" s="987" customFormat="1" ht="11.25">
      <c r="A31" s="984"/>
      <c r="B31" s="986"/>
      <c r="C31" s="986"/>
      <c r="D31" s="1046"/>
      <c r="E31" s="1046"/>
      <c r="F31" s="1046"/>
      <c r="G31" s="1046"/>
      <c r="H31" s="986"/>
      <c r="I31" s="986"/>
      <c r="K31" s="1164"/>
      <c r="L31" s="1164"/>
    </row>
    <row r="32" spans="1:12" ht="15.75">
      <c r="A32" s="1204" t="s">
        <v>823</v>
      </c>
      <c r="B32" s="1204"/>
      <c r="C32" s="709"/>
      <c r="D32" s="709"/>
      <c r="E32" s="709"/>
      <c r="F32" s="709"/>
      <c r="G32" s="709"/>
      <c r="H32" s="710"/>
      <c r="I32" s="563"/>
      <c r="K32" s="1169" t="s">
        <v>847</v>
      </c>
    </row>
    <row r="33" spans="1:12" ht="25.5">
      <c r="A33" s="1128" t="s">
        <v>665</v>
      </c>
      <c r="B33" s="1128"/>
      <c r="C33" s="1059">
        <v>-888136</v>
      </c>
      <c r="D33" s="1059"/>
      <c r="E33" s="1059"/>
      <c r="F33" s="1059"/>
      <c r="G33" s="1059">
        <f>C33</f>
        <v>-888136</v>
      </c>
      <c r="H33" s="1060" t="s">
        <v>703</v>
      </c>
      <c r="I33" s="563"/>
      <c r="K33" s="1166">
        <v>-888136</v>
      </c>
      <c r="L33" s="1166">
        <f>C33-K33</f>
        <v>0</v>
      </c>
    </row>
    <row r="34" spans="1:12" ht="25.5">
      <c r="A34" s="1128" t="s">
        <v>664</v>
      </c>
      <c r="B34" s="1128"/>
      <c r="C34" s="1059">
        <v>22215485</v>
      </c>
      <c r="D34" s="1059"/>
      <c r="E34" s="1059"/>
      <c r="F34" s="1059"/>
      <c r="G34" s="1059">
        <f>C34</f>
        <v>22215485</v>
      </c>
      <c r="H34" s="1060" t="s">
        <v>704</v>
      </c>
      <c r="I34" s="563"/>
      <c r="K34" s="1166">
        <v>22215485</v>
      </c>
      <c r="L34" s="1166">
        <f t="shared" ref="L34:L69" si="0">C34-K34</f>
        <v>0</v>
      </c>
    </row>
    <row r="35" spans="1:12" ht="38.25">
      <c r="A35" s="1128" t="s">
        <v>702</v>
      </c>
      <c r="B35" s="1128"/>
      <c r="C35" s="1059">
        <v>106837</v>
      </c>
      <c r="D35" s="1059">
        <f>C35</f>
        <v>106837</v>
      </c>
      <c r="E35" s="1059"/>
      <c r="F35" s="1059"/>
      <c r="G35" s="1059"/>
      <c r="H35" s="1061" t="s">
        <v>712</v>
      </c>
      <c r="I35" s="563"/>
      <c r="K35" s="1166">
        <v>106837</v>
      </c>
      <c r="L35" s="1166">
        <f t="shared" si="0"/>
        <v>0</v>
      </c>
    </row>
    <row r="36" spans="1:12" s="1095" customFormat="1">
      <c r="A36" s="1128" t="s">
        <v>843</v>
      </c>
      <c r="B36" s="1128"/>
      <c r="C36" s="1145">
        <v>2307437</v>
      </c>
      <c r="D36" s="1145">
        <f>C36</f>
        <v>2307437</v>
      </c>
      <c r="E36" s="1145"/>
      <c r="F36" s="1145"/>
      <c r="G36" s="1145"/>
      <c r="H36" s="1162" t="s">
        <v>844</v>
      </c>
      <c r="I36" s="1146"/>
      <c r="K36" s="1166">
        <v>2307437</v>
      </c>
      <c r="L36" s="1166">
        <f t="shared" si="0"/>
        <v>0</v>
      </c>
    </row>
    <row r="37" spans="1:12" ht="25.5">
      <c r="A37" s="1128" t="s">
        <v>663</v>
      </c>
      <c r="B37" s="1128"/>
      <c r="C37" s="1059">
        <v>1751136</v>
      </c>
      <c r="D37" s="1059"/>
      <c r="E37" s="1059"/>
      <c r="F37" s="1059">
        <f>C37</f>
        <v>1751136</v>
      </c>
      <c r="G37" s="1059"/>
      <c r="H37" s="1060" t="s">
        <v>705</v>
      </c>
      <c r="I37" s="563"/>
      <c r="K37" s="1166">
        <v>1751136</v>
      </c>
      <c r="L37" s="1166">
        <f t="shared" si="0"/>
        <v>0</v>
      </c>
    </row>
    <row r="38" spans="1:12" ht="25.5">
      <c r="A38" s="1128" t="s">
        <v>667</v>
      </c>
      <c r="B38" s="1128"/>
      <c r="C38" s="1059">
        <v>26827036</v>
      </c>
      <c r="D38" s="1059">
        <f>C38</f>
        <v>26827036</v>
      </c>
      <c r="E38" s="1059"/>
      <c r="F38" s="1059"/>
      <c r="G38" s="1059"/>
      <c r="H38" s="1060" t="s">
        <v>706</v>
      </c>
      <c r="I38" s="563"/>
      <c r="K38" s="1166">
        <v>26827036</v>
      </c>
      <c r="L38" s="1166">
        <f t="shared" si="0"/>
        <v>0</v>
      </c>
    </row>
    <row r="39" spans="1:12" ht="25.5">
      <c r="A39" s="1128" t="s">
        <v>422</v>
      </c>
      <c r="B39" s="1128"/>
      <c r="C39" s="1059">
        <v>1309592</v>
      </c>
      <c r="D39" s="1059"/>
      <c r="E39" s="1059"/>
      <c r="F39" s="1059">
        <f>C39</f>
        <v>1309592</v>
      </c>
      <c r="G39" s="1059"/>
      <c r="H39" s="1060" t="s">
        <v>707</v>
      </c>
      <c r="I39" s="563"/>
      <c r="K39" s="1166">
        <v>1309592</v>
      </c>
      <c r="L39" s="1166">
        <f t="shared" si="0"/>
        <v>0</v>
      </c>
    </row>
    <row r="40" spans="1:12" ht="25.5">
      <c r="A40" s="1128" t="s">
        <v>639</v>
      </c>
      <c r="B40" s="1128"/>
      <c r="C40" s="1059">
        <v>39071</v>
      </c>
      <c r="D40" s="1059"/>
      <c r="E40" s="1059"/>
      <c r="F40" s="1059">
        <f>C40</f>
        <v>39071</v>
      </c>
      <c r="G40" s="1059"/>
      <c r="H40" s="1060" t="s">
        <v>708</v>
      </c>
      <c r="I40" s="563"/>
      <c r="K40" s="1166">
        <v>39071</v>
      </c>
      <c r="L40" s="1166">
        <f t="shared" si="0"/>
        <v>0</v>
      </c>
    </row>
    <row r="41" spans="1:12" ht="25.5">
      <c r="A41" s="1128" t="s">
        <v>641</v>
      </c>
      <c r="B41" s="1128"/>
      <c r="C41" s="1059">
        <v>43401864</v>
      </c>
      <c r="D41" s="1059"/>
      <c r="E41" s="1059"/>
      <c r="F41" s="1059"/>
      <c r="G41" s="1059">
        <f>C41</f>
        <v>43401864</v>
      </c>
      <c r="H41" s="1060" t="s">
        <v>709</v>
      </c>
      <c r="I41" s="563"/>
      <c r="K41" s="1166">
        <v>43401864</v>
      </c>
      <c r="L41" s="1166">
        <f t="shared" si="0"/>
        <v>0</v>
      </c>
    </row>
    <row r="42" spans="1:12">
      <c r="A42" s="1128" t="s">
        <v>642</v>
      </c>
      <c r="B42" s="1128"/>
      <c r="C42" s="1059">
        <v>799897</v>
      </c>
      <c r="D42" s="1059"/>
      <c r="E42" s="1059"/>
      <c r="F42" s="1059"/>
      <c r="G42" s="1059">
        <f>C42</f>
        <v>799897</v>
      </c>
      <c r="H42" s="1060" t="s">
        <v>710</v>
      </c>
      <c r="I42" s="563"/>
      <c r="K42" s="1166">
        <v>799897</v>
      </c>
      <c r="L42" s="1166">
        <f t="shared" si="0"/>
        <v>0</v>
      </c>
    </row>
    <row r="43" spans="1:12" ht="38.25">
      <c r="A43" s="1128" t="s">
        <v>640</v>
      </c>
      <c r="B43" s="1128"/>
      <c r="C43" s="1059">
        <v>1285185</v>
      </c>
      <c r="D43" s="1059">
        <f>C43</f>
        <v>1285185</v>
      </c>
      <c r="E43" s="1059"/>
      <c r="F43" s="1059"/>
      <c r="G43" s="1059"/>
      <c r="H43" s="1061" t="s">
        <v>711</v>
      </c>
      <c r="I43" s="563"/>
      <c r="K43" s="1166">
        <v>1285185</v>
      </c>
      <c r="L43" s="1166">
        <f t="shared" si="0"/>
        <v>0</v>
      </c>
    </row>
    <row r="44" spans="1:12">
      <c r="A44" s="1128" t="s">
        <v>662</v>
      </c>
      <c r="B44" s="1128"/>
      <c r="C44" s="1059">
        <v>2894835</v>
      </c>
      <c r="D44" s="1059">
        <f>C44</f>
        <v>2894835</v>
      </c>
      <c r="E44" s="1059"/>
      <c r="F44" s="1059"/>
      <c r="G44" s="1059"/>
      <c r="H44" s="1061" t="s">
        <v>713</v>
      </c>
      <c r="I44" s="563"/>
      <c r="K44" s="1166">
        <v>2894835</v>
      </c>
      <c r="L44" s="1166">
        <f t="shared" si="0"/>
        <v>0</v>
      </c>
    </row>
    <row r="45" spans="1:12" ht="38.25">
      <c r="A45" s="1128" t="s">
        <v>666</v>
      </c>
      <c r="B45" s="1128"/>
      <c r="C45" s="1059">
        <v>-6073853</v>
      </c>
      <c r="D45" s="1059">
        <f>C45</f>
        <v>-6073853</v>
      </c>
      <c r="E45" s="1059"/>
      <c r="F45" s="1059"/>
      <c r="G45" s="1059"/>
      <c r="H45" s="1061" t="s">
        <v>714</v>
      </c>
      <c r="I45" s="563"/>
      <c r="K45" s="1166">
        <v>-6073853</v>
      </c>
      <c r="L45" s="1166">
        <f t="shared" si="0"/>
        <v>0</v>
      </c>
    </row>
    <row r="46" spans="1:12" ht="38.25">
      <c r="A46" s="1128" t="s">
        <v>825</v>
      </c>
      <c r="B46" s="1128"/>
      <c r="C46" s="1059">
        <v>608268</v>
      </c>
      <c r="D46" s="1059">
        <f>C46</f>
        <v>608268</v>
      </c>
      <c r="E46" s="1059"/>
      <c r="F46" s="1059"/>
      <c r="G46" s="1059"/>
      <c r="H46" s="1061" t="s">
        <v>838</v>
      </c>
      <c r="I46" s="563"/>
      <c r="K46" s="1166">
        <v>608268</v>
      </c>
      <c r="L46" s="1166">
        <f t="shared" si="0"/>
        <v>0</v>
      </c>
    </row>
    <row r="47" spans="1:12" ht="25.5">
      <c r="A47" s="1128" t="s">
        <v>826</v>
      </c>
      <c r="B47" s="1128"/>
      <c r="C47" s="1059">
        <v>13910267</v>
      </c>
      <c r="D47" s="1059"/>
      <c r="E47" s="1059"/>
      <c r="F47" s="1059"/>
      <c r="G47" s="1059">
        <f>C47</f>
        <v>13910267</v>
      </c>
      <c r="H47" s="1061" t="s">
        <v>715</v>
      </c>
      <c r="I47" s="563"/>
      <c r="K47" s="1166">
        <v>13910267</v>
      </c>
      <c r="L47" s="1166">
        <f t="shared" si="0"/>
        <v>0</v>
      </c>
    </row>
    <row r="48" spans="1:12" ht="25.5">
      <c r="A48" s="1128" t="s">
        <v>337</v>
      </c>
      <c r="B48" s="1128"/>
      <c r="C48" s="1059">
        <v>-136875</v>
      </c>
      <c r="D48" s="1059"/>
      <c r="E48" s="1059"/>
      <c r="F48" s="1059">
        <f>C48</f>
        <v>-136875</v>
      </c>
      <c r="G48" s="1059"/>
      <c r="H48" s="1061" t="s">
        <v>716</v>
      </c>
      <c r="I48" s="563"/>
      <c r="K48" s="1166">
        <v>-136875</v>
      </c>
      <c r="L48" s="1166">
        <f t="shared" si="0"/>
        <v>0</v>
      </c>
    </row>
    <row r="49" spans="1:12" ht="25.5">
      <c r="A49" s="1128" t="s">
        <v>673</v>
      </c>
      <c r="B49" s="1128"/>
      <c r="C49" s="1059">
        <v>2169769</v>
      </c>
      <c r="D49" s="1059"/>
      <c r="E49" s="1059"/>
      <c r="F49" s="1059"/>
      <c r="G49" s="1059">
        <f>C49</f>
        <v>2169769</v>
      </c>
      <c r="H49" s="1061" t="s">
        <v>717</v>
      </c>
      <c r="I49" s="563"/>
      <c r="K49" s="1166">
        <v>2169769</v>
      </c>
      <c r="L49" s="1166">
        <f t="shared" si="0"/>
        <v>0</v>
      </c>
    </row>
    <row r="50" spans="1:12" ht="25.5">
      <c r="A50" s="1128" t="s">
        <v>67</v>
      </c>
      <c r="B50" s="1128"/>
      <c r="C50" s="1059">
        <v>334647</v>
      </c>
      <c r="D50" s="1059">
        <f>C50</f>
        <v>334647</v>
      </c>
      <c r="E50" s="1059"/>
      <c r="F50" s="1059"/>
      <c r="G50" s="1059"/>
      <c r="H50" s="1061" t="s">
        <v>718</v>
      </c>
      <c r="I50" s="563"/>
      <c r="K50" s="1166">
        <v>334647</v>
      </c>
      <c r="L50" s="1166">
        <f t="shared" si="0"/>
        <v>0</v>
      </c>
    </row>
    <row r="51" spans="1:12" ht="38.25">
      <c r="A51" s="1128" t="s">
        <v>827</v>
      </c>
      <c r="B51" s="1128"/>
      <c r="C51" s="1059">
        <v>94502220</v>
      </c>
      <c r="D51" s="1059">
        <f>C51</f>
        <v>94502220</v>
      </c>
      <c r="E51" s="1059"/>
      <c r="F51" s="1059"/>
      <c r="G51" s="1059"/>
      <c r="H51" s="1061" t="s">
        <v>837</v>
      </c>
      <c r="I51" s="563"/>
      <c r="K51" s="1166">
        <v>94502220</v>
      </c>
      <c r="L51" s="1166">
        <f t="shared" si="0"/>
        <v>0</v>
      </c>
    </row>
    <row r="52" spans="1:12" ht="38.25">
      <c r="A52" s="1128" t="s">
        <v>828</v>
      </c>
      <c r="B52" s="1128"/>
      <c r="C52" s="1059">
        <v>115594889</v>
      </c>
      <c r="D52" s="1059">
        <f>C52</f>
        <v>115594889</v>
      </c>
      <c r="E52" s="1059"/>
      <c r="F52" s="1059"/>
      <c r="G52" s="1059"/>
      <c r="H52" s="1061" t="s">
        <v>836</v>
      </c>
      <c r="I52" s="563"/>
      <c r="K52" s="1166">
        <v>112498665</v>
      </c>
      <c r="L52" s="1166">
        <f t="shared" si="0"/>
        <v>3096224</v>
      </c>
    </row>
    <row r="53" spans="1:12" ht="25.5">
      <c r="A53" s="1128" t="s">
        <v>829</v>
      </c>
      <c r="B53" s="1128"/>
      <c r="C53" s="1059">
        <v>24669626</v>
      </c>
      <c r="D53" s="1059"/>
      <c r="E53" s="1059"/>
      <c r="F53" s="1059"/>
      <c r="G53" s="1059">
        <f>C53</f>
        <v>24669626</v>
      </c>
      <c r="H53" s="1061" t="s">
        <v>835</v>
      </c>
      <c r="I53" s="563"/>
      <c r="K53" s="1166">
        <v>24669626</v>
      </c>
      <c r="L53" s="1166">
        <f t="shared" si="0"/>
        <v>0</v>
      </c>
    </row>
    <row r="54" spans="1:12" s="1095" customFormat="1" ht="38.25">
      <c r="A54" s="1147" t="s">
        <v>822</v>
      </c>
      <c r="B54" s="1148"/>
      <c r="C54" s="1149">
        <v>0</v>
      </c>
      <c r="D54" s="1149">
        <f>C54</f>
        <v>0</v>
      </c>
      <c r="E54" s="1145"/>
      <c r="F54" s="1145"/>
      <c r="G54" s="1145"/>
      <c r="H54" s="1061" t="s">
        <v>839</v>
      </c>
      <c r="I54" s="1146"/>
      <c r="K54" s="1166">
        <v>0</v>
      </c>
      <c r="L54" s="1166">
        <f t="shared" si="0"/>
        <v>0</v>
      </c>
    </row>
    <row r="55" spans="1:12" ht="25.5">
      <c r="A55" s="1128" t="s">
        <v>674</v>
      </c>
      <c r="B55" s="1128"/>
      <c r="C55" s="1059">
        <v>1017356</v>
      </c>
      <c r="D55" s="1059">
        <f>C55</f>
        <v>1017356</v>
      </c>
      <c r="E55" s="1059"/>
      <c r="F55" s="1059"/>
      <c r="G55" s="1059"/>
      <c r="H55" s="1061" t="s">
        <v>725</v>
      </c>
      <c r="I55" s="563"/>
      <c r="J55" s="159"/>
      <c r="K55" s="1166">
        <v>1017355</v>
      </c>
      <c r="L55" s="1166">
        <f t="shared" si="0"/>
        <v>1</v>
      </c>
    </row>
    <row r="56" spans="1:12" ht="25.5">
      <c r="A56" s="1128" t="s">
        <v>724</v>
      </c>
      <c r="B56" s="1128"/>
      <c r="C56" s="1059">
        <v>806469</v>
      </c>
      <c r="D56" s="1059"/>
      <c r="E56" s="1059"/>
      <c r="F56" s="1059"/>
      <c r="G56" s="1059">
        <f>C56</f>
        <v>806469</v>
      </c>
      <c r="H56" s="1061" t="s">
        <v>726</v>
      </c>
      <c r="I56" s="563"/>
      <c r="J56" s="159"/>
      <c r="K56" s="1166">
        <v>806469</v>
      </c>
      <c r="L56" s="1166">
        <f t="shared" si="0"/>
        <v>0</v>
      </c>
    </row>
    <row r="57" spans="1:12" ht="25.5">
      <c r="A57" s="1128" t="s">
        <v>719</v>
      </c>
      <c r="B57" s="1128"/>
      <c r="C57" s="1059">
        <v>1069721</v>
      </c>
      <c r="D57" s="1059"/>
      <c r="E57" s="1059"/>
      <c r="F57" s="1059"/>
      <c r="G57" s="1059">
        <f>C57</f>
        <v>1069721</v>
      </c>
      <c r="H57" s="1061" t="s">
        <v>727</v>
      </c>
      <c r="I57" s="563"/>
      <c r="J57" s="159"/>
      <c r="K57" s="1166">
        <v>1069721</v>
      </c>
      <c r="L57" s="1166">
        <f t="shared" si="0"/>
        <v>0</v>
      </c>
    </row>
    <row r="58" spans="1:12" ht="38.25">
      <c r="A58" s="1128" t="s">
        <v>720</v>
      </c>
      <c r="B58" s="1128"/>
      <c r="C58" s="1059">
        <v>10204300</v>
      </c>
      <c r="D58" s="1059">
        <f>C58</f>
        <v>10204300</v>
      </c>
      <c r="E58" s="1059"/>
      <c r="F58" s="1059"/>
      <c r="G58" s="1059"/>
      <c r="H58" s="1061" t="s">
        <v>728</v>
      </c>
      <c r="I58" s="563"/>
      <c r="J58" s="159"/>
      <c r="K58" s="1166">
        <v>10204300</v>
      </c>
      <c r="L58" s="1166">
        <f t="shared" si="0"/>
        <v>0</v>
      </c>
    </row>
    <row r="59" spans="1:12" s="1095" customFormat="1">
      <c r="A59" s="1128" t="s">
        <v>845</v>
      </c>
      <c r="B59" s="1128"/>
      <c r="C59" s="1145">
        <v>28914955</v>
      </c>
      <c r="D59" s="1145"/>
      <c r="E59" s="1145"/>
      <c r="F59" s="1145">
        <f>C59</f>
        <v>28914955</v>
      </c>
      <c r="G59" s="1145"/>
      <c r="H59" s="1162" t="s">
        <v>844</v>
      </c>
      <c r="I59" s="1146"/>
      <c r="J59" s="1115"/>
      <c r="K59" s="1166">
        <v>28914955</v>
      </c>
      <c r="L59" s="1166">
        <f t="shared" si="0"/>
        <v>0</v>
      </c>
    </row>
    <row r="60" spans="1:12" ht="25.5">
      <c r="A60" s="1128" t="s">
        <v>721</v>
      </c>
      <c r="B60" s="1128"/>
      <c r="C60" s="1059">
        <v>443892</v>
      </c>
      <c r="D60" s="1059"/>
      <c r="E60" s="1059"/>
      <c r="F60" s="1059"/>
      <c r="G60" s="1059">
        <f>C60</f>
        <v>443892</v>
      </c>
      <c r="H60" s="1061" t="s">
        <v>729</v>
      </c>
      <c r="I60" s="563"/>
      <c r="J60" s="159"/>
      <c r="K60" s="1166">
        <v>443892</v>
      </c>
      <c r="L60" s="1166">
        <f t="shared" si="0"/>
        <v>0</v>
      </c>
    </row>
    <row r="61" spans="1:12" ht="25.5">
      <c r="A61" s="1128" t="s">
        <v>722</v>
      </c>
      <c r="B61" s="1128"/>
      <c r="C61" s="1059">
        <v>7908917</v>
      </c>
      <c r="D61" s="1059"/>
      <c r="E61" s="1059"/>
      <c r="F61" s="1059"/>
      <c r="G61" s="1059">
        <f t="shared" ref="G61" si="1">C61</f>
        <v>7908917</v>
      </c>
      <c r="H61" s="1061" t="s">
        <v>730</v>
      </c>
      <c r="I61" s="563"/>
      <c r="J61" s="159"/>
      <c r="K61" s="1166">
        <v>7908917</v>
      </c>
      <c r="L61" s="1166">
        <f t="shared" si="0"/>
        <v>0</v>
      </c>
    </row>
    <row r="62" spans="1:12" ht="25.5">
      <c r="A62" s="1128" t="s">
        <v>723</v>
      </c>
      <c r="B62" s="1128"/>
      <c r="C62" s="1059">
        <v>-458301</v>
      </c>
      <c r="D62" s="1059">
        <f>C62</f>
        <v>-458301</v>
      </c>
      <c r="E62" s="1059"/>
      <c r="F62" s="1059"/>
      <c r="G62" s="1059"/>
      <c r="H62" s="1061" t="s">
        <v>731</v>
      </c>
      <c r="I62" s="563"/>
      <c r="J62" s="159"/>
      <c r="K62" s="1166">
        <v>-458301</v>
      </c>
      <c r="L62" s="1166">
        <f t="shared" si="0"/>
        <v>0</v>
      </c>
    </row>
    <row r="63" spans="1:12">
      <c r="A63" s="1128" t="s">
        <v>652</v>
      </c>
      <c r="B63" s="1128"/>
      <c r="C63" s="1059">
        <v>-835191</v>
      </c>
      <c r="D63" s="1059">
        <f t="shared" ref="D63:D69" si="2">C63</f>
        <v>-835191</v>
      </c>
      <c r="E63" s="1059"/>
      <c r="F63" s="1059"/>
      <c r="G63" s="1059"/>
      <c r="H63" s="1061" t="s">
        <v>732</v>
      </c>
      <c r="I63" s="563"/>
      <c r="J63" s="159"/>
      <c r="K63" s="1166">
        <v>-835191</v>
      </c>
      <c r="L63" s="1166">
        <f t="shared" si="0"/>
        <v>0</v>
      </c>
    </row>
    <row r="64" spans="1:12" ht="38.25">
      <c r="A64" s="1188" t="s">
        <v>733</v>
      </c>
      <c r="B64" s="1189"/>
      <c r="C64" s="1059">
        <v>2960549</v>
      </c>
      <c r="D64" s="1059"/>
      <c r="E64" s="1059"/>
      <c r="F64" s="1059"/>
      <c r="G64" s="1059">
        <f>C64</f>
        <v>2960549</v>
      </c>
      <c r="H64" s="1062" t="s">
        <v>736</v>
      </c>
      <c r="I64" s="563"/>
      <c r="J64" s="159"/>
      <c r="K64" s="1166">
        <v>2960549</v>
      </c>
      <c r="L64" s="1166">
        <f t="shared" si="0"/>
        <v>0</v>
      </c>
    </row>
    <row r="65" spans="1:12" ht="25.5">
      <c r="A65" s="1128" t="s">
        <v>641</v>
      </c>
      <c r="B65" s="1128"/>
      <c r="C65" s="1059">
        <v>1602798</v>
      </c>
      <c r="D65" s="1059"/>
      <c r="E65" s="1059"/>
      <c r="F65" s="1059"/>
      <c r="G65" s="1059">
        <f>C65</f>
        <v>1602798</v>
      </c>
      <c r="H65" s="1061" t="s">
        <v>737</v>
      </c>
      <c r="I65" s="563"/>
      <c r="J65" s="159"/>
      <c r="K65" s="1166">
        <v>1602798</v>
      </c>
      <c r="L65" s="1166">
        <f t="shared" si="0"/>
        <v>0</v>
      </c>
    </row>
    <row r="66" spans="1:12" ht="38.25">
      <c r="A66" s="1128" t="s">
        <v>734</v>
      </c>
      <c r="B66" s="1128"/>
      <c r="C66" s="1059">
        <v>2863736</v>
      </c>
      <c r="D66" s="1059">
        <f t="shared" si="2"/>
        <v>2863736</v>
      </c>
      <c r="E66" s="1059"/>
      <c r="F66" s="1059"/>
      <c r="G66" s="1059"/>
      <c r="H66" s="1061" t="s">
        <v>738</v>
      </c>
      <c r="I66" s="563"/>
      <c r="J66" s="159"/>
      <c r="K66" s="1166">
        <v>2863736</v>
      </c>
      <c r="L66" s="1166">
        <f t="shared" si="0"/>
        <v>0</v>
      </c>
    </row>
    <row r="67" spans="1:12">
      <c r="A67" s="1128" t="s">
        <v>833</v>
      </c>
      <c r="B67" s="1128"/>
      <c r="C67" s="1059">
        <v>153670491</v>
      </c>
      <c r="D67" s="1059">
        <f t="shared" si="2"/>
        <v>153670491</v>
      </c>
      <c r="E67" s="1059"/>
      <c r="F67" s="1059"/>
      <c r="G67" s="1059"/>
      <c r="H67" s="1061" t="s">
        <v>739</v>
      </c>
      <c r="I67" s="563"/>
      <c r="J67" s="159"/>
      <c r="K67" s="1166">
        <v>153670491</v>
      </c>
      <c r="L67" s="1166">
        <f t="shared" si="0"/>
        <v>0</v>
      </c>
    </row>
    <row r="68" spans="1:12" ht="38.25">
      <c r="A68" s="1128" t="s">
        <v>735</v>
      </c>
      <c r="B68" s="1128"/>
      <c r="C68" s="1059">
        <v>7059</v>
      </c>
      <c r="D68" s="1059">
        <f t="shared" si="2"/>
        <v>7059</v>
      </c>
      <c r="E68" s="1059"/>
      <c r="F68" s="1059"/>
      <c r="G68" s="1059"/>
      <c r="H68" s="1061" t="s">
        <v>740</v>
      </c>
      <c r="I68" s="563"/>
      <c r="J68" s="159"/>
      <c r="K68" s="1166">
        <v>7059</v>
      </c>
      <c r="L68" s="1166">
        <f t="shared" si="0"/>
        <v>0</v>
      </c>
    </row>
    <row r="69" spans="1:12" ht="25.5">
      <c r="A69" s="1128" t="s">
        <v>741</v>
      </c>
      <c r="B69" s="1128"/>
      <c r="C69" s="1059">
        <v>-168580</v>
      </c>
      <c r="D69" s="1059">
        <f t="shared" si="2"/>
        <v>-168580</v>
      </c>
      <c r="E69" s="1059"/>
      <c r="F69" s="1059"/>
      <c r="G69" s="1059"/>
      <c r="H69" s="1061" t="s">
        <v>742</v>
      </c>
      <c r="I69" s="563"/>
      <c r="K69" s="1166">
        <v>-168580</v>
      </c>
      <c r="L69" s="1166">
        <f t="shared" si="0"/>
        <v>0</v>
      </c>
    </row>
    <row r="70" spans="1:12">
      <c r="A70" s="892"/>
      <c r="B70" s="893" t="s">
        <v>525</v>
      </c>
      <c r="C70" s="789">
        <f>SUBTOTAL(9,C33:C69)</f>
        <v>557637368</v>
      </c>
      <c r="D70" s="709"/>
      <c r="E70" s="709"/>
      <c r="F70" s="709"/>
      <c r="G70" s="709"/>
      <c r="H70" s="710"/>
      <c r="I70" s="563"/>
    </row>
    <row r="71" spans="1:12">
      <c r="A71" s="880"/>
      <c r="B71" s="880"/>
      <c r="C71" s="709"/>
      <c r="D71" s="709"/>
      <c r="E71" s="709"/>
      <c r="F71" s="709"/>
      <c r="G71" s="709"/>
      <c r="H71" s="710"/>
      <c r="I71" s="723"/>
    </row>
    <row r="72" spans="1:12">
      <c r="A72" s="895" t="s">
        <v>419</v>
      </c>
      <c r="B72" s="1016"/>
      <c r="C72" s="789">
        <f>C70</f>
        <v>557637368</v>
      </c>
      <c r="D72" s="789">
        <f>SUM(D33:D71)</f>
        <v>404688371</v>
      </c>
      <c r="E72" s="789">
        <f>SUM(E33:E71)</f>
        <v>0</v>
      </c>
      <c r="F72" s="789">
        <f>SUM(F33:F71)</f>
        <v>31877879</v>
      </c>
      <c r="G72" s="789">
        <f>SUM(G33:G71)</f>
        <v>121071118</v>
      </c>
      <c r="H72" s="725"/>
      <c r="I72" s="723"/>
      <c r="K72" s="1167"/>
    </row>
    <row r="73" spans="1:12" s="303" customFormat="1">
      <c r="A73" s="882" t="s">
        <v>344</v>
      </c>
      <c r="B73" s="1017"/>
      <c r="C73" s="871"/>
      <c r="D73" s="871"/>
      <c r="E73" s="871"/>
      <c r="F73" s="884"/>
      <c r="G73" s="878"/>
      <c r="H73" s="885"/>
      <c r="I73" s="716"/>
      <c r="K73" s="1168"/>
      <c r="L73" s="1166"/>
    </row>
    <row r="74" spans="1:12" s="303" customFormat="1">
      <c r="A74" s="886" t="s">
        <v>345</v>
      </c>
      <c r="B74" s="1018"/>
      <c r="C74" s="888"/>
      <c r="D74" s="888"/>
      <c r="E74" s="888"/>
      <c r="F74" s="888"/>
      <c r="G74" s="888">
        <f>C74</f>
        <v>0</v>
      </c>
      <c r="H74" s="885"/>
      <c r="I74" s="716"/>
      <c r="K74" s="1166"/>
      <c r="L74" s="1166"/>
    </row>
    <row r="75" spans="1:12" s="159" customFormat="1">
      <c r="A75" s="1185" t="s">
        <v>493</v>
      </c>
      <c r="B75" s="1186"/>
      <c r="C75" s="729">
        <f>+C72-C73-C74</f>
        <v>557637368</v>
      </c>
      <c r="D75" s="729">
        <f>+D72-D73-D74</f>
        <v>404688371</v>
      </c>
      <c r="E75" s="729">
        <f>+E72-E73-E74</f>
        <v>0</v>
      </c>
      <c r="F75" s="729">
        <f>+F72-F73-F74</f>
        <v>31877879</v>
      </c>
      <c r="G75" s="729">
        <f>+G72-G73-G74</f>
        <v>121071118</v>
      </c>
      <c r="H75" s="710"/>
      <c r="I75" s="723"/>
      <c r="K75" s="1163"/>
      <c r="L75" s="1163"/>
    </row>
    <row r="76" spans="1:12" s="159" customFormat="1">
      <c r="A76" s="721"/>
      <c r="B76" s="726"/>
      <c r="C76" s="727"/>
      <c r="D76" s="709"/>
      <c r="E76" s="723"/>
      <c r="F76" s="728"/>
      <c r="G76" s="708"/>
      <c r="H76" s="710"/>
      <c r="I76" s="723"/>
      <c r="K76" s="1163"/>
      <c r="L76" s="1163"/>
    </row>
    <row r="77" spans="1:12" s="159" customFormat="1">
      <c r="A77" s="721"/>
      <c r="B77" s="726"/>
      <c r="C77" s="727"/>
      <c r="D77" s="709"/>
      <c r="E77" s="723"/>
      <c r="F77" s="728"/>
      <c r="G77" s="708"/>
      <c r="H77" s="710"/>
      <c r="I77" s="723"/>
      <c r="K77" s="1163"/>
      <c r="L77" s="1163"/>
    </row>
    <row r="78" spans="1:12" s="159" customFormat="1" ht="20.100000000000001" customHeight="1">
      <c r="A78" s="721"/>
      <c r="B78" s="795" t="s">
        <v>35</v>
      </c>
      <c r="C78" s="1019"/>
      <c r="D78" s="1019"/>
      <c r="E78" s="1020"/>
      <c r="F78" s="1021"/>
      <c r="G78" s="1022"/>
      <c r="H78" s="710"/>
      <c r="I78" s="723"/>
      <c r="K78" s="1163"/>
      <c r="L78" s="1163"/>
    </row>
    <row r="79" spans="1:12" s="159" customFormat="1" ht="32.25" customHeight="1">
      <c r="A79" s="721"/>
      <c r="B79" s="1198" t="s">
        <v>198</v>
      </c>
      <c r="C79" s="1199"/>
      <c r="D79" s="1199"/>
      <c r="E79" s="1199"/>
      <c r="F79" s="1199"/>
      <c r="G79" s="1200"/>
      <c r="H79" s="725"/>
      <c r="I79" s="723"/>
      <c r="K79" s="1163"/>
      <c r="L79" s="1163"/>
    </row>
    <row r="80" spans="1:12" s="159" customFormat="1">
      <c r="A80" s="721"/>
      <c r="B80" s="798" t="s">
        <v>199</v>
      </c>
      <c r="C80" s="1023"/>
      <c r="D80" s="1023"/>
      <c r="E80" s="1023"/>
      <c r="F80" s="1024"/>
      <c r="G80" s="1025"/>
      <c r="H80" s="710"/>
      <c r="I80" s="723"/>
      <c r="K80" s="1163"/>
      <c r="L80" s="1163"/>
    </row>
    <row r="81" spans="1:12" s="159" customFormat="1">
      <c r="A81" s="721"/>
      <c r="B81" s="798" t="s">
        <v>460</v>
      </c>
      <c r="C81" s="1023"/>
      <c r="D81" s="1023"/>
      <c r="E81" s="1023"/>
      <c r="F81" s="1024"/>
      <c r="G81" s="1025"/>
      <c r="H81" s="725"/>
      <c r="I81" s="723"/>
      <c r="K81" s="1163"/>
      <c r="L81" s="1163"/>
    </row>
    <row r="82" spans="1:12" s="159" customFormat="1">
      <c r="A82" s="721"/>
      <c r="B82" s="798" t="s">
        <v>461</v>
      </c>
      <c r="C82" s="1023"/>
      <c r="D82" s="1023"/>
      <c r="E82" s="1023"/>
      <c r="F82" s="1024"/>
      <c r="G82" s="1025"/>
      <c r="H82" s="710"/>
      <c r="I82" s="723"/>
      <c r="K82" s="1163"/>
      <c r="L82" s="1163"/>
    </row>
    <row r="83" spans="1:12" s="263" customFormat="1" ht="27" customHeight="1">
      <c r="A83" s="721"/>
      <c r="B83" s="1193" t="s">
        <v>612</v>
      </c>
      <c r="C83" s="1194"/>
      <c r="D83" s="1194"/>
      <c r="E83" s="1194"/>
      <c r="F83" s="1194"/>
      <c r="G83" s="1195"/>
      <c r="H83" s="723"/>
      <c r="I83" s="724"/>
      <c r="K83" s="1163"/>
      <c r="L83" s="1163"/>
    </row>
    <row r="84" spans="1:12" s="159" customFormat="1" ht="18">
      <c r="A84" s="1201" t="str">
        <f>A1</f>
        <v>Commonwealth Edison Company</v>
      </c>
      <c r="B84" s="1201"/>
      <c r="C84" s="1201"/>
      <c r="D84" s="1201"/>
      <c r="E84" s="1201"/>
      <c r="F84" s="1201"/>
      <c r="G84" s="1201"/>
      <c r="H84" s="1201"/>
      <c r="I84" s="723"/>
      <c r="K84" s="1163"/>
      <c r="L84" s="1163"/>
    </row>
    <row r="85" spans="1:12" s="263" customFormat="1" ht="18">
      <c r="A85" s="1201" t="s">
        <v>295</v>
      </c>
      <c r="B85" s="1201"/>
      <c r="C85" s="1201"/>
      <c r="D85" s="1201"/>
      <c r="E85" s="1201"/>
      <c r="F85" s="1201"/>
      <c r="G85" s="1201"/>
      <c r="H85" s="1201"/>
      <c r="I85" s="716"/>
      <c r="K85" s="1163"/>
      <c r="L85" s="1163"/>
    </row>
    <row r="86" spans="1:12" s="263" customFormat="1">
      <c r="A86" s="563"/>
      <c r="B86" s="570"/>
      <c r="C86" s="570"/>
      <c r="D86" s="570"/>
      <c r="E86" s="570"/>
      <c r="F86" s="570"/>
      <c r="G86" s="570"/>
      <c r="H86" s="570"/>
      <c r="I86" s="716"/>
      <c r="K86" s="1163"/>
      <c r="L86" s="1163"/>
    </row>
    <row r="87" spans="1:12" s="159" customFormat="1">
      <c r="A87" s="1181" t="s">
        <v>393</v>
      </c>
      <c r="B87" s="1181"/>
      <c r="C87" s="1048" t="s">
        <v>494</v>
      </c>
      <c r="D87" s="1048" t="s">
        <v>377</v>
      </c>
      <c r="E87" s="1048" t="s">
        <v>394</v>
      </c>
      <c r="F87" s="1048" t="s">
        <v>392</v>
      </c>
      <c r="G87" s="1048" t="s">
        <v>169</v>
      </c>
      <c r="H87" s="1048" t="s">
        <v>395</v>
      </c>
      <c r="I87" s="563"/>
      <c r="K87" s="1163"/>
      <c r="L87" s="1163"/>
    </row>
    <row r="88" spans="1:12" s="263" customFormat="1">
      <c r="A88" s="1180"/>
      <c r="B88" s="1180"/>
      <c r="C88" s="563"/>
      <c r="D88" s="712" t="s">
        <v>32</v>
      </c>
      <c r="E88" s="712" t="s">
        <v>34</v>
      </c>
      <c r="F88" s="712"/>
      <c r="G88" s="712"/>
      <c r="H88" s="563"/>
      <c r="I88" s="564"/>
      <c r="K88" s="1163"/>
      <c r="L88" s="1163"/>
    </row>
    <row r="89" spans="1:12" s="263" customFormat="1">
      <c r="A89" s="1180"/>
      <c r="B89" s="1180"/>
      <c r="C89" s="712"/>
      <c r="D89" s="712" t="s">
        <v>33</v>
      </c>
      <c r="E89" s="712" t="s">
        <v>23</v>
      </c>
      <c r="F89" s="712" t="s">
        <v>29</v>
      </c>
      <c r="G89" s="712" t="s">
        <v>31</v>
      </c>
      <c r="H89" s="563"/>
      <c r="I89" s="564"/>
      <c r="K89" s="1163"/>
      <c r="L89" s="1163"/>
    </row>
    <row r="90" spans="1:12" s="159" customFormat="1" ht="15">
      <c r="A90" s="1182" t="s">
        <v>91</v>
      </c>
      <c r="B90" s="1182"/>
      <c r="C90" s="713" t="s">
        <v>493</v>
      </c>
      <c r="D90" s="713" t="s">
        <v>30</v>
      </c>
      <c r="E90" s="713" t="s">
        <v>30</v>
      </c>
      <c r="F90" s="713" t="s">
        <v>30</v>
      </c>
      <c r="G90" s="713" t="s">
        <v>30</v>
      </c>
      <c r="H90" s="714" t="s">
        <v>368</v>
      </c>
      <c r="I90" s="563"/>
      <c r="K90" s="1163"/>
      <c r="L90" s="1163"/>
    </row>
    <row r="91" spans="1:12" s="263" customFormat="1">
      <c r="A91" s="715"/>
      <c r="B91" s="723"/>
      <c r="C91" s="713"/>
      <c r="D91" s="713"/>
      <c r="E91" s="713"/>
      <c r="F91" s="713"/>
      <c r="G91" s="713"/>
      <c r="H91" s="714"/>
      <c r="I91" s="716"/>
      <c r="K91" s="1163"/>
      <c r="L91" s="1163"/>
    </row>
    <row r="92" spans="1:12" ht="15.75">
      <c r="A92" s="1202" t="s">
        <v>333</v>
      </c>
      <c r="B92" s="1202"/>
      <c r="C92" s="1202"/>
      <c r="D92" s="709"/>
      <c r="E92" s="709"/>
      <c r="F92" s="709"/>
      <c r="G92" s="709"/>
      <c r="H92" s="710"/>
      <c r="I92" s="563"/>
    </row>
    <row r="93" spans="1:12" ht="25.5">
      <c r="A93" s="1128" t="s">
        <v>106</v>
      </c>
      <c r="B93" s="1128"/>
      <c r="C93" s="1059">
        <v>-3883348659</v>
      </c>
      <c r="D93" s="1059"/>
      <c r="E93" s="1059"/>
      <c r="F93" s="1059">
        <f>C93</f>
        <v>-3883348659</v>
      </c>
      <c r="G93" s="1059"/>
      <c r="H93" s="1061" t="s">
        <v>743</v>
      </c>
      <c r="I93" s="563"/>
      <c r="K93" s="1166">
        <v>-3883348660</v>
      </c>
      <c r="L93" s="1166">
        <f t="shared" ref="L93:L94" si="3">C93-K93</f>
        <v>1</v>
      </c>
    </row>
    <row r="94" spans="1:12" s="1095" customFormat="1" ht="25.5">
      <c r="A94" s="1128" t="s">
        <v>672</v>
      </c>
      <c r="B94" s="1128"/>
      <c r="C94" s="1145">
        <v>1776007</v>
      </c>
      <c r="D94" s="1145"/>
      <c r="E94" s="1145"/>
      <c r="F94" s="1145">
        <f>C94</f>
        <v>1776007</v>
      </c>
      <c r="G94" s="1145"/>
      <c r="H94" s="1061" t="s">
        <v>670</v>
      </c>
      <c r="I94" s="1146"/>
      <c r="K94" s="1166">
        <v>1776007</v>
      </c>
      <c r="L94" s="1166">
        <f t="shared" si="3"/>
        <v>0</v>
      </c>
    </row>
    <row r="95" spans="1:12">
      <c r="A95" s="1203"/>
      <c r="B95" s="1203"/>
      <c r="C95" s="709"/>
      <c r="D95" s="709"/>
      <c r="E95" s="709"/>
      <c r="F95" s="709"/>
      <c r="G95" s="709"/>
      <c r="H95" s="710"/>
      <c r="I95" s="563"/>
    </row>
    <row r="96" spans="1:12" ht="15.75">
      <c r="A96" s="881" t="s">
        <v>332</v>
      </c>
      <c r="B96" s="709"/>
      <c r="C96" s="709"/>
      <c r="D96" s="709"/>
      <c r="E96" s="709"/>
      <c r="F96" s="709"/>
      <c r="G96" s="709"/>
      <c r="H96" s="710"/>
      <c r="I96" s="563"/>
    </row>
    <row r="97" spans="1:12">
      <c r="A97" s="1128" t="s">
        <v>744</v>
      </c>
      <c r="B97" s="1128"/>
      <c r="C97" s="1059">
        <v>-42330458</v>
      </c>
      <c r="D97" s="1059">
        <f>C97</f>
        <v>-42330458</v>
      </c>
      <c r="E97" s="1059"/>
      <c r="F97" s="1059"/>
      <c r="G97" s="1059"/>
      <c r="H97" s="1062" t="s">
        <v>746</v>
      </c>
      <c r="I97" s="563"/>
      <c r="K97" s="1166">
        <v>-42330458</v>
      </c>
      <c r="L97" s="1166">
        <f t="shared" ref="L97:L113" si="4">C97-K97</f>
        <v>0</v>
      </c>
    </row>
    <row r="98" spans="1:12">
      <c r="A98" s="1128" t="s">
        <v>745</v>
      </c>
      <c r="B98" s="1128"/>
      <c r="C98" s="1059">
        <v>-27551201</v>
      </c>
      <c r="D98" s="1059"/>
      <c r="E98" s="1059"/>
      <c r="F98" s="1059">
        <f>C98</f>
        <v>-27551201</v>
      </c>
      <c r="G98" s="1059"/>
      <c r="H98" s="1061" t="s">
        <v>747</v>
      </c>
      <c r="I98" s="563"/>
      <c r="K98" s="1166">
        <v>-27551201</v>
      </c>
      <c r="L98" s="1166">
        <f t="shared" si="4"/>
        <v>0</v>
      </c>
    </row>
    <row r="99" spans="1:12">
      <c r="A99" s="1128" t="s">
        <v>748</v>
      </c>
      <c r="B99" s="1128"/>
      <c r="C99" s="1059">
        <v>-321973460</v>
      </c>
      <c r="D99" s="1059">
        <f>C99</f>
        <v>-321973460</v>
      </c>
      <c r="E99" s="1059"/>
      <c r="F99" s="1059"/>
      <c r="G99" s="1059"/>
      <c r="H99" s="1061" t="s">
        <v>763</v>
      </c>
      <c r="I99" s="563"/>
      <c r="K99" s="1166">
        <v>-321973460</v>
      </c>
      <c r="L99" s="1166">
        <f t="shared" si="4"/>
        <v>0</v>
      </c>
    </row>
    <row r="100" spans="1:12" ht="25.5">
      <c r="A100" s="1128" t="s">
        <v>749</v>
      </c>
      <c r="B100" s="1128"/>
      <c r="C100" s="1059">
        <v>851970</v>
      </c>
      <c r="D100" s="1059"/>
      <c r="E100" s="1059"/>
      <c r="F100" s="1059">
        <f>C100</f>
        <v>851970</v>
      </c>
      <c r="G100" s="1059"/>
      <c r="H100" s="1061" t="s">
        <v>764</v>
      </c>
      <c r="I100" s="563"/>
      <c r="K100" s="1166">
        <v>851970</v>
      </c>
      <c r="L100" s="1166">
        <f t="shared" si="4"/>
        <v>0</v>
      </c>
    </row>
    <row r="101" spans="1:12">
      <c r="A101" s="1128" t="s">
        <v>750</v>
      </c>
      <c r="B101" s="1128"/>
      <c r="C101" s="1059">
        <v>96493079</v>
      </c>
      <c r="D101" s="1059"/>
      <c r="E101" s="1059"/>
      <c r="F101" s="1059">
        <f t="shared" ref="F101:F105" si="5">C101</f>
        <v>96493079</v>
      </c>
      <c r="G101" s="1059"/>
      <c r="H101" s="1061" t="s">
        <v>765</v>
      </c>
      <c r="I101" s="563"/>
      <c r="K101" s="1166">
        <v>96493079</v>
      </c>
      <c r="L101" s="1166">
        <f t="shared" si="4"/>
        <v>0</v>
      </c>
    </row>
    <row r="102" spans="1:12" ht="38.25">
      <c r="A102" s="1128" t="s">
        <v>751</v>
      </c>
      <c r="B102" s="1128"/>
      <c r="C102" s="1059">
        <v>-100891815</v>
      </c>
      <c r="D102" s="1059"/>
      <c r="E102" s="1059"/>
      <c r="F102" s="1059">
        <f t="shared" si="5"/>
        <v>-100891815</v>
      </c>
      <c r="G102" s="1059"/>
      <c r="H102" s="1061" t="s">
        <v>766</v>
      </c>
      <c r="I102" s="563"/>
      <c r="K102" s="1166">
        <v>-100891815</v>
      </c>
      <c r="L102" s="1166">
        <f t="shared" si="4"/>
        <v>0</v>
      </c>
    </row>
    <row r="103" spans="1:12" ht="25.5">
      <c r="A103" s="1128" t="s">
        <v>752</v>
      </c>
      <c r="B103" s="1128"/>
      <c r="C103" s="1059">
        <v>-281174688</v>
      </c>
      <c r="D103" s="1059"/>
      <c r="E103" s="1059"/>
      <c r="F103" s="1059">
        <f t="shared" si="5"/>
        <v>-281174688</v>
      </c>
      <c r="G103" s="1059"/>
      <c r="H103" s="1061" t="s">
        <v>767</v>
      </c>
      <c r="I103" s="563"/>
      <c r="K103" s="1166">
        <v>-281174688</v>
      </c>
      <c r="L103" s="1166">
        <f t="shared" si="4"/>
        <v>0</v>
      </c>
    </row>
    <row r="104" spans="1:12" ht="25.5">
      <c r="A104" s="1128" t="s">
        <v>753</v>
      </c>
      <c r="B104" s="1128"/>
      <c r="C104" s="1059">
        <v>170179061</v>
      </c>
      <c r="D104" s="1059"/>
      <c r="E104" s="1059"/>
      <c r="F104" s="1059">
        <f t="shared" si="5"/>
        <v>170179061</v>
      </c>
      <c r="G104" s="1059"/>
      <c r="H104" s="1061" t="s">
        <v>768</v>
      </c>
      <c r="I104" s="563"/>
      <c r="K104" s="1166">
        <v>170179061</v>
      </c>
      <c r="L104" s="1166">
        <f t="shared" si="4"/>
        <v>0</v>
      </c>
    </row>
    <row r="105" spans="1:12" ht="25.5">
      <c r="A105" s="1128" t="s">
        <v>754</v>
      </c>
      <c r="B105" s="1128"/>
      <c r="C105" s="1059">
        <v>157263300</v>
      </c>
      <c r="D105" s="1059"/>
      <c r="E105" s="1059"/>
      <c r="F105" s="1059">
        <f t="shared" si="5"/>
        <v>157263300</v>
      </c>
      <c r="G105" s="1059"/>
      <c r="H105" s="1061" t="s">
        <v>769</v>
      </c>
      <c r="I105" s="563"/>
      <c r="K105" s="1166">
        <v>157263300</v>
      </c>
      <c r="L105" s="1166">
        <f t="shared" si="4"/>
        <v>0</v>
      </c>
    </row>
    <row r="106" spans="1:12" ht="38.25">
      <c r="A106" s="1128" t="s">
        <v>755</v>
      </c>
      <c r="B106" s="1128"/>
      <c r="C106" s="1059">
        <v>49828662</v>
      </c>
      <c r="D106" s="1059">
        <f>C106</f>
        <v>49828662</v>
      </c>
      <c r="E106" s="1059"/>
      <c r="F106" s="1059"/>
      <c r="G106" s="1059"/>
      <c r="H106" s="1061" t="s">
        <v>770</v>
      </c>
      <c r="I106" s="563"/>
      <c r="K106" s="1166">
        <v>49828662</v>
      </c>
      <c r="L106" s="1166">
        <f t="shared" si="4"/>
        <v>0</v>
      </c>
    </row>
    <row r="107" spans="1:12">
      <c r="A107" s="1128" t="s">
        <v>756</v>
      </c>
      <c r="B107" s="1128"/>
      <c r="C107" s="1059">
        <v>3864348</v>
      </c>
      <c r="D107" s="1059">
        <f>C107</f>
        <v>3864348</v>
      </c>
      <c r="E107" s="1059"/>
      <c r="F107" s="1059"/>
      <c r="G107" s="1059"/>
      <c r="H107" s="1061" t="s">
        <v>771</v>
      </c>
      <c r="I107" s="563"/>
      <c r="K107" s="1166">
        <v>3864348</v>
      </c>
      <c r="L107" s="1166">
        <f t="shared" si="4"/>
        <v>0</v>
      </c>
    </row>
    <row r="108" spans="1:12">
      <c r="A108" s="1128" t="s">
        <v>757</v>
      </c>
      <c r="B108" s="1128"/>
      <c r="C108" s="1059">
        <v>10161</v>
      </c>
      <c r="D108" s="1059"/>
      <c r="E108" s="1059"/>
      <c r="F108" s="1059">
        <f>C108</f>
        <v>10161</v>
      </c>
      <c r="G108" s="1059"/>
      <c r="H108" s="1061" t="s">
        <v>772</v>
      </c>
      <c r="I108" s="563"/>
      <c r="K108" s="1166">
        <v>10161</v>
      </c>
      <c r="L108" s="1166">
        <f t="shared" si="4"/>
        <v>0</v>
      </c>
    </row>
    <row r="109" spans="1:12" ht="25.5">
      <c r="A109" s="1128" t="s">
        <v>758</v>
      </c>
      <c r="B109" s="1128"/>
      <c r="C109" s="1059">
        <v>-43562737</v>
      </c>
      <c r="D109" s="1059"/>
      <c r="E109" s="1059"/>
      <c r="F109" s="1059">
        <f>C109</f>
        <v>-43562737</v>
      </c>
      <c r="G109" s="1059"/>
      <c r="H109" s="1061" t="s">
        <v>773</v>
      </c>
      <c r="I109" s="563"/>
      <c r="K109" s="1166">
        <v>-43562737</v>
      </c>
      <c r="L109" s="1166">
        <f t="shared" si="4"/>
        <v>0</v>
      </c>
    </row>
    <row r="110" spans="1:12" ht="25.5">
      <c r="A110" s="1128" t="s">
        <v>759</v>
      </c>
      <c r="B110" s="1128"/>
      <c r="C110" s="1059">
        <v>-969862676</v>
      </c>
      <c r="D110" s="1059">
        <f>C110</f>
        <v>-969862676</v>
      </c>
      <c r="E110" s="1059"/>
      <c r="F110" s="1059"/>
      <c r="G110" s="1059"/>
      <c r="H110" s="1061" t="s">
        <v>774</v>
      </c>
      <c r="I110" s="563"/>
      <c r="K110" s="1166">
        <v>-969862676</v>
      </c>
      <c r="L110" s="1166">
        <f t="shared" si="4"/>
        <v>0</v>
      </c>
    </row>
    <row r="111" spans="1:12" ht="25.5">
      <c r="A111" s="1128" t="s">
        <v>760</v>
      </c>
      <c r="B111" s="1128"/>
      <c r="C111" s="1059">
        <v>-94181610</v>
      </c>
      <c r="D111" s="1059"/>
      <c r="E111" s="1059">
        <f>C111</f>
        <v>-94181610</v>
      </c>
      <c r="F111" s="1059"/>
      <c r="G111" s="1059"/>
      <c r="H111" s="1061" t="s">
        <v>775</v>
      </c>
      <c r="I111" s="563"/>
      <c r="K111" s="1166">
        <v>-94181610</v>
      </c>
      <c r="L111" s="1166">
        <f t="shared" si="4"/>
        <v>0</v>
      </c>
    </row>
    <row r="112" spans="1:12">
      <c r="A112" s="1128" t="s">
        <v>761</v>
      </c>
      <c r="B112" s="1128"/>
      <c r="C112" s="1059">
        <v>8206382</v>
      </c>
      <c r="D112" s="1059">
        <f>C112</f>
        <v>8206382</v>
      </c>
      <c r="E112" s="1059"/>
      <c r="F112" s="1059"/>
      <c r="G112" s="1059"/>
      <c r="H112" s="1062" t="s">
        <v>776</v>
      </c>
      <c r="I112" s="563"/>
      <c r="K112" s="1166">
        <v>8206382</v>
      </c>
      <c r="L112" s="1166">
        <f t="shared" si="4"/>
        <v>0</v>
      </c>
    </row>
    <row r="113" spans="1:12" ht="76.5">
      <c r="A113" s="1128" t="s">
        <v>762</v>
      </c>
      <c r="B113" s="1128"/>
      <c r="C113" s="1059">
        <f>-74152788-1924366</f>
        <v>-76077154</v>
      </c>
      <c r="D113" s="1059">
        <f t="shared" ref="D113" si="6">C113</f>
        <v>-76077154</v>
      </c>
      <c r="E113" s="1059"/>
      <c r="F113" s="1059"/>
      <c r="G113" s="1089"/>
      <c r="H113" s="1061" t="s">
        <v>777</v>
      </c>
      <c r="I113" s="563"/>
      <c r="K113" s="1166">
        <f>-74152788-1924366</f>
        <v>-76077154</v>
      </c>
      <c r="L113" s="1166">
        <f t="shared" si="4"/>
        <v>0</v>
      </c>
    </row>
    <row r="114" spans="1:12">
      <c r="A114" s="892"/>
      <c r="B114" s="893" t="s">
        <v>90</v>
      </c>
      <c r="C114" s="789">
        <f>SUBTOTAL(9,C97:C113)</f>
        <v>-1470908836</v>
      </c>
      <c r="D114" s="709"/>
      <c r="E114" s="709"/>
      <c r="F114" s="709"/>
      <c r="G114" s="709"/>
      <c r="H114" s="710"/>
      <c r="I114" s="563"/>
    </row>
    <row r="115" spans="1:12">
      <c r="A115" s="708"/>
      <c r="B115" s="708"/>
      <c r="C115" s="709"/>
      <c r="D115" s="709"/>
      <c r="E115" s="709"/>
      <c r="F115" s="709"/>
      <c r="G115" s="709"/>
      <c r="H115" s="710"/>
      <c r="I115" s="723"/>
    </row>
    <row r="116" spans="1:12">
      <c r="A116" s="894" t="s">
        <v>420</v>
      </c>
      <c r="B116" s="1016"/>
      <c r="C116" s="789">
        <f>+C93+C94+C114</f>
        <v>-5352481488</v>
      </c>
      <c r="D116" s="789">
        <f>SUM(D93:D115)</f>
        <v>-1348344356</v>
      </c>
      <c r="E116" s="789">
        <f>SUM(E93:E115)</f>
        <v>-94181610</v>
      </c>
      <c r="F116" s="789">
        <f>SUM(F93:F115)</f>
        <v>-3909955522</v>
      </c>
      <c r="G116" s="789">
        <f>SUM(G93:G115)</f>
        <v>0</v>
      </c>
      <c r="H116" s="725"/>
      <c r="I116" s="723"/>
      <c r="K116" s="1167"/>
    </row>
    <row r="117" spans="1:12" s="303" customFormat="1">
      <c r="A117" s="882" t="s">
        <v>344</v>
      </c>
      <c r="B117" s="1017"/>
      <c r="C117" s="871">
        <f>SUM(D117:G117)</f>
        <v>0</v>
      </c>
      <c r="D117" s="871"/>
      <c r="E117" s="871"/>
      <c r="F117" s="871"/>
      <c r="G117" s="871"/>
      <c r="H117" s="885"/>
      <c r="I117" s="716"/>
      <c r="K117" s="1168"/>
      <c r="L117" s="1166"/>
    </row>
    <row r="118" spans="1:12" s="303" customFormat="1">
      <c r="A118" s="886" t="s">
        <v>345</v>
      </c>
      <c r="B118" s="1018"/>
      <c r="C118" s="888">
        <f>SUM(D118:G118)</f>
        <v>0</v>
      </c>
      <c r="D118" s="888"/>
      <c r="E118" s="888"/>
      <c r="F118" s="888"/>
      <c r="G118" s="888"/>
      <c r="H118" s="885"/>
      <c r="I118" s="716"/>
      <c r="K118" s="1166"/>
      <c r="L118" s="1166"/>
    </row>
    <row r="119" spans="1:12">
      <c r="A119" s="1183" t="s">
        <v>493</v>
      </c>
      <c r="B119" s="1184"/>
      <c r="C119" s="732">
        <f>+C116-C117-C118</f>
        <v>-5352481488</v>
      </c>
      <c r="D119" s="732">
        <f>+D116-D117-D118</f>
        <v>-1348344356</v>
      </c>
      <c r="E119" s="732">
        <f>+E116-E117-E118</f>
        <v>-94181610</v>
      </c>
      <c r="F119" s="732">
        <f>+F116-F117-F118</f>
        <v>-3909955522</v>
      </c>
      <c r="G119" s="732">
        <f>+G116-G117-G118</f>
        <v>0</v>
      </c>
      <c r="H119" s="682"/>
      <c r="I119" s="723"/>
    </row>
    <row r="120" spans="1:12" s="159" customFormat="1">
      <c r="A120" s="721"/>
      <c r="B120" s="726"/>
      <c r="C120" s="727"/>
      <c r="D120" s="723"/>
      <c r="E120" s="709"/>
      <c r="F120" s="708"/>
      <c r="G120" s="708"/>
      <c r="H120" s="710"/>
      <c r="I120" s="723"/>
      <c r="K120" s="1163"/>
      <c r="L120" s="1163"/>
    </row>
    <row r="121" spans="1:12" s="159" customFormat="1">
      <c r="A121" s="721"/>
      <c r="B121" s="726"/>
      <c r="C121" s="727"/>
      <c r="D121" s="723"/>
      <c r="E121" s="709"/>
      <c r="F121" s="708"/>
      <c r="G121" s="708"/>
      <c r="H121" s="710"/>
      <c r="I121" s="723"/>
      <c r="K121" s="1163"/>
      <c r="L121" s="1163"/>
    </row>
    <row r="122" spans="1:12" s="159" customFormat="1">
      <c r="A122" s="721"/>
      <c r="B122" s="795" t="s">
        <v>37</v>
      </c>
      <c r="C122" s="1019"/>
      <c r="D122" s="1019"/>
      <c r="E122" s="1019"/>
      <c r="F122" s="1026"/>
      <c r="G122" s="1022"/>
      <c r="H122" s="710"/>
      <c r="I122" s="723"/>
      <c r="K122" s="1163"/>
      <c r="L122" s="1163"/>
    </row>
    <row r="123" spans="1:12" s="159" customFormat="1">
      <c r="A123" s="721"/>
      <c r="B123" s="1198" t="s">
        <v>198</v>
      </c>
      <c r="C123" s="1199"/>
      <c r="D123" s="1199"/>
      <c r="E123" s="1199"/>
      <c r="F123" s="1199"/>
      <c r="G123" s="1200"/>
      <c r="H123" s="710"/>
      <c r="I123" s="723"/>
      <c r="K123" s="1163"/>
      <c r="L123" s="1163"/>
    </row>
    <row r="124" spans="1:12" s="159" customFormat="1">
      <c r="A124" s="721"/>
      <c r="B124" s="798" t="s">
        <v>199</v>
      </c>
      <c r="C124" s="1023"/>
      <c r="D124" s="1023"/>
      <c r="E124" s="1023"/>
      <c r="F124" s="1024"/>
      <c r="G124" s="1025"/>
      <c r="H124" s="710"/>
      <c r="I124" s="723"/>
      <c r="K124" s="1163"/>
      <c r="L124" s="1163"/>
    </row>
    <row r="125" spans="1:12" s="159" customFormat="1">
      <c r="A125" s="721"/>
      <c r="B125" s="798" t="s">
        <v>460</v>
      </c>
      <c r="C125" s="1023"/>
      <c r="D125" s="1023"/>
      <c r="E125" s="1023"/>
      <c r="F125" s="1024"/>
      <c r="G125" s="1025"/>
      <c r="H125" s="710"/>
      <c r="I125" s="723"/>
      <c r="K125" s="1163"/>
      <c r="L125" s="1163"/>
    </row>
    <row r="126" spans="1:12" s="159" customFormat="1">
      <c r="A126" s="721"/>
      <c r="B126" s="798" t="s">
        <v>461</v>
      </c>
      <c r="C126" s="1023"/>
      <c r="D126" s="1023"/>
      <c r="E126" s="1023"/>
      <c r="F126" s="1024"/>
      <c r="G126" s="1025"/>
      <c r="H126" s="710"/>
      <c r="I126" s="723"/>
      <c r="K126" s="1163"/>
      <c r="L126" s="1163"/>
    </row>
    <row r="127" spans="1:12" s="263" customFormat="1" ht="24.75" customHeight="1">
      <c r="A127" s="721"/>
      <c r="B127" s="1193" t="s">
        <v>612</v>
      </c>
      <c r="C127" s="1194"/>
      <c r="D127" s="1194"/>
      <c r="E127" s="1194"/>
      <c r="F127" s="1194"/>
      <c r="G127" s="1195"/>
      <c r="H127" s="723"/>
      <c r="I127" s="724"/>
      <c r="K127" s="1163"/>
      <c r="L127" s="1163"/>
    </row>
    <row r="128" spans="1:12" s="159" customFormat="1" ht="18">
      <c r="A128" s="718" t="str">
        <f>A1</f>
        <v>Commonwealth Edison Company</v>
      </c>
      <c r="B128" s="719"/>
      <c r="C128" s="720"/>
      <c r="D128" s="720"/>
      <c r="E128" s="720"/>
      <c r="F128" s="720"/>
      <c r="G128" s="720"/>
      <c r="H128" s="720"/>
      <c r="I128" s="723"/>
      <c r="K128" s="1163"/>
      <c r="L128" s="1163"/>
    </row>
    <row r="129" spans="1:12" s="263" customFormat="1" ht="18.75">
      <c r="A129" s="1187" t="s">
        <v>295</v>
      </c>
      <c r="B129" s="1187"/>
      <c r="C129" s="1187"/>
      <c r="D129" s="1187"/>
      <c r="E129" s="1187"/>
      <c r="F129" s="1187"/>
      <c r="G129" s="1187"/>
      <c r="H129" s="1187"/>
      <c r="I129" s="716"/>
      <c r="K129" s="1163"/>
      <c r="L129" s="1163"/>
    </row>
    <row r="130" spans="1:12" s="159" customFormat="1">
      <c r="A130" s="565"/>
      <c r="B130" s="570"/>
      <c r="C130" s="570"/>
      <c r="D130" s="570"/>
      <c r="E130" s="570"/>
      <c r="F130" s="570"/>
      <c r="G130" s="570"/>
      <c r="H130" s="570"/>
      <c r="I130" s="723"/>
      <c r="K130" s="1163"/>
      <c r="L130" s="1163"/>
    </row>
    <row r="131" spans="1:12" s="159" customFormat="1">
      <c r="A131" s="1181" t="s">
        <v>393</v>
      </c>
      <c r="B131" s="1181"/>
      <c r="C131" s="1048" t="s">
        <v>494</v>
      </c>
      <c r="D131" s="1048" t="s">
        <v>377</v>
      </c>
      <c r="E131" s="1048" t="s">
        <v>394</v>
      </c>
      <c r="F131" s="1048" t="s">
        <v>392</v>
      </c>
      <c r="G131" s="1048" t="s">
        <v>169</v>
      </c>
      <c r="H131" s="1048" t="s">
        <v>395</v>
      </c>
      <c r="I131" s="563"/>
      <c r="K131" s="1163"/>
      <c r="L131" s="1163"/>
    </row>
    <row r="132" spans="1:12" s="263" customFormat="1">
      <c r="A132" s="1180"/>
      <c r="B132" s="1180"/>
      <c r="C132" s="563"/>
      <c r="D132" s="712" t="s">
        <v>32</v>
      </c>
      <c r="E132" s="712" t="s">
        <v>34</v>
      </c>
      <c r="F132" s="712"/>
      <c r="G132" s="712"/>
      <c r="H132" s="563"/>
      <c r="I132" s="564"/>
      <c r="K132" s="1163"/>
      <c r="L132" s="1163"/>
    </row>
    <row r="133" spans="1:12" s="263" customFormat="1">
      <c r="A133" s="1180"/>
      <c r="B133" s="1180"/>
      <c r="C133" s="712"/>
      <c r="D133" s="712" t="s">
        <v>33</v>
      </c>
      <c r="E133" s="712" t="s">
        <v>23</v>
      </c>
      <c r="F133" s="712" t="s">
        <v>29</v>
      </c>
      <c r="G133" s="712" t="s">
        <v>31</v>
      </c>
      <c r="H133" s="563"/>
      <c r="I133" s="564"/>
      <c r="K133" s="1163"/>
      <c r="L133" s="1163"/>
    </row>
    <row r="134" spans="1:12" s="159" customFormat="1" ht="15">
      <c r="A134" s="1182" t="s">
        <v>26</v>
      </c>
      <c r="B134" s="1182"/>
      <c r="C134" s="713" t="s">
        <v>493</v>
      </c>
      <c r="D134" s="713" t="s">
        <v>30</v>
      </c>
      <c r="E134" s="713" t="s">
        <v>30</v>
      </c>
      <c r="F134" s="713" t="s">
        <v>30</v>
      </c>
      <c r="G134" s="713" t="s">
        <v>30</v>
      </c>
      <c r="H134" s="714" t="s">
        <v>368</v>
      </c>
      <c r="I134" s="563"/>
      <c r="K134" s="1163"/>
      <c r="L134" s="1163"/>
    </row>
    <row r="135" spans="1:12" s="159" customFormat="1">
      <c r="A135" s="565"/>
      <c r="B135" s="570"/>
      <c r="C135" s="570"/>
      <c r="D135" s="570"/>
      <c r="E135" s="570"/>
      <c r="F135" s="570"/>
      <c r="G135" s="570"/>
      <c r="H135" s="570"/>
      <c r="I135" s="723"/>
      <c r="K135" s="1163"/>
      <c r="L135" s="1163"/>
    </row>
    <row r="136" spans="1:12" ht="15.75">
      <c r="A136" s="881" t="s">
        <v>824</v>
      </c>
      <c r="B136" s="889"/>
      <c r="C136" s="709"/>
      <c r="D136" s="709"/>
      <c r="E136" s="709"/>
      <c r="F136" s="709"/>
      <c r="G136" s="709"/>
      <c r="H136" s="710"/>
      <c r="I136" s="563"/>
    </row>
    <row r="137" spans="1:12">
      <c r="A137" s="1128" t="s">
        <v>778</v>
      </c>
      <c r="B137" s="1128"/>
      <c r="C137" s="1059">
        <v>0</v>
      </c>
      <c r="D137" s="1059">
        <f>C137</f>
        <v>0</v>
      </c>
      <c r="E137" s="1059"/>
      <c r="F137" s="1059"/>
      <c r="G137" s="1059"/>
      <c r="H137" s="1061" t="s">
        <v>780</v>
      </c>
      <c r="I137" s="563"/>
      <c r="K137" s="1166">
        <v>0</v>
      </c>
      <c r="L137" s="1166">
        <f t="shared" ref="L137:L164" si="7">C137-K137</f>
        <v>0</v>
      </c>
    </row>
    <row r="138" spans="1:12" ht="63.75">
      <c r="A138" s="1128" t="s">
        <v>779</v>
      </c>
      <c r="B138" s="1128"/>
      <c r="C138" s="1059">
        <v>3720656</v>
      </c>
      <c r="D138" s="1059"/>
      <c r="E138" s="1059"/>
      <c r="F138" s="1059"/>
      <c r="G138" s="1059">
        <f>C138</f>
        <v>3720656</v>
      </c>
      <c r="H138" s="1061" t="s">
        <v>782</v>
      </c>
      <c r="I138" s="563"/>
      <c r="K138" s="1166">
        <v>3720656</v>
      </c>
      <c r="L138" s="1166">
        <f t="shared" si="7"/>
        <v>0</v>
      </c>
    </row>
    <row r="139" spans="1:12">
      <c r="A139" s="1128" t="s">
        <v>783</v>
      </c>
      <c r="B139" s="1128"/>
      <c r="C139" s="1059">
        <v>-5522413</v>
      </c>
      <c r="D139" s="1059">
        <f>C139</f>
        <v>-5522413</v>
      </c>
      <c r="E139" s="1059"/>
      <c r="F139" s="1059"/>
      <c r="G139" s="1059"/>
      <c r="H139" s="1061" t="s">
        <v>795</v>
      </c>
      <c r="I139" s="563"/>
      <c r="K139" s="1166">
        <v>-5522413</v>
      </c>
      <c r="L139" s="1166">
        <f t="shared" si="7"/>
        <v>0</v>
      </c>
    </row>
    <row r="140" spans="1:12">
      <c r="A140" s="1128" t="s">
        <v>784</v>
      </c>
      <c r="B140" s="1128"/>
      <c r="C140" s="1059">
        <v>-4789502</v>
      </c>
      <c r="D140" s="1059"/>
      <c r="E140" s="1059"/>
      <c r="F140" s="1059">
        <f>C140</f>
        <v>-4789502</v>
      </c>
      <c r="G140" s="1059"/>
      <c r="H140" s="1061" t="s">
        <v>796</v>
      </c>
      <c r="I140" s="563"/>
      <c r="K140" s="1166">
        <v>-4789502</v>
      </c>
      <c r="L140" s="1166">
        <f t="shared" si="7"/>
        <v>0</v>
      </c>
    </row>
    <row r="141" spans="1:12" ht="38.25">
      <c r="A141" s="1128" t="s">
        <v>785</v>
      </c>
      <c r="B141" s="1128"/>
      <c r="C141" s="1059">
        <v>-2767164</v>
      </c>
      <c r="D141" s="1059">
        <f>C141</f>
        <v>-2767164</v>
      </c>
      <c r="E141" s="1059"/>
      <c r="F141" s="1059"/>
      <c r="G141" s="1059"/>
      <c r="H141" s="1061" t="s">
        <v>797</v>
      </c>
      <c r="I141" s="563"/>
      <c r="K141" s="1166">
        <v>-2767164</v>
      </c>
      <c r="L141" s="1166">
        <f t="shared" si="7"/>
        <v>0</v>
      </c>
    </row>
    <row r="142" spans="1:12" ht="25.5">
      <c r="A142" s="1128" t="s">
        <v>786</v>
      </c>
      <c r="B142" s="1128"/>
      <c r="C142" s="1059">
        <v>-12204845</v>
      </c>
      <c r="D142" s="1059">
        <f>C142</f>
        <v>-12204845</v>
      </c>
      <c r="E142" s="1059"/>
      <c r="F142" s="1059"/>
      <c r="G142" s="1059"/>
      <c r="H142" s="1061" t="s">
        <v>798</v>
      </c>
      <c r="I142" s="563"/>
      <c r="K142" s="1166">
        <v>-12204845</v>
      </c>
      <c r="L142" s="1166">
        <f t="shared" si="7"/>
        <v>0</v>
      </c>
    </row>
    <row r="143" spans="1:12" ht="38.25">
      <c r="A143" s="1128" t="s">
        <v>734</v>
      </c>
      <c r="B143" s="1128"/>
      <c r="C143" s="1059">
        <v>-5893783</v>
      </c>
      <c r="D143" s="1059">
        <f>C143</f>
        <v>-5893783</v>
      </c>
      <c r="E143" s="1059"/>
      <c r="F143" s="1059"/>
      <c r="G143" s="1059"/>
      <c r="H143" s="1061" t="s">
        <v>738</v>
      </c>
      <c r="I143" s="563"/>
      <c r="K143" s="1166">
        <v>-5893783</v>
      </c>
      <c r="L143" s="1166">
        <f t="shared" si="7"/>
        <v>0</v>
      </c>
    </row>
    <row r="144" spans="1:12" ht="25.5">
      <c r="A144" s="1128" t="s">
        <v>787</v>
      </c>
      <c r="B144" s="1128"/>
      <c r="C144" s="1059">
        <v>9801</v>
      </c>
      <c r="D144" s="1059"/>
      <c r="E144" s="1059"/>
      <c r="F144" s="1059">
        <f>C144</f>
        <v>9801</v>
      </c>
      <c r="G144" s="1059"/>
      <c r="H144" s="1061" t="s">
        <v>799</v>
      </c>
      <c r="I144" s="563"/>
      <c r="K144" s="1166">
        <v>9801</v>
      </c>
      <c r="L144" s="1166">
        <f t="shared" si="7"/>
        <v>0</v>
      </c>
    </row>
    <row r="145" spans="1:12" ht="38.25">
      <c r="A145" s="1128" t="s">
        <v>788</v>
      </c>
      <c r="B145" s="1128"/>
      <c r="C145" s="1059">
        <v>-170179061</v>
      </c>
      <c r="D145" s="1059"/>
      <c r="E145" s="1059"/>
      <c r="F145" s="1059"/>
      <c r="G145" s="1059">
        <f>C145</f>
        <v>-170179061</v>
      </c>
      <c r="H145" s="1061" t="s">
        <v>800</v>
      </c>
      <c r="I145" s="563"/>
      <c r="K145" s="1166">
        <v>-170179061</v>
      </c>
      <c r="L145" s="1166">
        <f t="shared" si="7"/>
        <v>0</v>
      </c>
    </row>
    <row r="146" spans="1:12" ht="25.5">
      <c r="A146" s="1128" t="s">
        <v>276</v>
      </c>
      <c r="B146" s="1128"/>
      <c r="C146" s="1059">
        <v>-377415651</v>
      </c>
      <c r="D146" s="1059">
        <f>C146</f>
        <v>-377415651</v>
      </c>
      <c r="E146" s="1059"/>
      <c r="F146" s="1059"/>
      <c r="G146" s="1059"/>
      <c r="H146" s="1061" t="s">
        <v>801</v>
      </c>
      <c r="I146" s="563"/>
      <c r="K146" s="1166">
        <v>-377415651</v>
      </c>
      <c r="L146" s="1166">
        <f t="shared" si="7"/>
        <v>0</v>
      </c>
    </row>
    <row r="147" spans="1:12" ht="38.25">
      <c r="A147" s="1128" t="s">
        <v>789</v>
      </c>
      <c r="B147" s="1128"/>
      <c r="C147" s="1059">
        <v>10506</v>
      </c>
      <c r="D147" s="1059">
        <f>C147</f>
        <v>10506</v>
      </c>
      <c r="E147" s="1059"/>
      <c r="F147" s="1059"/>
      <c r="G147" s="1059"/>
      <c r="H147" s="1061" t="s">
        <v>802</v>
      </c>
      <c r="I147" s="563"/>
      <c r="K147" s="1166">
        <v>10506</v>
      </c>
      <c r="L147" s="1166">
        <f t="shared" si="7"/>
        <v>0</v>
      </c>
    </row>
    <row r="148" spans="1:12" ht="25.5">
      <c r="A148" s="1128" t="s">
        <v>790</v>
      </c>
      <c r="B148" s="1128"/>
      <c r="C148" s="1059">
        <v>-3325055</v>
      </c>
      <c r="D148" s="1059"/>
      <c r="E148" s="1059"/>
      <c r="F148" s="1059">
        <f>C148</f>
        <v>-3325055</v>
      </c>
      <c r="G148" s="1059"/>
      <c r="H148" s="1061" t="s">
        <v>803</v>
      </c>
      <c r="I148" s="563"/>
      <c r="K148" s="1166">
        <v>-3325055</v>
      </c>
      <c r="L148" s="1166">
        <f t="shared" si="7"/>
        <v>0</v>
      </c>
    </row>
    <row r="149" spans="1:12" s="680" customFormat="1" ht="25.5">
      <c r="A149" s="1128" t="s">
        <v>791</v>
      </c>
      <c r="B149" s="1128"/>
      <c r="C149" s="1059">
        <v>-110350931</v>
      </c>
      <c r="D149" s="1059">
        <f>C149</f>
        <v>-110350931</v>
      </c>
      <c r="E149" s="1059"/>
      <c r="F149" s="1059"/>
      <c r="G149" s="1059"/>
      <c r="H149" s="1061" t="s">
        <v>804</v>
      </c>
      <c r="I149" s="730"/>
      <c r="K149" s="1166">
        <v>-107254706</v>
      </c>
      <c r="L149" s="1166">
        <f t="shared" si="7"/>
        <v>-3096225</v>
      </c>
    </row>
    <row r="150" spans="1:12" s="680" customFormat="1" ht="25.5">
      <c r="A150" s="1128" t="s">
        <v>792</v>
      </c>
      <c r="B150" s="1128"/>
      <c r="C150" s="1059">
        <v>122469</v>
      </c>
      <c r="D150" s="1059">
        <f>C150</f>
        <v>122469</v>
      </c>
      <c r="E150" s="1059"/>
      <c r="F150" s="1059"/>
      <c r="G150" s="1059"/>
      <c r="H150" s="1061" t="s">
        <v>805</v>
      </c>
      <c r="I150" s="730"/>
      <c r="K150" s="1166">
        <v>122469</v>
      </c>
      <c r="L150" s="1166">
        <f t="shared" si="7"/>
        <v>0</v>
      </c>
    </row>
    <row r="151" spans="1:12" s="680" customFormat="1" ht="25.5">
      <c r="A151" s="1128" t="s">
        <v>574</v>
      </c>
      <c r="B151" s="1128"/>
      <c r="C151" s="1059">
        <v>-113017</v>
      </c>
      <c r="D151" s="1059">
        <f t="shared" ref="D151:D163" si="8">C151</f>
        <v>-113017</v>
      </c>
      <c r="E151" s="1059"/>
      <c r="F151" s="1059"/>
      <c r="G151" s="1059"/>
      <c r="H151" s="1061" t="s">
        <v>806</v>
      </c>
      <c r="I151" s="730"/>
      <c r="K151" s="1166">
        <v>-113017</v>
      </c>
      <c r="L151" s="1166">
        <f t="shared" si="7"/>
        <v>0</v>
      </c>
    </row>
    <row r="152" spans="1:12" s="680" customFormat="1">
      <c r="A152" s="1128" t="s">
        <v>793</v>
      </c>
      <c r="B152" s="1128"/>
      <c r="C152" s="1059">
        <v>-22392608</v>
      </c>
      <c r="D152" s="1059">
        <f t="shared" si="8"/>
        <v>-22392608</v>
      </c>
      <c r="E152" s="1059"/>
      <c r="F152" s="1059"/>
      <c r="G152" s="1059"/>
      <c r="H152" s="1061" t="s">
        <v>807</v>
      </c>
      <c r="I152" s="730"/>
      <c r="K152" s="1166">
        <v>-22392608</v>
      </c>
      <c r="L152" s="1166">
        <f t="shared" si="7"/>
        <v>0</v>
      </c>
    </row>
    <row r="153" spans="1:12" s="680" customFormat="1" ht="25.5">
      <c r="A153" s="1128" t="s">
        <v>794</v>
      </c>
      <c r="B153" s="1128"/>
      <c r="C153" s="1059">
        <v>-3068114</v>
      </c>
      <c r="D153" s="1059">
        <f t="shared" si="8"/>
        <v>-3068114</v>
      </c>
      <c r="E153" s="1059"/>
      <c r="F153" s="1059"/>
      <c r="G153" s="1059"/>
      <c r="H153" s="1061" t="s">
        <v>808</v>
      </c>
      <c r="I153" s="730"/>
      <c r="K153" s="1166">
        <v>-3068114</v>
      </c>
      <c r="L153" s="1166">
        <f t="shared" si="7"/>
        <v>0</v>
      </c>
    </row>
    <row r="154" spans="1:12">
      <c r="A154" s="1128" t="s">
        <v>668</v>
      </c>
      <c r="B154" s="1128"/>
      <c r="C154" s="1059">
        <v>-736536</v>
      </c>
      <c r="D154" s="1059">
        <f t="shared" si="8"/>
        <v>-736536</v>
      </c>
      <c r="E154" s="1059"/>
      <c r="F154" s="1059"/>
      <c r="G154" s="1059"/>
      <c r="H154" s="1061" t="s">
        <v>809</v>
      </c>
      <c r="I154" s="563"/>
      <c r="K154" s="1166">
        <v>-736536</v>
      </c>
      <c r="L154" s="1166">
        <f t="shared" si="7"/>
        <v>0</v>
      </c>
    </row>
    <row r="155" spans="1:12">
      <c r="A155" s="1128" t="s">
        <v>669</v>
      </c>
      <c r="B155" s="1128"/>
      <c r="C155" s="1059">
        <v>-9000</v>
      </c>
      <c r="D155" s="1059">
        <f t="shared" si="8"/>
        <v>-9000</v>
      </c>
      <c r="E155" s="1059"/>
      <c r="F155" s="1059"/>
      <c r="G155" s="1059"/>
      <c r="H155" s="1061" t="s">
        <v>809</v>
      </c>
      <c r="I155" s="563"/>
      <c r="K155" s="1166">
        <v>-9000</v>
      </c>
      <c r="L155" s="1166">
        <f t="shared" si="7"/>
        <v>0</v>
      </c>
    </row>
    <row r="156" spans="1:12" ht="25.5">
      <c r="A156" s="1128" t="s">
        <v>675</v>
      </c>
      <c r="B156" s="1128"/>
      <c r="C156" s="1059">
        <v>-53651253</v>
      </c>
      <c r="D156" s="1059">
        <f t="shared" si="8"/>
        <v>-53651253</v>
      </c>
      <c r="E156" s="1059"/>
      <c r="F156" s="1059"/>
      <c r="G156" s="1059"/>
      <c r="H156" s="1061" t="s">
        <v>810</v>
      </c>
      <c r="I156" s="563"/>
      <c r="K156" s="1166">
        <v>-53651253</v>
      </c>
      <c r="L156" s="1166">
        <f t="shared" si="7"/>
        <v>0</v>
      </c>
    </row>
    <row r="157" spans="1:12">
      <c r="A157" s="1128" t="s">
        <v>676</v>
      </c>
      <c r="B157" s="1128"/>
      <c r="C157" s="1059">
        <v>-5209544</v>
      </c>
      <c r="D157" s="1059">
        <f t="shared" si="8"/>
        <v>-5209544</v>
      </c>
      <c r="E157" s="1059"/>
      <c r="F157" s="1059"/>
      <c r="G157" s="1059"/>
      <c r="H157" s="1061" t="s">
        <v>811</v>
      </c>
      <c r="I157" s="563"/>
      <c r="K157" s="1166">
        <v>-5209544</v>
      </c>
      <c r="L157" s="1166">
        <f t="shared" si="7"/>
        <v>0</v>
      </c>
    </row>
    <row r="158" spans="1:12">
      <c r="A158" s="1128" t="s">
        <v>677</v>
      </c>
      <c r="B158" s="1128"/>
      <c r="C158" s="1059">
        <v>-7044848</v>
      </c>
      <c r="D158" s="1059">
        <f t="shared" si="8"/>
        <v>-7044848</v>
      </c>
      <c r="E158" s="1059"/>
      <c r="F158" s="1059"/>
      <c r="G158" s="1059"/>
      <c r="H158" s="1061" t="s">
        <v>811</v>
      </c>
      <c r="I158" s="563"/>
      <c r="K158" s="1166">
        <v>-7044848</v>
      </c>
      <c r="L158" s="1166">
        <f t="shared" si="7"/>
        <v>0</v>
      </c>
    </row>
    <row r="159" spans="1:12" s="1095" customFormat="1">
      <c r="A159" s="1128" t="s">
        <v>846</v>
      </c>
      <c r="B159" s="1128"/>
      <c r="C159" s="1145">
        <v>-9387654</v>
      </c>
      <c r="D159" s="1145">
        <f t="shared" si="8"/>
        <v>-9387654</v>
      </c>
      <c r="E159" s="1145"/>
      <c r="F159" s="1145"/>
      <c r="G159" s="1145"/>
      <c r="H159" s="1162" t="s">
        <v>844</v>
      </c>
      <c r="I159" s="1146"/>
      <c r="K159" s="1166">
        <v>-9387654</v>
      </c>
      <c r="L159" s="1166">
        <f t="shared" si="7"/>
        <v>0</v>
      </c>
    </row>
    <row r="160" spans="1:12" ht="25.5">
      <c r="A160" s="1128" t="s">
        <v>812</v>
      </c>
      <c r="B160" s="1128"/>
      <c r="C160" s="1059">
        <v>-7248634</v>
      </c>
      <c r="D160" s="1059">
        <f t="shared" si="8"/>
        <v>-7248634</v>
      </c>
      <c r="E160" s="1059"/>
      <c r="F160" s="1059"/>
      <c r="G160" s="1059"/>
      <c r="H160" s="1061" t="s">
        <v>814</v>
      </c>
      <c r="I160" s="563"/>
      <c r="K160" s="1166">
        <v>-7248634</v>
      </c>
      <c r="L160" s="1166">
        <f t="shared" si="7"/>
        <v>0</v>
      </c>
    </row>
    <row r="161" spans="1:12">
      <c r="A161" s="1128" t="s">
        <v>813</v>
      </c>
      <c r="B161" s="1128"/>
      <c r="C161" s="1059">
        <v>-64742855</v>
      </c>
      <c r="D161" s="1059">
        <f t="shared" si="8"/>
        <v>-64742855</v>
      </c>
      <c r="E161" s="1059"/>
      <c r="F161" s="1059"/>
      <c r="G161" s="1059"/>
      <c r="H161" s="1061" t="s">
        <v>815</v>
      </c>
      <c r="I161" s="563"/>
      <c r="K161" s="1166">
        <v>-64742855</v>
      </c>
      <c r="L161" s="1166">
        <f t="shared" si="7"/>
        <v>0</v>
      </c>
    </row>
    <row r="162" spans="1:12" ht="38.25">
      <c r="A162" s="1128" t="s">
        <v>830</v>
      </c>
      <c r="B162" s="1128"/>
      <c r="C162" s="1059">
        <v>3552606</v>
      </c>
      <c r="D162" s="1059">
        <f t="shared" si="8"/>
        <v>3552606</v>
      </c>
      <c r="E162" s="1059"/>
      <c r="F162" s="1059"/>
      <c r="G162" s="1059"/>
      <c r="H162" s="1061" t="s">
        <v>781</v>
      </c>
      <c r="I162" s="563"/>
      <c r="K162" s="1166">
        <v>3552606</v>
      </c>
      <c r="L162" s="1166">
        <f t="shared" si="7"/>
        <v>0</v>
      </c>
    </row>
    <row r="163" spans="1:12" ht="25.5">
      <c r="A163" s="1128" t="s">
        <v>816</v>
      </c>
      <c r="B163" s="1128"/>
      <c r="C163" s="1059">
        <v>0</v>
      </c>
      <c r="D163" s="1059">
        <f t="shared" si="8"/>
        <v>0</v>
      </c>
      <c r="E163" s="1059"/>
      <c r="F163" s="1059"/>
      <c r="G163" s="1059"/>
      <c r="H163" s="1061" t="s">
        <v>817</v>
      </c>
      <c r="I163" s="563"/>
      <c r="K163" s="1166">
        <v>0</v>
      </c>
      <c r="L163" s="1166">
        <f t="shared" si="7"/>
        <v>0</v>
      </c>
    </row>
    <row r="164" spans="1:12">
      <c r="A164" s="1128" t="s">
        <v>818</v>
      </c>
      <c r="B164" s="1128"/>
      <c r="C164" s="1059">
        <v>-262781</v>
      </c>
      <c r="D164" s="1059">
        <f>C164</f>
        <v>-262781</v>
      </c>
      <c r="E164" s="1059"/>
      <c r="F164" s="1059"/>
      <c r="G164" s="1059"/>
      <c r="H164" s="1061" t="s">
        <v>834</v>
      </c>
      <c r="I164" s="563"/>
      <c r="K164" s="1166">
        <v>-262781</v>
      </c>
      <c r="L164" s="1166">
        <f t="shared" si="7"/>
        <v>0</v>
      </c>
    </row>
    <row r="165" spans="1:12">
      <c r="A165" s="892"/>
      <c r="B165" s="893" t="s">
        <v>90</v>
      </c>
      <c r="C165" s="789">
        <f>SUBTOTAL(9,C137:C164)</f>
        <v>-858899211</v>
      </c>
      <c r="D165" s="709"/>
      <c r="E165" s="709"/>
      <c r="F165" s="709"/>
      <c r="G165" s="709"/>
      <c r="H165" s="710"/>
      <c r="I165" s="563"/>
    </row>
    <row r="166" spans="1:12">
      <c r="A166" s="721"/>
      <c r="B166" s="723"/>
      <c r="C166" s="723"/>
      <c r="D166" s="723"/>
      <c r="E166" s="723"/>
      <c r="F166" s="723"/>
      <c r="G166" s="723"/>
      <c r="H166" s="710"/>
      <c r="I166" s="723"/>
    </row>
    <row r="167" spans="1:12">
      <c r="A167" s="894" t="s">
        <v>421</v>
      </c>
      <c r="B167" s="794"/>
      <c r="C167" s="789">
        <f>C165</f>
        <v>-858899211</v>
      </c>
      <c r="D167" s="789">
        <f>SUM(D137:D166)</f>
        <v>-684336050</v>
      </c>
      <c r="E167" s="789">
        <f>SUM(E137:E166)</f>
        <v>0</v>
      </c>
      <c r="F167" s="789">
        <f>SUM(F137:F166)</f>
        <v>-8104756</v>
      </c>
      <c r="G167" s="789">
        <f>SUM(G137:G166)</f>
        <v>-166458405</v>
      </c>
      <c r="H167" s="710"/>
      <c r="I167" s="723"/>
      <c r="K167" s="1167"/>
    </row>
    <row r="168" spans="1:12">
      <c r="A168" s="882" t="s">
        <v>344</v>
      </c>
      <c r="B168" s="883"/>
      <c r="C168" s="890"/>
      <c r="D168" s="890"/>
      <c r="E168" s="890"/>
      <c r="F168" s="890">
        <f>C168</f>
        <v>0</v>
      </c>
      <c r="G168" s="890"/>
      <c r="H168" s="879"/>
      <c r="I168" s="723"/>
      <c r="K168" s="1168"/>
    </row>
    <row r="169" spans="1:12">
      <c r="A169" s="886" t="s">
        <v>345</v>
      </c>
      <c r="B169" s="887"/>
      <c r="C169" s="891">
        <f>SUM(D169:G169)</f>
        <v>0</v>
      </c>
      <c r="D169" s="891"/>
      <c r="E169" s="891"/>
      <c r="F169" s="891"/>
      <c r="G169" s="891"/>
      <c r="H169" s="879"/>
      <c r="I169" s="723"/>
    </row>
    <row r="170" spans="1:12" s="159" customFormat="1">
      <c r="A170" s="1183" t="s">
        <v>493</v>
      </c>
      <c r="B170" s="1184"/>
      <c r="C170" s="731">
        <f>+C167-C168-C169</f>
        <v>-858899211</v>
      </c>
      <c r="D170" s="731">
        <f>+D167-D168-D169</f>
        <v>-684336050</v>
      </c>
      <c r="E170" s="731">
        <f>+E167-E168-E169</f>
        <v>0</v>
      </c>
      <c r="F170" s="731">
        <f>+F167-F168-F169</f>
        <v>-8104756</v>
      </c>
      <c r="G170" s="731">
        <f>+G167-G168-G169</f>
        <v>-166458405</v>
      </c>
      <c r="H170" s="682"/>
      <c r="I170" s="723"/>
      <c r="K170" s="1163"/>
      <c r="L170" s="1163"/>
    </row>
    <row r="171" spans="1:12" s="159" customFormat="1">
      <c r="A171" s="721"/>
      <c r="B171" s="726"/>
      <c r="C171" s="727"/>
      <c r="D171" s="709"/>
      <c r="E171" s="709"/>
      <c r="F171" s="709"/>
      <c r="G171" s="709"/>
      <c r="H171" s="710"/>
      <c r="I171" s="723"/>
      <c r="K171" s="1163"/>
      <c r="L171" s="1163"/>
    </row>
    <row r="172" spans="1:12" s="159" customFormat="1">
      <c r="A172" s="721"/>
      <c r="B172" s="726"/>
      <c r="C172" s="727"/>
      <c r="D172" s="709"/>
      <c r="E172" s="709"/>
      <c r="F172" s="709"/>
      <c r="G172" s="709"/>
      <c r="H172" s="710"/>
      <c r="I172" s="723"/>
      <c r="K172" s="1163"/>
      <c r="L172" s="1163"/>
    </row>
    <row r="173" spans="1:12" s="159" customFormat="1">
      <c r="A173" s="721"/>
      <c r="B173" s="795" t="s">
        <v>36</v>
      </c>
      <c r="C173" s="796"/>
      <c r="D173" s="796"/>
      <c r="E173" s="796"/>
      <c r="F173" s="802"/>
      <c r="G173" s="797"/>
      <c r="H173" s="722"/>
      <c r="I173" s="723"/>
      <c r="K173" s="1163"/>
      <c r="L173" s="1163"/>
    </row>
    <row r="174" spans="1:12" s="159" customFormat="1">
      <c r="A174" s="721"/>
      <c r="B174" s="1190" t="s">
        <v>198</v>
      </c>
      <c r="C174" s="1191"/>
      <c r="D174" s="1191"/>
      <c r="E174" s="1191"/>
      <c r="F174" s="1191"/>
      <c r="G174" s="1192"/>
      <c r="H174" s="710"/>
      <c r="I174" s="723"/>
      <c r="K174" s="1163"/>
      <c r="L174" s="1163"/>
    </row>
    <row r="175" spans="1:12" s="159" customFormat="1">
      <c r="A175" s="721"/>
      <c r="B175" s="798" t="s">
        <v>199</v>
      </c>
      <c r="C175" s="799"/>
      <c r="D175" s="799"/>
      <c r="E175" s="799"/>
      <c r="F175" s="800"/>
      <c r="G175" s="801"/>
      <c r="H175" s="722"/>
      <c r="I175" s="723"/>
      <c r="K175" s="1163"/>
      <c r="L175" s="1163"/>
    </row>
    <row r="176" spans="1:12" s="159" customFormat="1">
      <c r="A176" s="721"/>
      <c r="B176" s="798" t="s">
        <v>460</v>
      </c>
      <c r="C176" s="799"/>
      <c r="D176" s="799"/>
      <c r="E176" s="799"/>
      <c r="F176" s="800"/>
      <c r="G176" s="801"/>
      <c r="H176" s="710"/>
      <c r="I176" s="723"/>
      <c r="K176" s="1163"/>
      <c r="L176" s="1163"/>
    </row>
    <row r="177" spans="1:12" s="263" customFormat="1">
      <c r="A177" s="721"/>
      <c r="B177" s="798" t="s">
        <v>461</v>
      </c>
      <c r="C177" s="799"/>
      <c r="D177" s="799"/>
      <c r="E177" s="799"/>
      <c r="F177" s="799"/>
      <c r="G177" s="803"/>
      <c r="H177" s="724"/>
      <c r="I177" s="716"/>
      <c r="K177" s="1163"/>
      <c r="L177" s="1163"/>
    </row>
    <row r="178" spans="1:12" s="159" customFormat="1" ht="25.5" customHeight="1">
      <c r="A178" s="717"/>
      <c r="B178" s="1193" t="str">
        <f>+B127</f>
        <v>5. Deferred income taxes arise when items are included in taxable income in different periods than they are included in rates, therefore if the item giving rise to the ADIT is not included in the formula, the associated ADIT amount shall be excluded.</v>
      </c>
      <c r="C178" s="1194"/>
      <c r="D178" s="1194"/>
      <c r="E178" s="1194"/>
      <c r="F178" s="1194"/>
      <c r="G178" s="1195"/>
      <c r="H178" s="710"/>
      <c r="I178" s="723"/>
      <c r="K178" s="1163"/>
      <c r="L178" s="1163"/>
    </row>
    <row r="179" spans="1:12" s="159" customFormat="1">
      <c r="A179" s="919"/>
      <c r="B179" s="921"/>
      <c r="C179" s="921"/>
      <c r="D179" s="922"/>
      <c r="E179" s="922"/>
      <c r="F179" s="921"/>
      <c r="G179" s="921"/>
      <c r="H179" s="921"/>
      <c r="I179" s="920"/>
      <c r="K179" s="1163"/>
      <c r="L179" s="1163"/>
    </row>
    <row r="180" spans="1:12" s="159" customFormat="1">
      <c r="A180" s="272"/>
      <c r="B180" s="272"/>
      <c r="C180" s="272"/>
      <c r="D180" s="552"/>
      <c r="E180" s="552"/>
      <c r="F180" s="272"/>
      <c r="G180" s="272"/>
      <c r="H180" s="272"/>
      <c r="I180" s="272"/>
      <c r="K180" s="1163"/>
      <c r="L180" s="1163"/>
    </row>
  </sheetData>
  <mergeCells count="30">
    <mergeCell ref="A1:H1"/>
    <mergeCell ref="B83:G83"/>
    <mergeCell ref="B79:G79"/>
    <mergeCell ref="B127:G127"/>
    <mergeCell ref="B123:G123"/>
    <mergeCell ref="A84:H84"/>
    <mergeCell ref="A92:C92"/>
    <mergeCell ref="A95:B95"/>
    <mergeCell ref="A2:H2"/>
    <mergeCell ref="A6:B6"/>
    <mergeCell ref="A87:B87"/>
    <mergeCell ref="A88:B88"/>
    <mergeCell ref="A32:B32"/>
    <mergeCell ref="A85:H85"/>
    <mergeCell ref="B174:G174"/>
    <mergeCell ref="B178:G178"/>
    <mergeCell ref="A170:B170"/>
    <mergeCell ref="A133:B133"/>
    <mergeCell ref="A134:B134"/>
    <mergeCell ref="A132:B132"/>
    <mergeCell ref="A131:B131"/>
    <mergeCell ref="A30:B30"/>
    <mergeCell ref="A28:B28"/>
    <mergeCell ref="A29:B29"/>
    <mergeCell ref="A119:B119"/>
    <mergeCell ref="A75:B75"/>
    <mergeCell ref="A89:B89"/>
    <mergeCell ref="A90:B90"/>
    <mergeCell ref="A129:H129"/>
    <mergeCell ref="A64:B64"/>
  </mergeCells>
  <printOptions horizontalCentered="1"/>
  <pageMargins left="0.25" right="0.25" top="0.55000000000000004" bottom="0.4" header="0.25" footer="0.25"/>
  <pageSetup scale="10" fitToHeight="0" orientation="landscape"/>
  <headerFooter>
    <oddHeader>&amp;R&amp;14ATTACHMENT H-13A
Page &amp;P of &amp;N</oddHeader>
  </headerFooter>
  <rowBreaks count="4" manualBreakCount="4">
    <brk id="49" max="8" man="1"/>
    <brk id="77" max="8" man="1"/>
    <brk id="121" max="8" man="1"/>
    <brk id="1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85" zoomScaleNormal="85" workbookViewId="0">
      <selection activeCell="A2" sqref="A2"/>
    </sheetView>
  </sheetViews>
  <sheetFormatPr defaultColWidth="9.140625" defaultRowHeight="12.75"/>
  <cols>
    <col min="1" max="2" width="4.7109375" style="303" customWidth="1"/>
    <col min="3" max="3" width="59.85546875" style="303" customWidth="1"/>
    <col min="4" max="4" width="3.140625" style="303" customWidth="1"/>
    <col min="5" max="5" width="15.140625" style="683" customWidth="1"/>
    <col min="6" max="6" width="15.28515625" style="303" customWidth="1"/>
    <col min="7" max="7" width="15.42578125" style="303" customWidth="1"/>
    <col min="8" max="8" width="9.140625" style="303" customWidth="1"/>
    <col min="9" max="16384" width="9.140625" style="303"/>
  </cols>
  <sheetData>
    <row r="1" spans="1:8" s="691" customFormat="1" ht="15.75">
      <c r="A1" s="1205" t="str">
        <f>+'Appendix A'!A3</f>
        <v>Commonwealth Edison Company</v>
      </c>
      <c r="B1" s="1205"/>
      <c r="C1" s="1205"/>
      <c r="D1" s="1205"/>
      <c r="E1" s="1205"/>
      <c r="F1" s="1205"/>
      <c r="G1" s="1205"/>
    </row>
    <row r="2" spans="1:8" s="691" customFormat="1" ht="15.75">
      <c r="A2" s="1"/>
      <c r="B2" s="39"/>
      <c r="C2" s="174"/>
      <c r="D2" s="460"/>
      <c r="E2" s="950"/>
      <c r="F2" s="460"/>
      <c r="G2" s="951"/>
    </row>
    <row r="3" spans="1:8" s="691" customFormat="1" ht="15.75">
      <c r="A3" s="1205" t="s">
        <v>296</v>
      </c>
      <c r="B3" s="1206"/>
      <c r="C3" s="1206"/>
      <c r="D3" s="1206"/>
      <c r="E3" s="1206"/>
      <c r="F3" s="1207"/>
      <c r="G3" s="1207"/>
    </row>
    <row r="6" spans="1:8" s="691" customFormat="1" ht="15">
      <c r="D6" s="695"/>
      <c r="E6" s="695" t="s">
        <v>40</v>
      </c>
      <c r="F6" s="695"/>
      <c r="G6" s="695" t="s">
        <v>48</v>
      </c>
    </row>
    <row r="7" spans="1:8" s="691" customFormat="1" ht="15">
      <c r="A7" s="694" t="s">
        <v>399</v>
      </c>
      <c r="B7" s="694"/>
      <c r="D7" s="695"/>
      <c r="E7" s="695" t="s">
        <v>41</v>
      </c>
      <c r="F7" s="695" t="s">
        <v>519</v>
      </c>
      <c r="G7" s="695" t="s">
        <v>49</v>
      </c>
    </row>
    <row r="8" spans="1:8" s="246" customFormat="1">
      <c r="A8" s="315"/>
      <c r="B8" s="315"/>
      <c r="D8" s="254"/>
      <c r="E8" s="254"/>
      <c r="F8" s="254"/>
      <c r="G8" s="254"/>
    </row>
    <row r="9" spans="1:8" s="691" customFormat="1" ht="15">
      <c r="A9" s="693"/>
      <c r="B9" s="694" t="s">
        <v>39</v>
      </c>
      <c r="D9" s="695"/>
      <c r="E9" s="696"/>
      <c r="F9" s="697" t="s">
        <v>486</v>
      </c>
      <c r="G9" s="695"/>
    </row>
    <row r="10" spans="1:8">
      <c r="A10" s="478">
        <v>1</v>
      </c>
      <c r="C10" s="263" t="s">
        <v>549</v>
      </c>
      <c r="D10" s="952"/>
      <c r="E10" s="1104">
        <v>26080029</v>
      </c>
      <c r="F10" s="953"/>
      <c r="G10" s="263"/>
      <c r="H10" s="1115"/>
    </row>
    <row r="11" spans="1:8">
      <c r="A11" s="478">
        <v>2</v>
      </c>
      <c r="B11" s="683"/>
      <c r="C11" s="263" t="s">
        <v>632</v>
      </c>
      <c r="D11" s="952"/>
      <c r="E11" s="1104">
        <v>144192</v>
      </c>
      <c r="F11" s="953"/>
      <c r="G11" s="263"/>
      <c r="H11" s="1115"/>
    </row>
    <row r="12" spans="1:8">
      <c r="A12" s="478">
        <v>3</v>
      </c>
      <c r="C12" s="263" t="s">
        <v>630</v>
      </c>
      <c r="D12" s="263"/>
      <c r="E12" s="1104">
        <v>21078</v>
      </c>
      <c r="F12" s="953"/>
      <c r="G12" s="263"/>
      <c r="H12" s="1115"/>
    </row>
    <row r="13" spans="1:8">
      <c r="A13" s="478">
        <v>4</v>
      </c>
      <c r="C13" s="263" t="s">
        <v>638</v>
      </c>
      <c r="D13" s="263"/>
      <c r="E13" s="1104">
        <v>2367341</v>
      </c>
      <c r="F13" s="953"/>
      <c r="G13" s="263"/>
      <c r="H13" s="1115"/>
    </row>
    <row r="14" spans="1:8">
      <c r="A14" s="478">
        <v>5</v>
      </c>
      <c r="C14" s="263" t="s">
        <v>635</v>
      </c>
      <c r="D14" s="263"/>
      <c r="E14" s="1104">
        <v>304730</v>
      </c>
      <c r="F14" s="953"/>
      <c r="H14" s="1115"/>
    </row>
    <row r="15" spans="1:8">
      <c r="A15" s="478">
        <v>6</v>
      </c>
      <c r="C15" s="952" t="s">
        <v>636</v>
      </c>
      <c r="D15" s="263"/>
      <c r="E15" s="1104">
        <v>1842994</v>
      </c>
      <c r="H15" s="1115"/>
    </row>
    <row r="16" spans="1:8">
      <c r="A16" s="478">
        <v>7</v>
      </c>
      <c r="C16" s="263" t="s">
        <v>273</v>
      </c>
      <c r="D16" s="952"/>
      <c r="E16" s="1105">
        <v>0</v>
      </c>
      <c r="F16" s="953"/>
      <c r="G16" s="957"/>
      <c r="H16" s="1115"/>
    </row>
    <row r="17" spans="1:8" s="691" customFormat="1" ht="15">
      <c r="A17" s="693">
        <v>8</v>
      </c>
      <c r="B17" s="694" t="s">
        <v>44</v>
      </c>
      <c r="D17" s="698"/>
      <c r="E17" s="701">
        <f>SUM(E10:E16)</f>
        <v>30760364</v>
      </c>
      <c r="F17" s="999">
        <f>'Appendix A'!H$30</f>
        <v>0.25238744991173706</v>
      </c>
      <c r="G17" s="701">
        <f>+E17*F17</f>
        <v>7763529.8283168003</v>
      </c>
      <c r="H17" s="704"/>
    </row>
    <row r="18" spans="1:8">
      <c r="A18" s="478"/>
      <c r="D18" s="954"/>
      <c r="E18" s="955"/>
      <c r="F18" s="954"/>
      <c r="G18" s="954"/>
      <c r="H18" s="1115"/>
    </row>
    <row r="19" spans="1:8">
      <c r="A19" s="478"/>
      <c r="D19" s="954"/>
      <c r="E19" s="955"/>
      <c r="F19" s="954"/>
      <c r="G19" s="954"/>
      <c r="H19" s="1115"/>
    </row>
    <row r="20" spans="1:8" s="691" customFormat="1" ht="15">
      <c r="A20" s="693"/>
      <c r="B20" s="694" t="s">
        <v>42</v>
      </c>
      <c r="D20" s="698"/>
      <c r="E20" s="699"/>
      <c r="F20" s="700" t="s">
        <v>503</v>
      </c>
      <c r="G20" s="698"/>
      <c r="H20" s="704"/>
    </row>
    <row r="21" spans="1:8">
      <c r="A21" s="478">
        <v>9</v>
      </c>
      <c r="C21" s="263" t="s">
        <v>628</v>
      </c>
      <c r="D21" s="956"/>
      <c r="E21" s="1104">
        <v>615415</v>
      </c>
      <c r="F21" s="956"/>
      <c r="G21" s="956"/>
      <c r="H21" s="1115"/>
    </row>
    <row r="22" spans="1:8">
      <c r="A22" s="478">
        <v>10</v>
      </c>
      <c r="C22" s="263" t="s">
        <v>443</v>
      </c>
      <c r="E22" s="1104">
        <v>27115347</v>
      </c>
      <c r="H22" s="1115"/>
    </row>
    <row r="23" spans="1:8">
      <c r="A23" s="478">
        <v>11</v>
      </c>
      <c r="C23" s="263" t="s">
        <v>629</v>
      </c>
      <c r="E23" s="1104">
        <v>0</v>
      </c>
      <c r="H23" s="1115"/>
    </row>
    <row r="24" spans="1:8">
      <c r="A24" s="478">
        <v>12</v>
      </c>
      <c r="C24" s="263"/>
      <c r="E24" s="1106"/>
      <c r="H24" s="1115"/>
    </row>
    <row r="25" spans="1:8">
      <c r="A25" s="478">
        <v>13</v>
      </c>
      <c r="C25" s="263"/>
      <c r="E25" s="1107"/>
      <c r="G25" s="957"/>
      <c r="H25" s="1115"/>
    </row>
    <row r="26" spans="1:8" s="691" customFormat="1" ht="15">
      <c r="A26" s="693">
        <v>14</v>
      </c>
      <c r="B26" s="694" t="s">
        <v>45</v>
      </c>
      <c r="E26" s="701">
        <f>SUM(E21:E25)</f>
        <v>27730762</v>
      </c>
      <c r="F26" s="1000">
        <f>'Appendix A'!H15</f>
        <v>0.13134730519136981</v>
      </c>
      <c r="G26" s="701">
        <f>+F26*E26</f>
        <v>3642360.8596032406</v>
      </c>
      <c r="H26" s="704"/>
    </row>
    <row r="27" spans="1:8" s="246" customFormat="1">
      <c r="A27" s="478"/>
      <c r="B27" s="315"/>
      <c r="C27" s="689"/>
      <c r="E27" s="688"/>
      <c r="F27" s="159"/>
      <c r="H27" s="1115"/>
    </row>
    <row r="28" spans="1:8" s="246" customFormat="1">
      <c r="A28" s="472"/>
      <c r="B28" s="315"/>
      <c r="C28" s="689"/>
      <c r="E28" s="688"/>
      <c r="F28" s="159"/>
      <c r="H28" s="1115"/>
    </row>
    <row r="29" spans="1:8" s="691" customFormat="1" ht="15">
      <c r="A29" s="693"/>
      <c r="B29" s="694" t="s">
        <v>43</v>
      </c>
      <c r="E29" s="692"/>
      <c r="F29" s="697" t="s">
        <v>486</v>
      </c>
      <c r="H29" s="704"/>
    </row>
    <row r="30" spans="1:8">
      <c r="A30" s="478">
        <v>15</v>
      </c>
      <c r="C30" s="958"/>
      <c r="E30" s="1106"/>
      <c r="H30" s="1115"/>
    </row>
    <row r="31" spans="1:8">
      <c r="A31" s="478">
        <v>16</v>
      </c>
      <c r="C31" s="263"/>
      <c r="E31" s="1104"/>
      <c r="H31" s="1115"/>
    </row>
    <row r="32" spans="1:8">
      <c r="A32" s="478">
        <v>17</v>
      </c>
      <c r="C32" s="263"/>
      <c r="E32" s="1106"/>
      <c r="H32" s="1115"/>
    </row>
    <row r="33" spans="1:8">
      <c r="A33" s="478">
        <v>18</v>
      </c>
      <c r="C33" s="263"/>
      <c r="E33" s="1107"/>
      <c r="G33" s="957"/>
      <c r="H33" s="1115"/>
    </row>
    <row r="34" spans="1:8" s="691" customFormat="1" ht="15">
      <c r="A34" s="693">
        <v>19</v>
      </c>
      <c r="B34" s="694" t="s">
        <v>46</v>
      </c>
      <c r="E34" s="701">
        <f>SUM(E30:E33)</f>
        <v>0</v>
      </c>
      <c r="F34" s="1000">
        <f>'Appendix A'!H30</f>
        <v>0.25238744991173706</v>
      </c>
      <c r="G34" s="701">
        <f>+F34*E34</f>
        <v>0</v>
      </c>
      <c r="H34" s="704"/>
    </row>
    <row r="35" spans="1:8">
      <c r="A35" s="478"/>
      <c r="H35" s="1115"/>
    </row>
    <row r="36" spans="1:8" s="691" customFormat="1" ht="15">
      <c r="A36" s="693">
        <v>20</v>
      </c>
      <c r="B36" s="694" t="s">
        <v>449</v>
      </c>
      <c r="E36" s="702">
        <f>E17+E26+E34</f>
        <v>58491126</v>
      </c>
      <c r="G36" s="701">
        <f>+G34+G26+G17</f>
        <v>11405890.687920041</v>
      </c>
      <c r="H36" s="704"/>
    </row>
    <row r="37" spans="1:8">
      <c r="A37" s="478"/>
      <c r="C37" s="561"/>
      <c r="H37" s="1115"/>
    </row>
    <row r="38" spans="1:8" s="691" customFormat="1" ht="15">
      <c r="A38" s="693"/>
      <c r="B38" s="694" t="s">
        <v>47</v>
      </c>
      <c r="E38" s="692"/>
      <c r="H38" s="704"/>
    </row>
    <row r="39" spans="1:8">
      <c r="A39" s="478">
        <v>21</v>
      </c>
      <c r="C39" s="1108" t="s">
        <v>631</v>
      </c>
      <c r="D39" s="1108"/>
      <c r="E39" s="1104">
        <v>0</v>
      </c>
      <c r="F39" s="263"/>
      <c r="G39" s="263"/>
      <c r="H39" s="1115"/>
    </row>
    <row r="40" spans="1:8">
      <c r="A40" s="478">
        <v>22</v>
      </c>
      <c r="C40" s="1108" t="s">
        <v>56</v>
      </c>
      <c r="D40" s="1108"/>
      <c r="E40" s="1104">
        <v>42613792</v>
      </c>
      <c r="F40" s="263"/>
      <c r="G40" s="263"/>
      <c r="H40" s="1115"/>
    </row>
    <row r="41" spans="1:8">
      <c r="A41" s="478">
        <v>23</v>
      </c>
      <c r="C41" s="1108" t="s">
        <v>55</v>
      </c>
      <c r="D41" s="1108"/>
      <c r="E41" s="1104">
        <v>4439696</v>
      </c>
      <c r="G41" s="263"/>
      <c r="H41" s="1115"/>
    </row>
    <row r="42" spans="1:8">
      <c r="A42" s="478">
        <v>24</v>
      </c>
      <c r="C42" s="1109" t="s">
        <v>633</v>
      </c>
      <c r="D42" s="1108"/>
      <c r="E42" s="1104">
        <v>103638827</v>
      </c>
      <c r="H42" s="1115"/>
    </row>
    <row r="43" spans="1:8">
      <c r="A43" s="301">
        <v>25</v>
      </c>
      <c r="C43" s="1108" t="s">
        <v>634</v>
      </c>
      <c r="D43" s="1109"/>
      <c r="E43" s="1104">
        <v>90812059</v>
      </c>
      <c r="H43" s="1115"/>
    </row>
    <row r="44" spans="1:8">
      <c r="A44" s="301">
        <v>26</v>
      </c>
      <c r="C44" s="1108" t="s">
        <v>138</v>
      </c>
      <c r="D44" s="1109"/>
      <c r="E44" s="1104">
        <v>32</v>
      </c>
      <c r="H44" s="1115"/>
    </row>
    <row r="45" spans="1:8">
      <c r="A45" s="301">
        <v>27</v>
      </c>
      <c r="C45" s="1108" t="s">
        <v>637</v>
      </c>
      <c r="D45" s="1108"/>
      <c r="E45" s="1105">
        <v>-7644716</v>
      </c>
      <c r="H45" s="1115"/>
    </row>
    <row r="46" spans="1:8" s="246" customFormat="1">
      <c r="A46" s="478">
        <v>28</v>
      </c>
      <c r="B46" s="303"/>
      <c r="C46" s="271" t="s">
        <v>448</v>
      </c>
      <c r="D46" s="159"/>
      <c r="E46" s="685">
        <f>SUM(E39:E45)</f>
        <v>233859690</v>
      </c>
      <c r="H46" s="1115"/>
    </row>
    <row r="47" spans="1:8" s="246" customFormat="1">
      <c r="A47" s="472"/>
      <c r="C47" s="159"/>
      <c r="D47" s="159"/>
      <c r="E47" s="685"/>
    </row>
    <row r="48" spans="1:8" s="691" customFormat="1" ht="15">
      <c r="A48" s="693">
        <v>29</v>
      </c>
      <c r="B48" s="703" t="s">
        <v>613</v>
      </c>
      <c r="C48" s="369"/>
      <c r="D48" s="704"/>
      <c r="E48" s="705">
        <f>E46+E36</f>
        <v>292350816</v>
      </c>
    </row>
    <row r="49" spans="1:7">
      <c r="A49" s="478"/>
      <c r="B49" s="263"/>
      <c r="C49" s="587"/>
      <c r="D49" s="263"/>
      <c r="E49" s="959"/>
      <c r="F49" s="263"/>
    </row>
    <row r="50" spans="1:7" s="691" customFormat="1" ht="15">
      <c r="A50" s="693">
        <v>30</v>
      </c>
      <c r="B50" s="703" t="s">
        <v>450</v>
      </c>
      <c r="C50" s="369"/>
      <c r="D50" s="706"/>
      <c r="E50" s="1074">
        <v>292350816</v>
      </c>
      <c r="F50" s="707"/>
      <c r="G50" s="707"/>
    </row>
    <row r="51" spans="1:7">
      <c r="B51" s="263"/>
      <c r="C51" s="681"/>
      <c r="D51" s="681"/>
      <c r="E51" s="690"/>
      <c r="F51" s="686"/>
      <c r="G51" s="686"/>
    </row>
    <row r="52" spans="1:7">
      <c r="A52" s="478">
        <v>31</v>
      </c>
      <c r="B52" s="263"/>
      <c r="C52" s="681" t="s">
        <v>621</v>
      </c>
      <c r="D52" s="681"/>
      <c r="E52" s="687">
        <f>+E48-E50</f>
        <v>0</v>
      </c>
      <c r="F52" s="1110"/>
      <c r="G52" s="686"/>
    </row>
    <row r="53" spans="1:7">
      <c r="B53" s="263"/>
      <c r="C53" s="681"/>
      <c r="D53" s="681"/>
      <c r="E53" s="687"/>
      <c r="F53" s="686"/>
      <c r="G53" s="686"/>
    </row>
    <row r="54" spans="1:7">
      <c r="B54" s="263"/>
      <c r="C54" s="681"/>
      <c r="D54" s="681"/>
      <c r="E54" s="687"/>
      <c r="F54" s="686"/>
      <c r="G54" s="686"/>
    </row>
    <row r="55" spans="1:7">
      <c r="B55" s="756" t="s">
        <v>502</v>
      </c>
      <c r="C55" s="263"/>
      <c r="D55" s="263"/>
      <c r="E55" s="684"/>
      <c r="F55" s="263"/>
      <c r="G55" s="263"/>
    </row>
    <row r="56" spans="1:7">
      <c r="B56" s="263" t="s">
        <v>393</v>
      </c>
      <c r="C56" s="263" t="s">
        <v>355</v>
      </c>
      <c r="D56" s="263"/>
      <c r="E56" s="684"/>
      <c r="F56" s="263"/>
      <c r="G56" s="263"/>
    </row>
    <row r="57" spans="1:7">
      <c r="B57" s="263"/>
      <c r="C57" s="960" t="s">
        <v>11</v>
      </c>
      <c r="D57" s="263"/>
      <c r="E57" s="684"/>
      <c r="F57" s="263"/>
      <c r="G57" s="263"/>
    </row>
    <row r="58" spans="1:7">
      <c r="B58" s="263" t="s">
        <v>494</v>
      </c>
      <c r="C58" s="263" t="s">
        <v>356</v>
      </c>
      <c r="D58" s="263"/>
      <c r="E58" s="684"/>
      <c r="F58" s="263"/>
      <c r="G58" s="263"/>
    </row>
    <row r="59" spans="1:7">
      <c r="B59" s="263"/>
      <c r="C59" s="960" t="s">
        <v>11</v>
      </c>
      <c r="D59" s="263"/>
      <c r="E59" s="684"/>
      <c r="F59" s="263"/>
      <c r="G59" s="263"/>
    </row>
    <row r="60" spans="1:7">
      <c r="B60" s="263" t="s">
        <v>377</v>
      </c>
      <c r="C60" s="263" t="s">
        <v>10</v>
      </c>
      <c r="D60" s="263"/>
      <c r="E60" s="684"/>
      <c r="F60" s="263"/>
      <c r="G60" s="263"/>
    </row>
    <row r="61" spans="1:7">
      <c r="B61" s="263" t="s">
        <v>394</v>
      </c>
      <c r="C61" s="960" t="s">
        <v>544</v>
      </c>
      <c r="D61" s="263"/>
      <c r="E61" s="684"/>
      <c r="F61" s="263"/>
      <c r="G61" s="263"/>
    </row>
    <row r="62" spans="1:7">
      <c r="B62" s="263"/>
      <c r="C62" s="263" t="s">
        <v>545</v>
      </c>
      <c r="D62" s="263"/>
      <c r="E62" s="684"/>
      <c r="F62" s="263"/>
      <c r="G62" s="263"/>
    </row>
    <row r="63" spans="1:7">
      <c r="B63" s="263"/>
      <c r="C63" s="263" t="s">
        <v>562</v>
      </c>
    </row>
    <row r="64" spans="1:7">
      <c r="B64" s="263" t="s">
        <v>392</v>
      </c>
      <c r="C64" s="263" t="s">
        <v>565</v>
      </c>
    </row>
  </sheetData>
  <mergeCells count="2">
    <mergeCell ref="A1:G1"/>
    <mergeCell ref="A3:G3"/>
  </mergeCells>
  <pageMargins left="0.75" right="0.75" top="1" bottom="1" header="0.5" footer="0.5"/>
  <pageSetup scale="10" orientation="portrait"/>
  <headerFooter alignWithMargins="0">
    <oddHeader>&amp;R&amp;12ATTACHMENT H-13A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0"/>
  <sheetViews>
    <sheetView zoomScale="85" zoomScaleNormal="85" workbookViewId="0">
      <selection activeCell="A2" sqref="A2"/>
    </sheetView>
  </sheetViews>
  <sheetFormatPr defaultColWidth="9.140625" defaultRowHeight="12.75"/>
  <cols>
    <col min="1" max="1" width="4.140625" style="964" customWidth="1"/>
    <col min="2" max="2" width="84.7109375" style="932" customWidth="1"/>
    <col min="3" max="3" width="16.28515625" style="932" bestFit="1" customWidth="1"/>
    <col min="4" max="4" width="14" style="965" bestFit="1" customWidth="1"/>
    <col min="5" max="5" width="15" style="932" bestFit="1" customWidth="1"/>
    <col min="6" max="6" width="10.85546875" style="932" bestFit="1" customWidth="1"/>
    <col min="7" max="7" width="9.140625" style="932" customWidth="1"/>
    <col min="8" max="16384" width="9.140625" style="932"/>
  </cols>
  <sheetData>
    <row r="1" spans="1:75" ht="18">
      <c r="A1" s="1170" t="str">
        <f>+'Appendix A'!A3</f>
        <v>Commonwealth Edison Company</v>
      </c>
      <c r="B1" s="1170"/>
      <c r="C1" s="1170"/>
      <c r="D1" s="1170"/>
    </row>
    <row r="2" spans="1:75" ht="20.25">
      <c r="A2" s="961"/>
      <c r="B2" s="962"/>
      <c r="C2" s="963"/>
      <c r="D2" s="917"/>
      <c r="E2" s="159"/>
      <c r="F2" s="159"/>
      <c r="G2" s="159"/>
      <c r="H2" s="159"/>
      <c r="I2" s="159"/>
      <c r="J2" s="963"/>
      <c r="K2" s="963"/>
      <c r="L2" s="963"/>
      <c r="M2" s="963"/>
      <c r="N2" s="963"/>
      <c r="O2" s="963"/>
      <c r="P2" s="963"/>
      <c r="Q2" s="963"/>
      <c r="R2" s="963"/>
      <c r="S2" s="963"/>
      <c r="T2" s="963"/>
    </row>
    <row r="3" spans="1:75" ht="15">
      <c r="A3" s="1208" t="s">
        <v>297</v>
      </c>
      <c r="B3" s="1206"/>
      <c r="C3" s="1206"/>
      <c r="D3" s="1206"/>
    </row>
    <row r="4" spans="1:75">
      <c r="B4" s="246"/>
      <c r="C4" s="964"/>
      <c r="E4" s="964"/>
    </row>
    <row r="5" spans="1:75">
      <c r="B5" s="246"/>
      <c r="C5" s="964"/>
      <c r="E5" s="964"/>
    </row>
    <row r="6" spans="1:75">
      <c r="B6" s="315" t="s">
        <v>569</v>
      </c>
      <c r="C6" s="964"/>
      <c r="D6" s="866"/>
      <c r="E6" s="972"/>
    </row>
    <row r="7" spans="1:75">
      <c r="A7" s="964">
        <v>1</v>
      </c>
      <c r="B7" s="246" t="s">
        <v>568</v>
      </c>
      <c r="C7" s="964"/>
      <c r="D7" s="1090">
        <v>3302831</v>
      </c>
      <c r="E7" s="972"/>
    </row>
    <row r="8" spans="1:75">
      <c r="B8" s="966"/>
      <c r="C8" s="964"/>
      <c r="D8" s="1091">
        <v>0</v>
      </c>
      <c r="E8" s="972"/>
    </row>
    <row r="9" spans="1:75">
      <c r="B9" s="243" t="s">
        <v>293</v>
      </c>
      <c r="D9" s="1091"/>
      <c r="E9" s="1115"/>
    </row>
    <row r="10" spans="1:75">
      <c r="A10" s="964">
        <v>2</v>
      </c>
      <c r="B10" s="967" t="s">
        <v>579</v>
      </c>
      <c r="C10" s="245"/>
      <c r="D10" s="1102">
        <v>10891667</v>
      </c>
      <c r="E10" s="1115"/>
      <c r="F10" s="968"/>
      <c r="G10" s="969"/>
    </row>
    <row r="11" spans="1:75">
      <c r="B11" s="970"/>
      <c r="C11" s="970"/>
      <c r="D11" s="1091"/>
      <c r="E11" s="1115"/>
      <c r="G11" s="971"/>
    </row>
    <row r="12" spans="1:75" s="974" customFormat="1">
      <c r="A12" s="972"/>
      <c r="B12" s="346" t="s">
        <v>192</v>
      </c>
      <c r="C12" s="970"/>
      <c r="D12" s="1092"/>
      <c r="E12" s="1115"/>
      <c r="F12" s="963"/>
      <c r="G12" s="973"/>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3"/>
      <c r="AK12" s="963"/>
      <c r="AL12" s="963"/>
      <c r="AM12" s="963"/>
      <c r="AN12" s="963"/>
      <c r="AO12" s="963"/>
      <c r="AP12" s="963"/>
      <c r="AQ12" s="963"/>
      <c r="AR12" s="963"/>
      <c r="AS12" s="963"/>
      <c r="AT12" s="963"/>
      <c r="AU12" s="963"/>
      <c r="AV12" s="963"/>
      <c r="AW12" s="963"/>
      <c r="AX12" s="963"/>
      <c r="AY12" s="963"/>
      <c r="AZ12" s="963"/>
      <c r="BA12" s="963"/>
      <c r="BB12" s="963"/>
      <c r="BC12" s="963"/>
      <c r="BD12" s="963"/>
      <c r="BE12" s="963"/>
      <c r="BF12" s="963"/>
      <c r="BG12" s="963"/>
      <c r="BH12" s="963"/>
      <c r="BI12" s="963"/>
      <c r="BJ12" s="963"/>
      <c r="BK12" s="963"/>
      <c r="BL12" s="963"/>
      <c r="BM12" s="963"/>
      <c r="BN12" s="963"/>
      <c r="BO12" s="963"/>
      <c r="BP12" s="963"/>
      <c r="BQ12" s="963"/>
      <c r="BR12" s="963"/>
      <c r="BS12" s="963"/>
      <c r="BT12" s="963"/>
      <c r="BU12" s="963"/>
      <c r="BV12" s="963"/>
      <c r="BW12" s="963"/>
    </row>
    <row r="13" spans="1:75" s="974" customFormat="1">
      <c r="A13" s="972">
        <v>3</v>
      </c>
      <c r="B13" s="245" t="s">
        <v>644</v>
      </c>
      <c r="C13" s="970"/>
      <c r="D13" s="1103">
        <v>5839217</v>
      </c>
      <c r="E13" s="1115"/>
      <c r="F13" s="963"/>
      <c r="G13" s="973"/>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c r="AK13" s="963"/>
      <c r="AL13" s="963"/>
      <c r="AM13" s="963"/>
      <c r="AN13" s="963"/>
      <c r="AO13" s="963"/>
      <c r="AP13" s="963"/>
      <c r="AQ13" s="963"/>
      <c r="AR13" s="963"/>
      <c r="AS13" s="963"/>
      <c r="AT13" s="963"/>
      <c r="AU13" s="963"/>
      <c r="AV13" s="963"/>
      <c r="AW13" s="963"/>
      <c r="AX13" s="963"/>
      <c r="AY13" s="963"/>
      <c r="AZ13" s="963"/>
      <c r="BA13" s="963"/>
      <c r="BB13" s="963"/>
      <c r="BC13" s="963"/>
      <c r="BD13" s="963"/>
      <c r="BE13" s="963"/>
      <c r="BF13" s="963"/>
      <c r="BG13" s="963"/>
      <c r="BH13" s="963"/>
      <c r="BI13" s="963"/>
      <c r="BJ13" s="963"/>
      <c r="BK13" s="963"/>
      <c r="BL13" s="963"/>
      <c r="BM13" s="963"/>
      <c r="BN13" s="963"/>
      <c r="BO13" s="963"/>
      <c r="BP13" s="963"/>
      <c r="BQ13" s="963"/>
      <c r="BR13" s="963"/>
      <c r="BS13" s="963"/>
      <c r="BT13" s="963"/>
      <c r="BU13" s="963"/>
      <c r="BV13" s="963"/>
      <c r="BW13" s="963"/>
    </row>
    <row r="14" spans="1:75">
      <c r="A14" s="972"/>
      <c r="B14" s="975"/>
      <c r="C14" s="976"/>
      <c r="D14" s="1091"/>
      <c r="E14" s="1115"/>
      <c r="F14" s="963"/>
      <c r="G14" s="977"/>
      <c r="H14" s="963"/>
    </row>
    <row r="15" spans="1:75">
      <c r="A15" s="972">
        <f>A13+1</f>
        <v>4</v>
      </c>
      <c r="B15" s="978" t="s">
        <v>398</v>
      </c>
      <c r="C15" s="969"/>
      <c r="D15" s="1093">
        <v>23706907</v>
      </c>
      <c r="E15" s="1115"/>
      <c r="F15" s="271"/>
      <c r="G15" s="979"/>
      <c r="H15" s="963"/>
    </row>
    <row r="16" spans="1:75" ht="38.25">
      <c r="A16" s="980">
        <f t="shared" ref="A16:A22" si="0">+A15+1</f>
        <v>5</v>
      </c>
      <c r="B16" s="969" t="s">
        <v>645</v>
      </c>
      <c r="C16" s="969"/>
      <c r="D16" s="1093"/>
      <c r="E16" s="963"/>
      <c r="F16" s="963"/>
      <c r="G16" s="979"/>
      <c r="H16" s="963"/>
      <c r="I16" s="963"/>
      <c r="J16" s="963"/>
    </row>
    <row r="17" spans="1:28">
      <c r="A17" s="972">
        <f t="shared" si="0"/>
        <v>6</v>
      </c>
      <c r="B17" s="971" t="s">
        <v>13</v>
      </c>
      <c r="C17" s="969"/>
      <c r="D17" s="1093">
        <v>0</v>
      </c>
      <c r="G17" s="979"/>
      <c r="H17" s="963"/>
      <c r="I17" s="963"/>
      <c r="J17" s="963"/>
    </row>
    <row r="18" spans="1:28">
      <c r="A18" s="964">
        <f t="shared" si="0"/>
        <v>7</v>
      </c>
      <c r="B18" s="971" t="s">
        <v>193</v>
      </c>
      <c r="C18" s="976"/>
      <c r="D18" s="1093"/>
      <c r="E18" s="963"/>
      <c r="F18" s="963"/>
      <c r="G18" s="977"/>
      <c r="H18" s="963"/>
      <c r="I18" s="963"/>
      <c r="J18" s="963"/>
    </row>
    <row r="19" spans="1:28">
      <c r="A19" s="964">
        <f t="shared" si="0"/>
        <v>8</v>
      </c>
      <c r="B19" s="971" t="s">
        <v>194</v>
      </c>
      <c r="C19" s="969"/>
      <c r="D19" s="1093"/>
      <c r="E19" s="963"/>
      <c r="F19" s="159"/>
      <c r="G19" s="979"/>
      <c r="H19" s="963"/>
      <c r="I19" s="963"/>
      <c r="J19" s="963"/>
    </row>
    <row r="20" spans="1:28">
      <c r="A20" s="964">
        <f t="shared" si="0"/>
        <v>9</v>
      </c>
      <c r="B20" s="970" t="s">
        <v>577</v>
      </c>
      <c r="C20" s="245"/>
      <c r="D20" s="1093"/>
      <c r="E20" s="963"/>
      <c r="G20" s="965"/>
    </row>
    <row r="21" spans="1:28">
      <c r="A21" s="964">
        <f t="shared" si="0"/>
        <v>10</v>
      </c>
      <c r="B21" s="970" t="s">
        <v>195</v>
      </c>
      <c r="C21" s="159"/>
      <c r="D21" s="1093">
        <v>0</v>
      </c>
    </row>
    <row r="22" spans="1:28">
      <c r="A22" s="964">
        <f t="shared" si="0"/>
        <v>11</v>
      </c>
      <c r="B22" s="970" t="s">
        <v>578</v>
      </c>
      <c r="C22" s="159"/>
      <c r="D22" s="1093">
        <v>0</v>
      </c>
      <c r="E22" s="963"/>
    </row>
    <row r="23" spans="1:28">
      <c r="B23" s="971"/>
      <c r="C23" s="159"/>
      <c r="D23" s="1093"/>
      <c r="E23" s="963"/>
    </row>
    <row r="24" spans="1:28">
      <c r="A24" s="964">
        <f>+A22+1</f>
        <v>12</v>
      </c>
      <c r="B24" s="971" t="s">
        <v>357</v>
      </c>
      <c r="C24" s="246" t="s">
        <v>570</v>
      </c>
      <c r="D24" s="1047">
        <f>SUM(D7:D22)</f>
        <v>43740622</v>
      </c>
      <c r="E24" s="963"/>
      <c r="F24" s="963"/>
      <c r="G24" s="963"/>
      <c r="H24" s="963"/>
      <c r="I24" s="963"/>
      <c r="J24" s="963"/>
      <c r="K24" s="963"/>
      <c r="L24" s="963"/>
      <c r="M24" s="963"/>
      <c r="N24" s="963"/>
      <c r="O24" s="963"/>
      <c r="P24" s="963"/>
      <c r="Q24" s="963"/>
      <c r="R24" s="963"/>
      <c r="S24" s="963"/>
      <c r="T24" s="963"/>
      <c r="U24" s="963"/>
      <c r="V24" s="963"/>
      <c r="W24" s="963"/>
      <c r="X24" s="963"/>
      <c r="Y24" s="963"/>
      <c r="Z24" s="963"/>
      <c r="AA24" s="963"/>
      <c r="AB24" s="963"/>
    </row>
    <row r="25" spans="1:28">
      <c r="A25" s="302"/>
      <c r="B25" s="304"/>
      <c r="C25" s="303"/>
      <c r="D25" s="305"/>
      <c r="E25" s="963"/>
    </row>
    <row r="26" spans="1:28">
      <c r="A26" s="302">
        <v>13</v>
      </c>
      <c r="B26" s="159" t="s">
        <v>102</v>
      </c>
      <c r="C26" s="159"/>
      <c r="D26" s="253"/>
      <c r="E26" s="963"/>
    </row>
    <row r="27" spans="1:28">
      <c r="A27" s="302"/>
      <c r="B27" s="159"/>
      <c r="C27" s="159"/>
      <c r="D27" s="253"/>
      <c r="E27" s="963"/>
    </row>
    <row r="28" spans="1:28">
      <c r="A28" s="302">
        <v>14</v>
      </c>
      <c r="B28" s="159" t="s">
        <v>370</v>
      </c>
      <c r="C28" s="159"/>
      <c r="D28" s="253"/>
      <c r="E28" s="963"/>
    </row>
    <row r="29" spans="1:28">
      <c r="A29" s="302"/>
      <c r="B29" s="159"/>
      <c r="C29" s="246"/>
      <c r="D29" s="253"/>
      <c r="E29" s="963"/>
    </row>
    <row r="30" spans="1:28" ht="50.25" customHeight="1">
      <c r="A30" s="306">
        <v>15</v>
      </c>
      <c r="B30" s="298" t="s">
        <v>413</v>
      </c>
      <c r="C30" s="246"/>
      <c r="D30" s="253"/>
      <c r="E30" s="366"/>
    </row>
    <row r="31" spans="1:28">
      <c r="A31" s="306"/>
      <c r="B31" s="245"/>
      <c r="C31" s="246"/>
      <c r="D31" s="253"/>
      <c r="E31" s="963"/>
    </row>
    <row r="32" spans="1:28" ht="49.5" customHeight="1">
      <c r="A32" s="306">
        <v>16</v>
      </c>
      <c r="B32" s="298" t="s">
        <v>12</v>
      </c>
      <c r="C32" s="315"/>
      <c r="D32" s="867"/>
      <c r="E32" s="366"/>
    </row>
    <row r="33" spans="1:7">
      <c r="A33" s="306"/>
      <c r="B33" s="159"/>
      <c r="C33" s="246"/>
      <c r="D33" s="866"/>
      <c r="E33" s="963"/>
      <c r="F33" s="963"/>
      <c r="G33" s="963"/>
    </row>
    <row r="34" spans="1:7" ht="61.5" customHeight="1">
      <c r="A34" s="306">
        <v>17</v>
      </c>
      <c r="B34" s="298" t="s">
        <v>576</v>
      </c>
      <c r="C34" s="307"/>
      <c r="D34" s="262"/>
      <c r="E34" s="366"/>
    </row>
    <row r="35" spans="1:7">
      <c r="A35" s="972"/>
      <c r="B35" s="963"/>
      <c r="D35" s="973"/>
      <c r="E35" s="963"/>
    </row>
    <row r="36" spans="1:7">
      <c r="A36" s="972"/>
      <c r="B36" s="963"/>
      <c r="D36" s="973"/>
      <c r="E36" s="159"/>
    </row>
    <row r="37" spans="1:7">
      <c r="D37" s="981"/>
      <c r="E37" s="964"/>
    </row>
    <row r="38" spans="1:7">
      <c r="C38" s="159"/>
      <c r="D38" s="299"/>
      <c r="E38" s="253"/>
      <c r="F38" s="246"/>
      <c r="G38" s="246"/>
    </row>
    <row r="39" spans="1:7">
      <c r="D39" s="973"/>
    </row>
    <row r="40" spans="1:7">
      <c r="D40" s="973"/>
    </row>
  </sheetData>
  <mergeCells count="2">
    <mergeCell ref="A3:D3"/>
    <mergeCell ref="A1:D1"/>
  </mergeCells>
  <printOptions horizontalCentered="1"/>
  <pageMargins left="0.5" right="0.5" top="1" bottom="1" header="0.5" footer="0.5"/>
  <pageSetup scale="10" orientation="portrait"/>
  <headerFooter alignWithMargins="0">
    <oddHeader xml:space="preserve">&amp;R&amp;12ATTACHMENT H-13A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51"/>
  <sheetViews>
    <sheetView zoomScale="75" zoomScaleNormal="75" workbookViewId="0">
      <selection activeCell="A3" sqref="A3"/>
    </sheetView>
  </sheetViews>
  <sheetFormatPr defaultColWidth="8.7109375" defaultRowHeight="12.75"/>
  <cols>
    <col min="1" max="1" width="9.28515625" bestFit="1" customWidth="1"/>
    <col min="2" max="2" width="3" customWidth="1"/>
    <col min="3" max="3" width="8.140625" customWidth="1"/>
    <col min="4" max="4" width="38.7109375" customWidth="1"/>
    <col min="5" max="5" width="28.7109375" customWidth="1"/>
    <col min="6" max="6" width="34.28515625" bestFit="1" customWidth="1"/>
    <col min="7" max="7" width="37.140625" bestFit="1" customWidth="1"/>
    <col min="8" max="8" width="3.85546875" customWidth="1"/>
    <col min="9" max="9" width="19.7109375" bestFit="1" customWidth="1"/>
  </cols>
  <sheetData>
    <row r="1" spans="1:10" ht="18">
      <c r="A1" s="1170" t="str">
        <f>+'Appendix A'!A3</f>
        <v>Commonwealth Edison Company</v>
      </c>
      <c r="B1" s="1170"/>
      <c r="C1" s="1170"/>
      <c r="D1" s="1170"/>
      <c r="E1" s="1170"/>
      <c r="F1" s="1170"/>
      <c r="G1" s="1170"/>
      <c r="H1" s="1209"/>
      <c r="I1" s="1209"/>
    </row>
    <row r="2" spans="1:10" ht="18">
      <c r="A2" s="1210" t="s">
        <v>210</v>
      </c>
      <c r="B2" s="1210"/>
      <c r="C2" s="1210"/>
      <c r="D2" s="1210"/>
      <c r="E2" s="1210"/>
      <c r="F2" s="1210"/>
      <c r="G2" s="1210"/>
      <c r="H2" s="1209"/>
      <c r="I2" s="1209"/>
    </row>
    <row r="3" spans="1:10" s="39" customFormat="1" ht="15">
      <c r="B3" s="165"/>
    </row>
    <row r="4" spans="1:10" s="39" customFormat="1" ht="15"/>
    <row r="5" spans="1:10" s="39" customFormat="1" ht="15"/>
    <row r="6" spans="1:10" s="39" customFormat="1" ht="15">
      <c r="C6" s="39" t="s">
        <v>201</v>
      </c>
    </row>
    <row r="7" spans="1:10" s="39" customFormat="1" ht="15">
      <c r="A7" s="77" t="s">
        <v>393</v>
      </c>
      <c r="B7" s="77"/>
      <c r="D7" s="39" t="s">
        <v>202</v>
      </c>
      <c r="G7" s="35" t="str">
        <f>"Line "&amp;A54&amp;" + Line "&amp;A76&amp;" from below"</f>
        <v>Line 30 + Line 42 from below</v>
      </c>
      <c r="I7" s="126">
        <f>+I54+I76</f>
        <v>473954771.76999044</v>
      </c>
    </row>
    <row r="8" spans="1:10" s="39" customFormat="1" ht="15">
      <c r="A8" s="77"/>
      <c r="B8" s="77"/>
      <c r="G8" s="44"/>
    </row>
    <row r="9" spans="1:10" s="39" customFormat="1" ht="15">
      <c r="A9" s="77" t="s">
        <v>494</v>
      </c>
      <c r="B9" s="77"/>
      <c r="D9" s="39" t="str">
        <f>I9*10000&amp;" Basis Point increase in ROE"</f>
        <v>100 Basis Point increase in ROE</v>
      </c>
      <c r="I9" s="177">
        <v>0.01</v>
      </c>
    </row>
    <row r="10" spans="1:10" s="44" customFormat="1" ht="15">
      <c r="A10" s="77"/>
      <c r="B10" s="77"/>
      <c r="C10" s="39"/>
      <c r="D10" s="39"/>
      <c r="E10" s="39"/>
      <c r="F10" s="39"/>
      <c r="G10" s="39"/>
      <c r="H10" s="39"/>
    </row>
    <row r="11" spans="1:10" s="44" customFormat="1" ht="15.75">
      <c r="A11" s="233" t="s">
        <v>285</v>
      </c>
      <c r="B11" s="108"/>
      <c r="C11" s="108"/>
      <c r="D11" s="108"/>
      <c r="E11" s="108"/>
      <c r="F11" s="108"/>
      <c r="G11" s="108"/>
      <c r="H11" s="108"/>
      <c r="I11" s="108"/>
    </row>
    <row r="12" spans="1:10" s="44" customFormat="1" ht="15.75">
      <c r="A12" s="276"/>
      <c r="G12" s="277" t="s">
        <v>457</v>
      </c>
    </row>
    <row r="13" spans="1:10" s="39" customFormat="1" ht="15">
      <c r="A13" s="44"/>
      <c r="D13" s="44"/>
      <c r="E13" s="44"/>
      <c r="F13" s="44"/>
      <c r="G13" s="44"/>
      <c r="H13" s="44"/>
      <c r="I13" s="275"/>
      <c r="J13" s="44"/>
    </row>
    <row r="14" spans="1:10" s="39" customFormat="1" ht="15.75">
      <c r="A14" s="78">
        <v>1</v>
      </c>
      <c r="C14" s="356" t="str">
        <f>+'Appendix A'!B100</f>
        <v>Rate Base</v>
      </c>
      <c r="D14" s="54"/>
      <c r="E14" s="44"/>
      <c r="F14" s="54"/>
      <c r="G14" s="54" t="str">
        <f>+'Appendix A'!F100</f>
        <v>(Line 41 + Line 54)</v>
      </c>
      <c r="H14" s="54"/>
      <c r="I14" s="265">
        <f>+'Appendix A'!H100</f>
        <v>3512042202.1895757</v>
      </c>
      <c r="J14" s="44"/>
    </row>
    <row r="15" spans="1:10" s="39" customFormat="1" ht="15">
      <c r="A15" s="44"/>
      <c r="G15" s="55"/>
      <c r="I15" s="175"/>
    </row>
    <row r="16" spans="1:10" s="39" customFormat="1" ht="15.75">
      <c r="A16" s="44"/>
      <c r="B16" s="55"/>
      <c r="C16" s="290" t="str">
        <f>'Appendix A'!B170</f>
        <v>Long Term Interest</v>
      </c>
      <c r="D16" s="73"/>
      <c r="E16" s="32"/>
      <c r="F16" s="27"/>
      <c r="G16" s="192"/>
      <c r="H16" s="20"/>
    </row>
    <row r="17" spans="1:9" s="39" customFormat="1" ht="15">
      <c r="A17" s="24">
        <f>A14+1</f>
        <v>2</v>
      </c>
      <c r="B17" s="55"/>
      <c r="C17" s="130"/>
      <c r="D17" s="130" t="str">
        <f>'Appendix A'!C171</f>
        <v>Long Term Interest</v>
      </c>
      <c r="E17" s="32"/>
      <c r="F17" s="27"/>
      <c r="G17" s="130" t="str">
        <f>'Appendix A'!F171</f>
        <v>Attachment 5</v>
      </c>
      <c r="H17" s="20"/>
      <c r="I17" s="265">
        <f>'Appendix A'!H171</f>
        <v>346475873</v>
      </c>
    </row>
    <row r="18" spans="1:9" s="39" customFormat="1" ht="15.75">
      <c r="A18" s="24">
        <f>A17+1</f>
        <v>3</v>
      </c>
      <c r="B18" s="55"/>
      <c r="C18" s="130"/>
      <c r="D18" s="247" t="str">
        <f>'Appendix A'!C172</f>
        <v xml:space="preserve">    Less LTD Interest on Securitization Bonds</v>
      </c>
      <c r="E18" s="170"/>
      <c r="F18" s="353"/>
      <c r="G18" s="247" t="str">
        <f>'Appendix A'!F172</f>
        <v>Attachment 8</v>
      </c>
      <c r="H18" s="92"/>
      <c r="I18" s="352">
        <f>'Appendix A'!H172</f>
        <v>0</v>
      </c>
    </row>
    <row r="19" spans="1:9" s="39" customFormat="1" ht="15.75">
      <c r="A19" s="24">
        <v>4</v>
      </c>
      <c r="B19" s="55"/>
      <c r="C19" s="130"/>
      <c r="D19" s="130" t="str">
        <f>'Appendix A'!C173</f>
        <v>Long Term Interest</v>
      </c>
      <c r="E19" s="32"/>
      <c r="F19" s="73"/>
      <c r="G19" s="130" t="str">
        <f>'Appendix A'!F173</f>
        <v>(Line 99 - Line 100)</v>
      </c>
      <c r="H19" s="20"/>
      <c r="I19" s="265">
        <f>'Appendix A'!H173</f>
        <v>346475873</v>
      </c>
    </row>
    <row r="20" spans="1:9" s="39" customFormat="1" ht="15">
      <c r="A20" s="24"/>
      <c r="B20" s="55"/>
      <c r="C20" s="4"/>
      <c r="D20" s="40"/>
      <c r="E20" s="9"/>
      <c r="F20" s="5"/>
      <c r="G20" s="166"/>
      <c r="H20" s="5"/>
      <c r="I20" s="265"/>
    </row>
    <row r="21" spans="1:9" s="39" customFormat="1" ht="15.75">
      <c r="A21" s="65">
        <v>5</v>
      </c>
      <c r="B21" s="55"/>
      <c r="C21" s="356" t="str">
        <f>'Appendix A'!B175</f>
        <v>Preferred Dividends</v>
      </c>
      <c r="D21" s="191"/>
      <c r="F21" s="9" t="str">
        <f>'Appendix A'!E175</f>
        <v xml:space="preserve"> enter positive</v>
      </c>
      <c r="G21" s="132" t="str">
        <f>'Appendix A'!F175</f>
        <v>p118.29.c</v>
      </c>
      <c r="H21" s="5"/>
      <c r="I21" s="35">
        <f>+'Appendix A'!H175</f>
        <v>0</v>
      </c>
    </row>
    <row r="22" spans="1:9" s="39" customFormat="1" ht="15">
      <c r="A22" s="24"/>
      <c r="B22" s="55"/>
      <c r="C22" s="4"/>
      <c r="D22" s="40"/>
      <c r="E22" s="9"/>
      <c r="F22" s="3"/>
      <c r="G22" s="132"/>
      <c r="H22" s="5"/>
      <c r="I22" s="10"/>
    </row>
    <row r="23" spans="1:9" s="39" customFormat="1" ht="15.75">
      <c r="A23" s="24"/>
      <c r="B23" s="55"/>
      <c r="C23" s="86" t="str">
        <f>'Appendix A'!B177</f>
        <v>Common Stock</v>
      </c>
      <c r="D23" s="86"/>
      <c r="E23" s="9"/>
      <c r="F23" s="27"/>
      <c r="G23" s="132"/>
      <c r="H23" s="5"/>
      <c r="I23" s="10"/>
    </row>
    <row r="24" spans="1:9" s="39" customFormat="1" ht="15">
      <c r="A24" s="24">
        <f>A21+1</f>
        <v>6</v>
      </c>
      <c r="B24" s="55"/>
      <c r="C24" s="55"/>
      <c r="D24" s="40" t="str">
        <f>'Appendix A'!C178</f>
        <v>Proprietary Capital</v>
      </c>
      <c r="E24" s="5"/>
      <c r="F24" s="5"/>
      <c r="G24" s="132" t="str">
        <f>'Appendix A'!F178</f>
        <v>p112.16.c</v>
      </c>
      <c r="H24" s="5"/>
      <c r="I24" s="35">
        <f>+'Appendix A'!H178</f>
        <v>8722498446</v>
      </c>
    </row>
    <row r="25" spans="1:9" s="39" customFormat="1" ht="15">
      <c r="A25" s="24">
        <v>7</v>
      </c>
      <c r="B25" s="55"/>
      <c r="C25" s="55"/>
      <c r="D25" s="10" t="s">
        <v>590</v>
      </c>
      <c r="E25" s="10"/>
      <c r="F25" s="23"/>
      <c r="G25" s="10" t="s">
        <v>591</v>
      </c>
      <c r="H25" s="5"/>
      <c r="I25" s="10">
        <f>'Appendix A'!H179</f>
        <v>-14658</v>
      </c>
    </row>
    <row r="26" spans="1:9" s="39" customFormat="1" ht="15">
      <c r="A26" s="24">
        <v>8</v>
      </c>
      <c r="B26" s="55"/>
      <c r="C26" s="55"/>
      <c r="D26" s="42" t="str">
        <f>'Appendix A'!C180</f>
        <v xml:space="preserve">    Less Preferred Stock</v>
      </c>
      <c r="F26" s="10"/>
      <c r="G26" s="193" t="str">
        <f>'Appendix A'!F180</f>
        <v>(Line 114)</v>
      </c>
      <c r="H26" s="5"/>
      <c r="I26" s="10">
        <f>-I37</f>
        <v>0</v>
      </c>
    </row>
    <row r="27" spans="1:9" s="39" customFormat="1" ht="15">
      <c r="A27" s="24">
        <v>9</v>
      </c>
      <c r="B27" s="55"/>
      <c r="C27" s="55"/>
      <c r="D27" s="128" t="str">
        <f>'Appendix A'!C181</f>
        <v xml:space="preserve">    Less Account 216.1</v>
      </c>
      <c r="E27" s="176"/>
      <c r="F27" s="94"/>
      <c r="G27" s="355" t="str">
        <f>'Appendix A'!F181</f>
        <v>p112.12.c</v>
      </c>
      <c r="H27" s="92"/>
      <c r="I27" s="94">
        <f>+'Appendix A'!H181</f>
        <v>16953392</v>
      </c>
    </row>
    <row r="28" spans="1:9" s="39" customFormat="1" ht="15">
      <c r="A28" s="24">
        <v>10</v>
      </c>
      <c r="B28" s="55"/>
      <c r="C28" s="55"/>
      <c r="D28" s="42" t="str">
        <f>'Appendix A'!C182</f>
        <v>Common Stock</v>
      </c>
      <c r="F28" s="35"/>
      <c r="G28" s="194" t="str">
        <f>'Appendix A'!F182</f>
        <v>(Line 103 - 104 - 105 - 106)</v>
      </c>
      <c r="H28" s="110"/>
      <c r="I28" s="5">
        <f>I24-I25-I26-I27</f>
        <v>8705559712</v>
      </c>
    </row>
    <row r="29" spans="1:9" s="39" customFormat="1" ht="15">
      <c r="A29" s="24"/>
      <c r="B29" s="55"/>
      <c r="C29" s="4"/>
      <c r="D29" s="40"/>
      <c r="F29" s="9"/>
      <c r="G29" s="132"/>
      <c r="H29" s="27"/>
      <c r="I29" s="10"/>
    </row>
    <row r="30" spans="1:9" s="39" customFormat="1" ht="15.75">
      <c r="A30" s="24"/>
      <c r="B30" s="55"/>
      <c r="C30" s="86" t="str">
        <f>'Appendix A'!B184</f>
        <v>Capitalization</v>
      </c>
      <c r="D30" s="86"/>
      <c r="F30" s="9"/>
      <c r="G30" s="132"/>
      <c r="H30" s="27"/>
      <c r="I30" s="10"/>
    </row>
    <row r="31" spans="1:9" s="39" customFormat="1" ht="15">
      <c r="A31" s="24">
        <f>A28+1</f>
        <v>11</v>
      </c>
      <c r="B31" s="55"/>
      <c r="C31" s="55"/>
      <c r="D31" s="40" t="str">
        <f>'Appendix A'!C185</f>
        <v>Long Term Debt</v>
      </c>
      <c r="F31" s="9"/>
      <c r="G31" s="4" t="str">
        <f>'Appendix A'!F185</f>
        <v>p112.18-21.c</v>
      </c>
      <c r="H31" s="27"/>
      <c r="I31" s="35">
        <f>+'Appendix A'!H185</f>
        <v>7299786000</v>
      </c>
    </row>
    <row r="32" spans="1:9" s="39" customFormat="1" ht="15">
      <c r="A32" s="24">
        <f t="shared" ref="A32:A39" si="0">A31+1</f>
        <v>12</v>
      </c>
      <c r="B32" s="55"/>
      <c r="C32" s="55"/>
      <c r="D32" s="40" t="str">
        <f>'Appendix A'!C186</f>
        <v xml:space="preserve">      Less Loss on Reacquired Debt </v>
      </c>
      <c r="F32" s="9"/>
      <c r="G32" s="132" t="str">
        <f>'Appendix A'!F186</f>
        <v>p111.81.c</v>
      </c>
      <c r="H32" s="27"/>
      <c r="I32" s="35">
        <f>+'Appendix A'!H186</f>
        <v>31573759</v>
      </c>
    </row>
    <row r="33" spans="1:12" s="39" customFormat="1" ht="15">
      <c r="A33" s="24">
        <f t="shared" si="0"/>
        <v>13</v>
      </c>
      <c r="B33" s="54"/>
      <c r="C33" s="54"/>
      <c r="D33" s="42" t="str">
        <f>'Appendix A'!C187</f>
        <v xml:space="preserve">      Plus Gain on Reacquired Debt</v>
      </c>
      <c r="F33" s="22"/>
      <c r="G33" s="130" t="str">
        <f>'Appendix A'!F187</f>
        <v>p113.61.c</v>
      </c>
      <c r="H33" s="43"/>
      <c r="I33" s="35">
        <f>+'Appendix A'!H187</f>
        <v>0</v>
      </c>
    </row>
    <row r="34" spans="1:12" s="39" customFormat="1" ht="15">
      <c r="A34" s="24">
        <f t="shared" si="0"/>
        <v>14</v>
      </c>
      <c r="B34" s="54"/>
      <c r="C34" s="54"/>
      <c r="D34" s="42" t="str">
        <f>'Appendix A'!C188</f>
        <v xml:space="preserve">      Less ADIT associated with Gain or Loss</v>
      </c>
      <c r="F34" s="9"/>
      <c r="G34" s="130" t="str">
        <f>'Appendix A'!F188</f>
        <v>Attachment 1</v>
      </c>
      <c r="H34" s="43"/>
      <c r="I34" s="35">
        <f>+'Appendix A'!H188</f>
        <v>-12204845</v>
      </c>
    </row>
    <row r="35" spans="1:12" s="39" customFormat="1" ht="15">
      <c r="A35" s="24">
        <f t="shared" si="0"/>
        <v>15</v>
      </c>
      <c r="B35" s="54"/>
      <c r="C35" s="54"/>
      <c r="D35" s="128" t="str">
        <f>'Appendix A'!C189</f>
        <v xml:space="preserve">      Less LTD on Securitization Bonds</v>
      </c>
      <c r="F35" s="22"/>
      <c r="G35" s="130" t="str">
        <f>'Appendix A'!F189</f>
        <v>Attachment 8</v>
      </c>
      <c r="H35" s="43"/>
      <c r="I35" s="35">
        <f>+'Appendix A'!H189</f>
        <v>0</v>
      </c>
    </row>
    <row r="36" spans="1:12" s="39" customFormat="1" ht="15">
      <c r="A36" s="24">
        <f t="shared" si="0"/>
        <v>16</v>
      </c>
      <c r="B36" s="54"/>
      <c r="C36" s="54"/>
      <c r="D36" s="42" t="str">
        <f>'Appendix A'!C190</f>
        <v>Total Long Term Debt</v>
      </c>
      <c r="E36" s="259"/>
      <c r="F36" s="38"/>
      <c r="G36" s="264" t="str">
        <f>'Appendix A'!F190</f>
        <v>(Line 108 - 109 + 110 - 111 - 112)</v>
      </c>
      <c r="H36" s="45"/>
      <c r="I36" s="48">
        <f>I31-I32+I33-I34-I35</f>
        <v>7280417086</v>
      </c>
    </row>
    <row r="37" spans="1:12" s="39" customFormat="1" ht="15">
      <c r="A37" s="24">
        <f t="shared" si="0"/>
        <v>17</v>
      </c>
      <c r="B37" s="54"/>
      <c r="C37" s="54"/>
      <c r="D37" s="42" t="str">
        <f>'Appendix A'!C191</f>
        <v>Preferred Stock</v>
      </c>
      <c r="E37" s="22"/>
      <c r="F37" s="21"/>
      <c r="G37" s="130" t="str">
        <f>'Appendix A'!F191</f>
        <v>p112.3.c</v>
      </c>
      <c r="H37" s="43"/>
      <c r="I37" s="35">
        <f>+'Appendix A'!H191</f>
        <v>0</v>
      </c>
    </row>
    <row r="38" spans="1:12" s="39" customFormat="1" ht="15">
      <c r="A38" s="24">
        <f t="shared" si="0"/>
        <v>18</v>
      </c>
      <c r="B38" s="55"/>
      <c r="C38" s="55"/>
      <c r="D38" s="81" t="str">
        <f>'Appendix A'!C192</f>
        <v>Common Stock</v>
      </c>
      <c r="E38" s="84"/>
      <c r="F38" s="3"/>
      <c r="G38" s="55" t="str">
        <f>'Appendix A'!F192</f>
        <v>(Line 107)</v>
      </c>
      <c r="H38" s="27"/>
      <c r="I38" s="35">
        <f>I28</f>
        <v>8705559712</v>
      </c>
    </row>
    <row r="39" spans="1:12" s="39" customFormat="1" ht="15.75">
      <c r="A39" s="24">
        <f t="shared" si="0"/>
        <v>19</v>
      </c>
      <c r="B39" s="55"/>
      <c r="C39" s="55"/>
      <c r="D39" s="40" t="str">
        <f>'Appendix A'!C193</f>
        <v>Total  Capitalization</v>
      </c>
      <c r="E39" s="51"/>
      <c r="F39" s="76"/>
      <c r="G39" s="195" t="str">
        <f>'Appendix A'!F193</f>
        <v>(Sum Lines 113 to 115)</v>
      </c>
      <c r="H39" s="30"/>
      <c r="I39" s="48">
        <f>I38+I37+I36</f>
        <v>15985976798</v>
      </c>
    </row>
    <row r="40" spans="1:12" s="39" customFormat="1" ht="15">
      <c r="A40" s="24"/>
      <c r="B40" s="55"/>
      <c r="C40" s="55"/>
      <c r="D40" s="40"/>
      <c r="E40" s="27"/>
      <c r="F40" s="3"/>
      <c r="G40" s="55"/>
      <c r="H40" s="5"/>
      <c r="I40" s="23"/>
    </row>
    <row r="41" spans="1:12" s="39" customFormat="1" ht="15">
      <c r="A41" s="65">
        <f>A39+1</f>
        <v>20</v>
      </c>
      <c r="B41" s="55"/>
      <c r="C41" s="55"/>
      <c r="D41" s="40" t="str">
        <f>'Appendix A'!C195</f>
        <v>Debt %</v>
      </c>
      <c r="E41" s="37"/>
      <c r="F41" s="131" t="str">
        <f>'Appendix A'!D195</f>
        <v>Total Long Term Debt</v>
      </c>
      <c r="G41" s="55" t="str">
        <f>'Appendix A'!F195</f>
        <v>(Line 113 / Line 116)</v>
      </c>
      <c r="H41" s="5"/>
      <c r="I41" s="790">
        <f>1-I42-I43</f>
        <v>0.45542522537070429</v>
      </c>
    </row>
    <row r="42" spans="1:12" s="39" customFormat="1" ht="15">
      <c r="A42" s="24">
        <f>A41+1</f>
        <v>21</v>
      </c>
      <c r="B42" s="55"/>
      <c r="C42" s="55"/>
      <c r="D42" s="40" t="str">
        <f>'Appendix A'!C196</f>
        <v>Preferred %</v>
      </c>
      <c r="E42" s="3"/>
      <c r="F42" s="131" t="str">
        <f>'Appendix A'!D196</f>
        <v>Preferred Stock</v>
      </c>
      <c r="G42" s="55" t="str">
        <f>'Appendix A'!F196</f>
        <v>(Line 114 / Line 116)</v>
      </c>
      <c r="H42" s="5"/>
      <c r="I42" s="440">
        <f>I37/I39</f>
        <v>0</v>
      </c>
    </row>
    <row r="43" spans="1:12" s="39" customFormat="1" ht="15">
      <c r="A43" s="24">
        <f>A42+1</f>
        <v>22</v>
      </c>
      <c r="B43" s="55"/>
      <c r="C43" s="55"/>
      <c r="D43" s="40" t="str">
        <f>'Appendix A'!C197</f>
        <v>Common %</v>
      </c>
      <c r="E43" s="3"/>
      <c r="F43" s="131" t="str">
        <f>'Appendix A'!D197</f>
        <v>Common Stock</v>
      </c>
      <c r="G43" s="55" t="str">
        <f>'Appendix A'!F197</f>
        <v>(Line 115 / Line 116)</v>
      </c>
      <c r="H43" s="5"/>
      <c r="I43" s="790">
        <f>'Appendix A'!H197</f>
        <v>0.54457477462929571</v>
      </c>
      <c r="L43" s="931"/>
    </row>
    <row r="44" spans="1:12" s="39" customFormat="1" ht="15">
      <c r="A44" s="24"/>
      <c r="B44" s="55"/>
      <c r="C44" s="55"/>
      <c r="D44" s="40"/>
      <c r="E44" s="27"/>
      <c r="F44" s="132"/>
      <c r="G44" s="55"/>
      <c r="H44" s="5"/>
      <c r="I44" s="23"/>
    </row>
    <row r="45" spans="1:12" s="39" customFormat="1" ht="15">
      <c r="A45" s="65">
        <f>A43+1</f>
        <v>23</v>
      </c>
      <c r="B45" s="55"/>
      <c r="C45" s="55"/>
      <c r="D45" s="40" t="str">
        <f>'Appendix A'!C199</f>
        <v>Debt Cost</v>
      </c>
      <c r="E45" s="37"/>
      <c r="F45" s="132" t="str">
        <f>'Appendix A'!D199</f>
        <v>Total Long Term Debt</v>
      </c>
      <c r="G45" s="55" t="str">
        <f>'Appendix A'!F199</f>
        <v>(Line 101 / Line 113)</v>
      </c>
      <c r="H45" s="5"/>
      <c r="I45" s="149">
        <f>IF(I36&gt;0,I19/I36,0)</f>
        <v>4.7590113163469928E-2</v>
      </c>
    </row>
    <row r="46" spans="1:12" s="39" customFormat="1" ht="15">
      <c r="A46" s="24">
        <f>A45+1</f>
        <v>24</v>
      </c>
      <c r="B46" s="55"/>
      <c r="C46" s="55"/>
      <c r="D46" s="40" t="str">
        <f>'Appendix A'!C200</f>
        <v>Preferred Cost</v>
      </c>
      <c r="E46" s="3"/>
      <c r="F46" s="132" t="str">
        <f>'Appendix A'!D200</f>
        <v>Preferred Stock</v>
      </c>
      <c r="G46" s="55" t="str">
        <f>'Appendix A'!F200</f>
        <v>(Line 102 / Line 114)</v>
      </c>
      <c r="H46" s="5"/>
      <c r="I46" s="149">
        <f>IF(I37&gt;0,I21/I37,0)</f>
        <v>0</v>
      </c>
    </row>
    <row r="47" spans="1:12" s="39" customFormat="1" ht="15">
      <c r="A47" s="24">
        <f>A46+1</f>
        <v>25</v>
      </c>
      <c r="B47" s="55"/>
      <c r="C47" s="55"/>
      <c r="D47" s="40" t="str">
        <f>'Appendix A'!C201</f>
        <v>Common Cost</v>
      </c>
      <c r="E47" s="313"/>
      <c r="F47" s="193" t="str">
        <f>'Appendix A'!D201</f>
        <v>Common Stock</v>
      </c>
      <c r="G47" s="35" t="str">
        <f>"(Line "&amp;'Appendix A'!A201&amp;" + 100 basis points)"</f>
        <v>(Line 122 + 100 basis points)</v>
      </c>
      <c r="H47" s="5"/>
      <c r="I47" s="1001">
        <f>+'Appendix A'!H201+I9</f>
        <v>0.125</v>
      </c>
    </row>
    <row r="48" spans="1:12" s="39" customFormat="1" ht="15">
      <c r="A48" s="24"/>
      <c r="B48" s="55"/>
      <c r="C48" s="55"/>
      <c r="D48" s="40"/>
      <c r="E48" s="27"/>
      <c r="F48" s="132"/>
      <c r="G48" s="55"/>
      <c r="H48" s="5"/>
      <c r="I48" s="461"/>
    </row>
    <row r="49" spans="1:10" s="39" customFormat="1" ht="15">
      <c r="A49" s="65">
        <f>A47+1</f>
        <v>26</v>
      </c>
      <c r="B49" s="55"/>
      <c r="C49" s="55"/>
      <c r="D49" s="40" t="str">
        <f>'Appendix A'!C203</f>
        <v>Weighted Cost of Debt</v>
      </c>
      <c r="E49" s="37"/>
      <c r="F49" s="131" t="str">
        <f>'Appendix A'!D203</f>
        <v>Total Long Term Debt (WCLTD)</v>
      </c>
      <c r="G49" s="55" t="str">
        <f>'Appendix A'!F203</f>
        <v>(Line 117 * Line 120)</v>
      </c>
      <c r="H49" s="25"/>
      <c r="I49" s="1002">
        <f>I45*I41</f>
        <v>2.1673738012890614E-2</v>
      </c>
    </row>
    <row r="50" spans="1:10" s="39" customFormat="1" ht="15">
      <c r="A50" s="24">
        <f>A49+1</f>
        <v>27</v>
      </c>
      <c r="B50" s="55"/>
      <c r="C50" s="55"/>
      <c r="D50" s="40" t="str">
        <f>'Appendix A'!C204</f>
        <v>Weighted Cost of Preferred</v>
      </c>
      <c r="E50" s="3"/>
      <c r="F50" s="131" t="str">
        <f>'Appendix A'!D204</f>
        <v>Preferred Stock</v>
      </c>
      <c r="G50" s="55" t="str">
        <f>'Appendix A'!F204</f>
        <v>(Line 118 * Line 121)</v>
      </c>
      <c r="H50" s="63"/>
      <c r="I50" s="1002">
        <f>I46*I42</f>
        <v>0</v>
      </c>
    </row>
    <row r="51" spans="1:10" s="39" customFormat="1" ht="15">
      <c r="A51" s="24">
        <f>A50+1</f>
        <v>28</v>
      </c>
      <c r="B51" s="55"/>
      <c r="C51" s="55"/>
      <c r="D51" s="81" t="str">
        <f>'Appendix A'!C205</f>
        <v>Weighted Cost of Common</v>
      </c>
      <c r="E51" s="137"/>
      <c r="F51" s="136" t="str">
        <f>'Appendix A'!D205</f>
        <v>Common Stock</v>
      </c>
      <c r="G51" s="196" t="str">
        <f>'Appendix A'!F205</f>
        <v>(Line 119 * Line 122)</v>
      </c>
      <c r="H51" s="93"/>
      <c r="I51" s="1003">
        <f>I47*I43</f>
        <v>6.8071846828661964E-2</v>
      </c>
    </row>
    <row r="52" spans="1:10" s="39" customFormat="1" ht="15.75">
      <c r="A52" s="24">
        <f>A51+1</f>
        <v>29</v>
      </c>
      <c r="B52" s="55"/>
      <c r="C52" s="356" t="str">
        <f>'Appendix A'!B206</f>
        <v>Rate of Return on Rate Base ( ROR )</v>
      </c>
      <c r="D52" s="55"/>
      <c r="E52" s="111"/>
      <c r="F52" s="72"/>
      <c r="G52" s="197" t="str">
        <f>'Appendix A'!F206</f>
        <v>(Sum Lines 123 to 125)</v>
      </c>
      <c r="H52" s="74"/>
      <c r="I52" s="998">
        <f>SUM(I49:I51)</f>
        <v>8.9745584841552581E-2</v>
      </c>
    </row>
    <row r="53" spans="1:10" s="39" customFormat="1" ht="15.75">
      <c r="A53" s="36"/>
      <c r="B53" s="55"/>
      <c r="C53" s="55"/>
      <c r="D53" s="55"/>
      <c r="E53" s="111"/>
      <c r="F53" s="72"/>
      <c r="G53" s="197"/>
      <c r="H53" s="74"/>
      <c r="I53" s="64"/>
    </row>
    <row r="54" spans="1:10" s="39" customFormat="1" ht="15.75">
      <c r="A54" s="65">
        <f>A52+1</f>
        <v>30</v>
      </c>
      <c r="B54" s="55"/>
      <c r="C54" s="90" t="str">
        <f>'Appendix A'!B208</f>
        <v>Investment Return = Rate Base * Rate of Return</v>
      </c>
      <c r="D54" s="90"/>
      <c r="E54" s="90"/>
      <c r="F54" s="91"/>
      <c r="G54" s="198" t="str">
        <f>'Appendix A'!F208</f>
        <v>(Line 55 * Line 126)</v>
      </c>
      <c r="H54" s="96"/>
      <c r="I54" s="34">
        <f>+I52*I14</f>
        <v>315190281.42371774</v>
      </c>
    </row>
    <row r="55" spans="1:10" s="39" customFormat="1" ht="15">
      <c r="A55" s="24"/>
      <c r="B55" s="6"/>
      <c r="C55" s="26"/>
      <c r="D55" s="3"/>
      <c r="E55" s="27"/>
      <c r="F55" s="77"/>
      <c r="G55" s="5"/>
      <c r="H55" s="5"/>
      <c r="I55" s="17"/>
    </row>
    <row r="56" spans="1:10" s="39" customFormat="1" ht="15.75">
      <c r="A56" s="314" t="s">
        <v>203</v>
      </c>
      <c r="B56" s="104"/>
      <c r="C56" s="105"/>
      <c r="D56" s="106"/>
      <c r="E56" s="107"/>
      <c r="F56" s="140"/>
      <c r="G56" s="108"/>
      <c r="H56" s="108"/>
      <c r="I56" s="109"/>
    </row>
    <row r="57" spans="1:10" s="39" customFormat="1" ht="15.75">
      <c r="A57" s="42"/>
      <c r="B57" s="42"/>
      <c r="C57" s="26"/>
      <c r="D57" s="19"/>
      <c r="E57" s="43"/>
      <c r="F57" s="16"/>
      <c r="G57" s="27"/>
      <c r="H57" s="27"/>
      <c r="I57" s="33"/>
    </row>
    <row r="58" spans="1:10" s="39" customFormat="1" ht="15.75">
      <c r="A58" s="65" t="s">
        <v>391</v>
      </c>
      <c r="B58" s="26"/>
      <c r="C58" s="115" t="s">
        <v>470</v>
      </c>
      <c r="D58" s="27"/>
      <c r="E58" s="27"/>
      <c r="F58" s="16"/>
      <c r="G58" s="5"/>
      <c r="H58" s="13"/>
      <c r="I58" s="27"/>
    </row>
    <row r="59" spans="1:10" s="39" customFormat="1" ht="15">
      <c r="A59" s="65">
        <f>+A54+1</f>
        <v>31</v>
      </c>
      <c r="B59" s="77"/>
      <c r="C59" s="26"/>
      <c r="D59" s="27" t="s">
        <v>468</v>
      </c>
      <c r="E59" s="27"/>
      <c r="F59" s="77"/>
      <c r="G59" s="250"/>
      <c r="H59" s="28"/>
      <c r="I59" s="185">
        <f>+'Appendix A'!H213</f>
        <v>0.35</v>
      </c>
    </row>
    <row r="60" spans="1:10" s="39" customFormat="1" ht="15">
      <c r="A60" s="24">
        <f>+A59+1</f>
        <v>32</v>
      </c>
      <c r="B60" s="77"/>
      <c r="C60" s="26"/>
      <c r="D60" s="28" t="s">
        <v>467</v>
      </c>
      <c r="E60" s="18"/>
      <c r="F60" s="77"/>
      <c r="G60" s="250"/>
      <c r="H60" s="28"/>
      <c r="I60" s="185">
        <f>+'Appendix A'!H214</f>
        <v>7.7499999999999999E-2</v>
      </c>
    </row>
    <row r="61" spans="1:10" s="39" customFormat="1" ht="15">
      <c r="A61" s="24">
        <f>+A60+1</f>
        <v>33</v>
      </c>
      <c r="B61" s="77"/>
      <c r="C61" s="26"/>
      <c r="D61" s="28" t="s">
        <v>128</v>
      </c>
      <c r="E61" s="28"/>
      <c r="F61" s="77"/>
      <c r="G61" s="7" t="str">
        <f>+'Appendix A'!F215</f>
        <v>Per State Tax Code</v>
      </c>
      <c r="H61" s="28"/>
      <c r="I61" s="185">
        <f>+'Appendix A'!H215</f>
        <v>0</v>
      </c>
    </row>
    <row r="62" spans="1:10" s="39" customFormat="1" ht="15">
      <c r="A62" s="24">
        <f>+A61+1</f>
        <v>34</v>
      </c>
      <c r="B62" s="77"/>
      <c r="C62" s="26"/>
      <c r="D62" s="28" t="s">
        <v>522</v>
      </c>
      <c r="E62" s="12" t="s">
        <v>533</v>
      </c>
      <c r="F62" s="77"/>
      <c r="G62" s="31"/>
      <c r="H62" s="28"/>
      <c r="I62" s="185">
        <f>+'Appendix A'!H216</f>
        <v>0.40037500000000004</v>
      </c>
    </row>
    <row r="63" spans="1:10" s="39" customFormat="1" ht="15">
      <c r="A63" s="24">
        <v>35</v>
      </c>
      <c r="B63" s="78"/>
      <c r="C63" s="65"/>
      <c r="D63" s="308" t="s">
        <v>661</v>
      </c>
      <c r="E63" s="2"/>
      <c r="F63" s="2"/>
      <c r="G63" s="2"/>
      <c r="H63" s="2"/>
      <c r="I63" s="326">
        <f>I62/(1-I62)</f>
        <v>0.66770898478215557</v>
      </c>
      <c r="J63" s="44"/>
    </row>
    <row r="64" spans="1:10" s="39" customFormat="1" ht="15">
      <c r="A64" s="24">
        <v>36</v>
      </c>
      <c r="B64" s="78"/>
      <c r="C64" s="65"/>
      <c r="D64" s="308" t="s">
        <v>660</v>
      </c>
      <c r="E64" s="354"/>
      <c r="F64" s="78"/>
      <c r="G64" s="43"/>
      <c r="H64" s="28"/>
      <c r="I64" s="326">
        <f>1/(1-I62)</f>
        <v>1.6677089847821556</v>
      </c>
      <c r="J64" s="44"/>
    </row>
    <row r="65" spans="1:11" s="39" customFormat="1" ht="15">
      <c r="A65" s="65"/>
      <c r="B65" s="26"/>
      <c r="C65" s="26"/>
      <c r="D65" s="27"/>
      <c r="E65" s="27"/>
      <c r="F65" s="11"/>
      <c r="G65" s="12"/>
      <c r="H65" s="13"/>
      <c r="I65" s="14"/>
    </row>
    <row r="66" spans="1:11" s="39" customFormat="1" ht="15.75">
      <c r="A66" s="65"/>
      <c r="B66" s="26"/>
      <c r="C66" s="115" t="s">
        <v>442</v>
      </c>
      <c r="D66" s="3"/>
      <c r="E66" s="27"/>
      <c r="F66" s="16"/>
      <c r="G66" s="5"/>
      <c r="H66" s="13"/>
      <c r="I66" s="149"/>
    </row>
    <row r="67" spans="1:11" s="39" customFormat="1" ht="15">
      <c r="A67" s="65">
        <f>+A64+1</f>
        <v>37</v>
      </c>
      <c r="B67" s="77"/>
      <c r="C67" s="26"/>
      <c r="D67" s="3" t="s">
        <v>497</v>
      </c>
      <c r="E67" s="27"/>
      <c r="F67" s="23" t="s">
        <v>520</v>
      </c>
      <c r="G67" s="7" t="str">
        <f>+'Appendix A'!F220</f>
        <v>p266.8.f</v>
      </c>
      <c r="H67" s="13"/>
      <c r="I67" s="266">
        <f>+'Appendix A'!H220</f>
        <v>-2056258</v>
      </c>
    </row>
    <row r="68" spans="1:11" s="39" customFormat="1" ht="15">
      <c r="A68" s="65">
        <f>+A67+1</f>
        <v>38</v>
      </c>
      <c r="B68" s="77"/>
      <c r="C68" s="26"/>
      <c r="D68" s="3" t="s">
        <v>515</v>
      </c>
      <c r="E68" s="27"/>
      <c r="F68" s="6"/>
      <c r="G68" s="7" t="str">
        <f>+'Appendix A'!F221</f>
        <v>1 / (1 -Line 131)</v>
      </c>
      <c r="H68" s="13"/>
      <c r="I68" s="267">
        <f>+'Appendix A'!H221</f>
        <v>1.6677089847821556</v>
      </c>
    </row>
    <row r="69" spans="1:11" s="39" customFormat="1" ht="15.75">
      <c r="A69" s="65">
        <f>+A68+1</f>
        <v>39</v>
      </c>
      <c r="B69" s="77"/>
      <c r="C69" s="66"/>
      <c r="D69" s="79" t="s">
        <v>437</v>
      </c>
      <c r="E69" s="80"/>
      <c r="F69" s="135"/>
      <c r="G69" s="278" t="str">
        <f>+'Appendix A'!F222</f>
        <v>(Line 14)</v>
      </c>
      <c r="H69" s="69"/>
      <c r="I69" s="112">
        <f>+'Appendix A'!H30</f>
        <v>0.25238744991173706</v>
      </c>
    </row>
    <row r="70" spans="1:11" s="39" customFormat="1" ht="15.75">
      <c r="A70" s="24">
        <f>+A69+1</f>
        <v>40</v>
      </c>
      <c r="B70" s="77"/>
      <c r="C70" s="26"/>
      <c r="D70" s="117" t="s">
        <v>466</v>
      </c>
      <c r="E70" s="45"/>
      <c r="F70" s="147"/>
      <c r="G70" s="7" t="str">
        <f>+'Appendix A'!F223</f>
        <v>(Line 133 * Line 134 * Line 135)</v>
      </c>
      <c r="H70" s="71"/>
      <c r="I70" s="896">
        <f>+I67*I68*I69</f>
        <v>-865497.12400351663</v>
      </c>
      <c r="K70" s="75"/>
    </row>
    <row r="71" spans="1:11" s="39" customFormat="1" ht="15.75">
      <c r="A71" s="24"/>
      <c r="B71" s="6"/>
      <c r="C71" s="26"/>
      <c r="D71" s="129"/>
      <c r="E71" s="68"/>
      <c r="F71" s="154"/>
      <c r="G71" s="151"/>
      <c r="H71" s="69"/>
      <c r="I71" s="152"/>
    </row>
    <row r="72" spans="1:11" s="39" customFormat="1" ht="15.75">
      <c r="A72" s="24"/>
      <c r="B72" s="6"/>
      <c r="C72" s="26"/>
      <c r="D72" s="129"/>
      <c r="E72" s="68"/>
      <c r="F72" s="154"/>
      <c r="G72" s="151"/>
      <c r="H72" s="69"/>
      <c r="I72" s="153"/>
    </row>
    <row r="73" spans="1:11" s="39" customFormat="1" ht="15.75">
      <c r="A73" s="65"/>
      <c r="B73" s="26"/>
      <c r="C73" s="26"/>
      <c r="D73" s="27"/>
      <c r="E73" s="27"/>
      <c r="F73" s="11"/>
      <c r="G73" s="12"/>
      <c r="H73" s="13"/>
      <c r="I73" s="150"/>
    </row>
    <row r="74" spans="1:11" s="39" customFormat="1" ht="15.75">
      <c r="A74" s="65">
        <f>+A70+1</f>
        <v>41</v>
      </c>
      <c r="B74" s="77"/>
      <c r="C74" s="1" t="s">
        <v>488</v>
      </c>
      <c r="E74" s="9" t="s">
        <v>490</v>
      </c>
      <c r="F74" s="16"/>
      <c r="G74" s="20"/>
      <c r="H74" s="27"/>
      <c r="I74" s="133">
        <f>+I63*(1-I49/I52)*I54</f>
        <v>159629987.47027627</v>
      </c>
    </row>
    <row r="75" spans="1:11" s="39" customFormat="1" ht="15.75">
      <c r="A75" s="65"/>
      <c r="B75" s="26"/>
      <c r="C75" s="26"/>
      <c r="D75" s="67"/>
      <c r="E75" s="68"/>
      <c r="F75" s="141"/>
      <c r="G75" s="20"/>
      <c r="H75" s="69"/>
      <c r="I75" s="53"/>
    </row>
    <row r="76" spans="1:11" s="39" customFormat="1" ht="15.75">
      <c r="A76" s="65">
        <f>+A74+1</f>
        <v>42</v>
      </c>
      <c r="B76" s="77"/>
      <c r="C76" s="95" t="s">
        <v>371</v>
      </c>
      <c r="D76" s="95"/>
      <c r="E76" s="90"/>
      <c r="F76" s="139"/>
      <c r="G76" s="34"/>
      <c r="H76" s="114"/>
      <c r="I76" s="134">
        <f>+I74+I70</f>
        <v>158764490.34627274</v>
      </c>
    </row>
    <row r="77" spans="1:11" s="39" customFormat="1" ht="15">
      <c r="A77" s="65"/>
      <c r="B77" s="26"/>
      <c r="C77" s="26"/>
      <c r="D77" s="12"/>
      <c r="E77" s="27"/>
      <c r="F77" s="77"/>
      <c r="G77" s="15"/>
      <c r="H77" s="8"/>
      <c r="I77" s="116"/>
    </row>
    <row r="78" spans="1:11" s="39" customFormat="1" ht="15">
      <c r="A78" s="44"/>
    </row>
    <row r="79" spans="1:11">
      <c r="A79" s="2"/>
    </row>
    <row r="80" spans="1: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6">
      <c r="A305" s="2"/>
    </row>
    <row r="306" spans="1:6">
      <c r="A306" s="2"/>
    </row>
    <row r="307" spans="1:6">
      <c r="A307" s="231"/>
      <c r="B307" s="231"/>
      <c r="C307" s="231"/>
      <c r="D307" s="231"/>
      <c r="E307" s="231"/>
      <c r="F307" s="231"/>
    </row>
    <row r="308" spans="1:6">
      <c r="A308" s="231"/>
      <c r="B308" s="231"/>
      <c r="C308" s="231"/>
      <c r="D308" s="231"/>
      <c r="E308" s="231"/>
      <c r="F308" s="231"/>
    </row>
    <row r="309" spans="1:6">
      <c r="A309" s="231"/>
      <c r="B309" s="231"/>
      <c r="C309" s="231"/>
      <c r="D309" s="231"/>
      <c r="E309" s="231"/>
      <c r="F309" s="231"/>
    </row>
    <row r="310" spans="1:6">
      <c r="A310" s="231"/>
      <c r="B310" s="231"/>
      <c r="C310" s="231"/>
      <c r="D310" s="231"/>
      <c r="E310" s="231"/>
      <c r="F310" s="231"/>
    </row>
    <row r="311" spans="1:6">
      <c r="A311" s="231"/>
      <c r="B311" s="231"/>
      <c r="C311" s="231"/>
      <c r="D311" s="231"/>
      <c r="E311" s="231"/>
      <c r="F311" s="231"/>
    </row>
    <row r="312" spans="1:6">
      <c r="A312" s="231"/>
      <c r="B312" s="231"/>
      <c r="C312" s="231"/>
      <c r="D312" s="231"/>
      <c r="E312" s="231"/>
      <c r="F312" s="231"/>
    </row>
    <row r="313" spans="1:6">
      <c r="A313" s="231"/>
      <c r="B313" s="231"/>
      <c r="C313" s="231"/>
      <c r="D313" s="231"/>
      <c r="E313" s="231"/>
      <c r="F313" s="231"/>
    </row>
    <row r="314" spans="1:6">
      <c r="A314" s="231"/>
      <c r="B314" s="231"/>
      <c r="C314" s="231"/>
      <c r="D314" s="231"/>
      <c r="E314" s="231"/>
      <c r="F314" s="231"/>
    </row>
    <row r="315" spans="1:6">
      <c r="A315" s="231"/>
      <c r="B315" s="231"/>
      <c r="C315" s="231"/>
      <c r="D315" s="231"/>
      <c r="E315" s="231"/>
      <c r="F315" s="231"/>
    </row>
    <row r="316" spans="1:6">
      <c r="A316" s="2"/>
    </row>
    <row r="317" spans="1:6">
      <c r="A317" s="2"/>
    </row>
    <row r="318" spans="1:6">
      <c r="A318" s="2"/>
    </row>
    <row r="319" spans="1:6">
      <c r="A319" s="2"/>
    </row>
    <row r="320" spans="1:6">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row r="761" spans="1:1">
      <c r="A761" s="2"/>
    </row>
    <row r="762" spans="1:1">
      <c r="A762" s="2"/>
    </row>
    <row r="763" spans="1:1">
      <c r="A763" s="2"/>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row r="996" spans="1:1">
      <c r="A996" s="2"/>
    </row>
    <row r="997" spans="1:1">
      <c r="A997" s="2"/>
    </row>
    <row r="998" spans="1:1">
      <c r="A998" s="2"/>
    </row>
    <row r="999" spans="1:1">
      <c r="A999" s="2"/>
    </row>
    <row r="1000" spans="1:1">
      <c r="A1000" s="2"/>
    </row>
    <row r="1001" spans="1:1">
      <c r="A1001" s="2"/>
    </row>
    <row r="1002" spans="1:1">
      <c r="A1002" s="2"/>
    </row>
    <row r="1003" spans="1:1">
      <c r="A1003" s="2"/>
    </row>
    <row r="1004" spans="1:1">
      <c r="A1004" s="2"/>
    </row>
    <row r="1005" spans="1:1">
      <c r="A1005" s="2"/>
    </row>
    <row r="1006" spans="1:1">
      <c r="A1006" s="2"/>
    </row>
    <row r="1007" spans="1:1">
      <c r="A1007" s="2"/>
    </row>
    <row r="1008" spans="1:1">
      <c r="A1008" s="2"/>
    </row>
    <row r="1009" spans="1:1">
      <c r="A1009" s="2"/>
    </row>
    <row r="1010" spans="1:1">
      <c r="A1010" s="2"/>
    </row>
    <row r="1011" spans="1:1">
      <c r="A1011" s="2"/>
    </row>
    <row r="1012" spans="1:1">
      <c r="A1012" s="2"/>
    </row>
    <row r="1013" spans="1:1">
      <c r="A1013" s="2"/>
    </row>
    <row r="1014" spans="1:1">
      <c r="A1014" s="2"/>
    </row>
    <row r="1015" spans="1:1">
      <c r="A1015" s="2"/>
    </row>
    <row r="1016" spans="1:1">
      <c r="A1016" s="2"/>
    </row>
    <row r="1017" spans="1:1">
      <c r="A1017" s="2"/>
    </row>
    <row r="1018" spans="1:1">
      <c r="A1018" s="2"/>
    </row>
    <row r="1019" spans="1:1">
      <c r="A1019" s="2"/>
    </row>
    <row r="1020" spans="1:1">
      <c r="A1020" s="2"/>
    </row>
    <row r="1021" spans="1:1">
      <c r="A1021" s="2"/>
    </row>
    <row r="1022" spans="1:1">
      <c r="A1022" s="2"/>
    </row>
    <row r="1023" spans="1:1">
      <c r="A1023" s="2"/>
    </row>
    <row r="1024" spans="1:1">
      <c r="A1024" s="2"/>
    </row>
    <row r="1025" spans="1:1">
      <c r="A1025" s="2"/>
    </row>
    <row r="1026" spans="1:1">
      <c r="A1026" s="2"/>
    </row>
    <row r="1027" spans="1:1">
      <c r="A1027" s="2"/>
    </row>
    <row r="1028" spans="1:1">
      <c r="A1028" s="2"/>
    </row>
    <row r="1029" spans="1:1">
      <c r="A1029" s="2"/>
    </row>
    <row r="1030" spans="1:1">
      <c r="A1030" s="2"/>
    </row>
    <row r="1031" spans="1:1">
      <c r="A1031" s="2"/>
    </row>
    <row r="1032" spans="1:1">
      <c r="A1032" s="2"/>
    </row>
    <row r="1033" spans="1:1">
      <c r="A1033" s="2"/>
    </row>
    <row r="1034" spans="1:1">
      <c r="A1034" s="2"/>
    </row>
    <row r="1035" spans="1:1">
      <c r="A1035" s="2"/>
    </row>
    <row r="1036" spans="1:1">
      <c r="A1036" s="2"/>
    </row>
    <row r="1037" spans="1:1">
      <c r="A1037" s="2"/>
    </row>
    <row r="1038" spans="1:1">
      <c r="A1038" s="2"/>
    </row>
    <row r="1039" spans="1:1">
      <c r="A1039" s="2"/>
    </row>
    <row r="1040" spans="1:1">
      <c r="A1040" s="2"/>
    </row>
    <row r="1041" spans="1:1">
      <c r="A1041" s="2"/>
    </row>
    <row r="1042" spans="1:1">
      <c r="A1042" s="2"/>
    </row>
    <row r="1043" spans="1:1">
      <c r="A1043" s="2"/>
    </row>
    <row r="1044" spans="1:1">
      <c r="A1044" s="2"/>
    </row>
    <row r="1045" spans="1:1">
      <c r="A1045" s="2"/>
    </row>
    <row r="1046" spans="1:1">
      <c r="A1046" s="2"/>
    </row>
    <row r="1047" spans="1:1">
      <c r="A1047" s="2"/>
    </row>
    <row r="1048" spans="1:1">
      <c r="A1048" s="2"/>
    </row>
    <row r="1049" spans="1:1">
      <c r="A1049" s="2"/>
    </row>
    <row r="1050" spans="1:1">
      <c r="A1050" s="2"/>
    </row>
    <row r="1051" spans="1:1">
      <c r="A1051" s="2"/>
    </row>
    <row r="1052" spans="1:1">
      <c r="A1052" s="2"/>
    </row>
    <row r="1053" spans="1:1">
      <c r="A1053" s="2"/>
    </row>
    <row r="1054" spans="1:1">
      <c r="A1054" s="2"/>
    </row>
    <row r="1055" spans="1:1">
      <c r="A1055" s="2"/>
    </row>
    <row r="1056" spans="1:1">
      <c r="A1056" s="2"/>
    </row>
    <row r="1057" spans="1:1">
      <c r="A1057" s="2"/>
    </row>
    <row r="1058" spans="1:1">
      <c r="A1058" s="2"/>
    </row>
    <row r="1059" spans="1:1">
      <c r="A1059" s="2"/>
    </row>
    <row r="1060" spans="1:1">
      <c r="A1060" s="2"/>
    </row>
    <row r="1061" spans="1:1">
      <c r="A1061" s="2"/>
    </row>
    <row r="1062" spans="1:1">
      <c r="A1062" s="2"/>
    </row>
    <row r="1063" spans="1:1">
      <c r="A1063" s="2"/>
    </row>
    <row r="1064" spans="1:1">
      <c r="A1064" s="2"/>
    </row>
    <row r="1065" spans="1:1">
      <c r="A1065" s="2"/>
    </row>
    <row r="1066" spans="1:1">
      <c r="A1066" s="2"/>
    </row>
    <row r="1067" spans="1:1">
      <c r="A1067" s="2"/>
    </row>
    <row r="1068" spans="1:1">
      <c r="A1068" s="2"/>
    </row>
    <row r="1069" spans="1:1">
      <c r="A1069" s="2"/>
    </row>
    <row r="1070" spans="1:1">
      <c r="A1070" s="2"/>
    </row>
    <row r="1071" spans="1:1">
      <c r="A1071" s="2"/>
    </row>
    <row r="1072" spans="1:1">
      <c r="A1072" s="2"/>
    </row>
    <row r="1073" spans="1:1">
      <c r="A1073" s="2"/>
    </row>
    <row r="1074" spans="1:1">
      <c r="A1074" s="2"/>
    </row>
    <row r="1075" spans="1:1">
      <c r="A1075" s="2"/>
    </row>
    <row r="1076" spans="1:1">
      <c r="A1076" s="2"/>
    </row>
    <row r="1077" spans="1:1">
      <c r="A1077" s="2"/>
    </row>
    <row r="1078" spans="1:1">
      <c r="A1078" s="2"/>
    </row>
    <row r="1079" spans="1:1">
      <c r="A1079" s="2"/>
    </row>
    <row r="1080" spans="1:1">
      <c r="A1080" s="2"/>
    </row>
    <row r="1081" spans="1:1">
      <c r="A1081" s="2"/>
    </row>
    <row r="1082" spans="1:1">
      <c r="A1082" s="2"/>
    </row>
    <row r="1083" spans="1:1">
      <c r="A1083" s="2"/>
    </row>
    <row r="1084" spans="1:1">
      <c r="A1084" s="2"/>
    </row>
    <row r="1085" spans="1:1">
      <c r="A1085" s="2"/>
    </row>
    <row r="1086" spans="1:1">
      <c r="A1086" s="2"/>
    </row>
    <row r="1087" spans="1:1">
      <c r="A1087" s="2"/>
    </row>
    <row r="1088" spans="1:1">
      <c r="A1088" s="2"/>
    </row>
    <row r="1089" spans="1:1">
      <c r="A1089" s="2"/>
    </row>
    <row r="1090" spans="1:1">
      <c r="A1090" s="2"/>
    </row>
    <row r="1091" spans="1:1">
      <c r="A1091" s="2"/>
    </row>
    <row r="1092" spans="1:1">
      <c r="A1092" s="2"/>
    </row>
    <row r="1093" spans="1:1">
      <c r="A1093" s="2"/>
    </row>
    <row r="1094" spans="1:1">
      <c r="A1094" s="2"/>
    </row>
    <row r="1095" spans="1:1">
      <c r="A1095" s="2"/>
    </row>
    <row r="1096" spans="1:1">
      <c r="A1096" s="2"/>
    </row>
    <row r="1097" spans="1:1">
      <c r="A1097" s="2"/>
    </row>
    <row r="1098" spans="1:1">
      <c r="A1098" s="2"/>
    </row>
    <row r="1099" spans="1:1">
      <c r="A1099" s="2"/>
    </row>
    <row r="1100" spans="1:1">
      <c r="A1100" s="2"/>
    </row>
    <row r="1101" spans="1:1">
      <c r="A1101" s="2"/>
    </row>
    <row r="1102" spans="1:1">
      <c r="A1102" s="2"/>
    </row>
    <row r="1103" spans="1:1">
      <c r="A1103" s="2"/>
    </row>
    <row r="1104" spans="1:1">
      <c r="A1104" s="2"/>
    </row>
    <row r="1105" spans="1:1">
      <c r="A1105" s="2"/>
    </row>
    <row r="1106" spans="1:1">
      <c r="A1106" s="2"/>
    </row>
    <row r="1107" spans="1:1">
      <c r="A1107" s="2"/>
    </row>
    <row r="1108" spans="1:1">
      <c r="A1108" s="2"/>
    </row>
    <row r="1109" spans="1:1">
      <c r="A1109" s="2"/>
    </row>
    <row r="1110" spans="1:1">
      <c r="A1110" s="2"/>
    </row>
    <row r="1111" spans="1:1">
      <c r="A1111" s="2"/>
    </row>
    <row r="1112" spans="1:1">
      <c r="A1112" s="2"/>
    </row>
    <row r="1113" spans="1:1">
      <c r="A1113" s="2"/>
    </row>
    <row r="1114" spans="1:1">
      <c r="A1114" s="2"/>
    </row>
    <row r="1115" spans="1:1">
      <c r="A1115" s="2"/>
    </row>
    <row r="1116" spans="1:1">
      <c r="A1116" s="2"/>
    </row>
    <row r="1117" spans="1:1">
      <c r="A1117" s="2"/>
    </row>
    <row r="1118" spans="1:1">
      <c r="A1118" s="2"/>
    </row>
    <row r="1119" spans="1:1">
      <c r="A1119" s="2"/>
    </row>
    <row r="1120" spans="1:1">
      <c r="A1120" s="2"/>
    </row>
    <row r="1121" spans="1:1">
      <c r="A1121" s="2"/>
    </row>
    <row r="1122" spans="1:1">
      <c r="A1122" s="2"/>
    </row>
    <row r="1123" spans="1:1">
      <c r="A1123" s="2"/>
    </row>
    <row r="1124" spans="1:1">
      <c r="A1124" s="2"/>
    </row>
    <row r="1125" spans="1:1">
      <c r="A1125" s="2"/>
    </row>
    <row r="1126" spans="1:1">
      <c r="A1126" s="2"/>
    </row>
    <row r="1127" spans="1:1">
      <c r="A1127" s="2"/>
    </row>
    <row r="1128" spans="1:1">
      <c r="A1128" s="2"/>
    </row>
    <row r="1129" spans="1:1">
      <c r="A1129" s="2"/>
    </row>
    <row r="1130" spans="1:1">
      <c r="A1130" s="2"/>
    </row>
    <row r="1131" spans="1:1">
      <c r="A1131" s="2"/>
    </row>
    <row r="1132" spans="1:1">
      <c r="A1132" s="2"/>
    </row>
    <row r="1133" spans="1:1">
      <c r="A1133" s="2"/>
    </row>
    <row r="1134" spans="1:1">
      <c r="A1134" s="2"/>
    </row>
    <row r="1135" spans="1:1">
      <c r="A1135" s="2"/>
    </row>
    <row r="1136" spans="1:1">
      <c r="A1136" s="2"/>
    </row>
    <row r="1137" spans="1:1">
      <c r="A1137" s="2"/>
    </row>
    <row r="1138" spans="1:1">
      <c r="A1138" s="2"/>
    </row>
    <row r="1139" spans="1:1">
      <c r="A1139" s="2"/>
    </row>
    <row r="1140" spans="1:1">
      <c r="A1140" s="2"/>
    </row>
    <row r="1141" spans="1:1">
      <c r="A1141" s="2"/>
    </row>
    <row r="1142" spans="1:1">
      <c r="A1142" s="2"/>
    </row>
    <row r="1143" spans="1:1">
      <c r="A1143" s="2"/>
    </row>
    <row r="1144" spans="1:1">
      <c r="A1144" s="2"/>
    </row>
    <row r="1145" spans="1:1">
      <c r="A1145" s="2"/>
    </row>
    <row r="1146" spans="1:1">
      <c r="A1146" s="2"/>
    </row>
    <row r="1147" spans="1:1">
      <c r="A1147" s="2"/>
    </row>
    <row r="1148" spans="1:1">
      <c r="A1148" s="2"/>
    </row>
    <row r="1149" spans="1:1">
      <c r="A1149" s="2"/>
    </row>
    <row r="1150" spans="1:1">
      <c r="A1150" s="2"/>
    </row>
    <row r="1151" spans="1:1">
      <c r="A1151" s="2"/>
    </row>
    <row r="1152" spans="1:1">
      <c r="A1152" s="2"/>
    </row>
    <row r="1153" spans="1:1">
      <c r="A1153" s="2"/>
    </row>
    <row r="1154" spans="1:1">
      <c r="A1154" s="2"/>
    </row>
    <row r="1155" spans="1:1">
      <c r="A1155" s="2"/>
    </row>
    <row r="1156" spans="1:1">
      <c r="A1156" s="2"/>
    </row>
    <row r="1157" spans="1:1">
      <c r="A1157" s="2"/>
    </row>
    <row r="1158" spans="1:1">
      <c r="A1158" s="2"/>
    </row>
    <row r="1159" spans="1:1">
      <c r="A1159" s="2"/>
    </row>
    <row r="1160" spans="1:1">
      <c r="A1160" s="2"/>
    </row>
    <row r="1161" spans="1:1">
      <c r="A1161" s="2"/>
    </row>
    <row r="1162" spans="1:1">
      <c r="A1162" s="2"/>
    </row>
    <row r="1163" spans="1:1">
      <c r="A1163" s="2"/>
    </row>
    <row r="1164" spans="1:1">
      <c r="A1164" s="2"/>
    </row>
    <row r="1165" spans="1:1">
      <c r="A1165" s="2"/>
    </row>
    <row r="1166" spans="1:1">
      <c r="A1166" s="2"/>
    </row>
    <row r="1167" spans="1:1">
      <c r="A1167" s="2"/>
    </row>
    <row r="1168" spans="1:1">
      <c r="A1168" s="2"/>
    </row>
    <row r="1169" spans="1:1">
      <c r="A1169" s="2"/>
    </row>
    <row r="1170" spans="1:1">
      <c r="A1170" s="2"/>
    </row>
    <row r="1171" spans="1:1">
      <c r="A1171" s="2"/>
    </row>
    <row r="1172" spans="1:1">
      <c r="A1172" s="2"/>
    </row>
    <row r="1173" spans="1:1">
      <c r="A1173" s="2"/>
    </row>
    <row r="1174" spans="1:1">
      <c r="A1174" s="2"/>
    </row>
    <row r="1175" spans="1:1">
      <c r="A1175" s="2"/>
    </row>
    <row r="1176" spans="1:1">
      <c r="A1176" s="2"/>
    </row>
    <row r="1177" spans="1:1">
      <c r="A1177" s="2"/>
    </row>
    <row r="1178" spans="1:1">
      <c r="A1178" s="2"/>
    </row>
    <row r="1179" spans="1:1">
      <c r="A1179" s="2"/>
    </row>
    <row r="1180" spans="1:1">
      <c r="A1180" s="2"/>
    </row>
    <row r="1181" spans="1:1">
      <c r="A1181" s="2"/>
    </row>
    <row r="1182" spans="1:1">
      <c r="A1182" s="2"/>
    </row>
    <row r="1183" spans="1:1">
      <c r="A1183" s="2"/>
    </row>
    <row r="1184" spans="1:1">
      <c r="A1184" s="2"/>
    </row>
    <row r="1185" spans="1:1">
      <c r="A1185" s="2"/>
    </row>
    <row r="1186" spans="1:1">
      <c r="A1186" s="2"/>
    </row>
    <row r="1187" spans="1:1">
      <c r="A1187" s="2"/>
    </row>
    <row r="1188" spans="1:1">
      <c r="A1188" s="2"/>
    </row>
    <row r="1189" spans="1:1">
      <c r="A1189" s="2"/>
    </row>
    <row r="1190" spans="1:1">
      <c r="A1190" s="2"/>
    </row>
    <row r="1191" spans="1:1">
      <c r="A1191" s="2"/>
    </row>
    <row r="1192" spans="1:1">
      <c r="A1192" s="2"/>
    </row>
    <row r="1193" spans="1:1">
      <c r="A1193" s="2"/>
    </row>
    <row r="1194" spans="1:1">
      <c r="A1194" s="2"/>
    </row>
    <row r="1195" spans="1:1">
      <c r="A1195" s="2"/>
    </row>
    <row r="1196" spans="1:1">
      <c r="A1196" s="2"/>
    </row>
    <row r="1197" spans="1:1">
      <c r="A1197" s="2"/>
    </row>
    <row r="1198" spans="1:1">
      <c r="A1198" s="2"/>
    </row>
    <row r="1199" spans="1:1">
      <c r="A1199" s="2"/>
    </row>
    <row r="1200" spans="1:1">
      <c r="A1200" s="2"/>
    </row>
    <row r="1201" spans="1:1">
      <c r="A1201" s="2"/>
    </row>
    <row r="1202" spans="1:1">
      <c r="A1202" s="2"/>
    </row>
    <row r="1203" spans="1:1">
      <c r="A1203" s="2"/>
    </row>
    <row r="1204" spans="1:1">
      <c r="A1204" s="2"/>
    </row>
    <row r="1205" spans="1:1">
      <c r="A1205" s="2"/>
    </row>
    <row r="1206" spans="1:1">
      <c r="A1206" s="2"/>
    </row>
    <row r="1207" spans="1:1">
      <c r="A1207" s="2"/>
    </row>
    <row r="1208" spans="1:1">
      <c r="A1208" s="2"/>
    </row>
    <row r="1209" spans="1:1">
      <c r="A1209" s="2"/>
    </row>
    <row r="1210" spans="1:1">
      <c r="A1210" s="2"/>
    </row>
    <row r="1211" spans="1:1">
      <c r="A1211" s="2"/>
    </row>
    <row r="1212" spans="1:1">
      <c r="A1212" s="2"/>
    </row>
    <row r="1213" spans="1:1">
      <c r="A1213" s="2"/>
    </row>
    <row r="1214" spans="1:1">
      <c r="A1214" s="2"/>
    </row>
    <row r="1215" spans="1:1">
      <c r="A1215" s="2"/>
    </row>
    <row r="1216" spans="1:1">
      <c r="A1216" s="2"/>
    </row>
    <row r="1217" spans="1:1">
      <c r="A1217" s="2"/>
    </row>
    <row r="1218" spans="1:1">
      <c r="A1218" s="2"/>
    </row>
    <row r="1219" spans="1:1">
      <c r="A1219" s="2"/>
    </row>
    <row r="1220" spans="1:1">
      <c r="A1220" s="2"/>
    </row>
    <row r="1221" spans="1:1">
      <c r="A1221" s="2"/>
    </row>
    <row r="1222" spans="1:1">
      <c r="A1222" s="2"/>
    </row>
    <row r="1223" spans="1:1">
      <c r="A1223" s="2"/>
    </row>
    <row r="1224" spans="1:1">
      <c r="A1224" s="2"/>
    </row>
    <row r="1225" spans="1:1">
      <c r="A1225" s="2"/>
    </row>
    <row r="1226" spans="1:1">
      <c r="A1226" s="2"/>
    </row>
    <row r="1227" spans="1:1">
      <c r="A1227" s="2"/>
    </row>
    <row r="1228" spans="1:1">
      <c r="A1228" s="2"/>
    </row>
    <row r="1229" spans="1:1">
      <c r="A1229" s="2"/>
    </row>
    <row r="1230" spans="1:1">
      <c r="A1230" s="2"/>
    </row>
    <row r="1231" spans="1:1">
      <c r="A1231" s="2"/>
    </row>
    <row r="1232" spans="1:1">
      <c r="A1232" s="2"/>
    </row>
    <row r="1233" spans="1:1">
      <c r="A1233" s="2"/>
    </row>
    <row r="1234" spans="1:1">
      <c r="A1234" s="2"/>
    </row>
    <row r="1235" spans="1:1">
      <c r="A1235" s="2"/>
    </row>
    <row r="1236" spans="1:1">
      <c r="A1236" s="2"/>
    </row>
    <row r="1237" spans="1:1">
      <c r="A1237" s="2"/>
    </row>
    <row r="1238" spans="1:1">
      <c r="A1238" s="2"/>
    </row>
    <row r="1239" spans="1:1">
      <c r="A1239" s="2"/>
    </row>
    <row r="1240" spans="1:1">
      <c r="A1240" s="2"/>
    </row>
    <row r="1241" spans="1:1">
      <c r="A1241" s="2"/>
    </row>
    <row r="1242" spans="1:1">
      <c r="A1242" s="2"/>
    </row>
    <row r="1243" spans="1:1">
      <c r="A1243" s="2"/>
    </row>
    <row r="1244" spans="1:1">
      <c r="A1244" s="2"/>
    </row>
    <row r="1245" spans="1:1">
      <c r="A1245" s="2"/>
    </row>
    <row r="1246" spans="1:1">
      <c r="A1246" s="2"/>
    </row>
    <row r="1247" spans="1:1">
      <c r="A1247" s="2"/>
    </row>
    <row r="1248" spans="1:1">
      <c r="A1248" s="2"/>
    </row>
    <row r="1249" spans="1:1">
      <c r="A1249" s="2"/>
    </row>
    <row r="1250" spans="1:1">
      <c r="A1250" s="2"/>
    </row>
    <row r="1251" spans="1:1">
      <c r="A1251" s="2"/>
    </row>
    <row r="1252" spans="1:1">
      <c r="A1252" s="2"/>
    </row>
    <row r="1253" spans="1:1">
      <c r="A1253" s="2"/>
    </row>
    <row r="1254" spans="1:1">
      <c r="A1254" s="2"/>
    </row>
    <row r="1255" spans="1:1">
      <c r="A1255" s="2"/>
    </row>
    <row r="1256" spans="1:1">
      <c r="A1256" s="2"/>
    </row>
    <row r="1257" spans="1:1">
      <c r="A1257" s="2"/>
    </row>
    <row r="1258" spans="1:1">
      <c r="A1258" s="2"/>
    </row>
    <row r="1259" spans="1:1">
      <c r="A1259" s="2"/>
    </row>
    <row r="1260" spans="1:1">
      <c r="A1260" s="2"/>
    </row>
    <row r="1261" spans="1:1">
      <c r="A1261" s="2"/>
    </row>
    <row r="1262" spans="1:1">
      <c r="A1262" s="2"/>
    </row>
    <row r="1263" spans="1:1">
      <c r="A1263" s="2"/>
    </row>
    <row r="1264" spans="1:1">
      <c r="A1264" s="2"/>
    </row>
    <row r="1265" spans="1:1">
      <c r="A1265" s="2"/>
    </row>
    <row r="1266" spans="1:1">
      <c r="A1266" s="2"/>
    </row>
    <row r="1267" spans="1:1">
      <c r="A1267" s="2"/>
    </row>
    <row r="1268" spans="1:1">
      <c r="A1268" s="2"/>
    </row>
    <row r="1269" spans="1:1">
      <c r="A1269" s="2"/>
    </row>
    <row r="1270" spans="1:1">
      <c r="A1270" s="2"/>
    </row>
    <row r="1271" spans="1:1">
      <c r="A1271" s="2"/>
    </row>
    <row r="1272" spans="1:1">
      <c r="A1272" s="2"/>
    </row>
    <row r="1273" spans="1:1">
      <c r="A1273" s="2"/>
    </row>
    <row r="1274" spans="1:1">
      <c r="A1274" s="2"/>
    </row>
    <row r="1275" spans="1:1">
      <c r="A1275" s="2"/>
    </row>
    <row r="1276" spans="1:1">
      <c r="A1276" s="2"/>
    </row>
    <row r="1277" spans="1:1">
      <c r="A1277" s="2"/>
    </row>
    <row r="1278" spans="1:1">
      <c r="A1278" s="2"/>
    </row>
    <row r="1279" spans="1:1">
      <c r="A1279" s="2"/>
    </row>
    <row r="1280" spans="1:1">
      <c r="A1280" s="2"/>
    </row>
    <row r="1281" spans="1:1">
      <c r="A1281" s="2"/>
    </row>
    <row r="1282" spans="1:1">
      <c r="A1282" s="2"/>
    </row>
    <row r="1283" spans="1:1">
      <c r="A1283" s="2"/>
    </row>
    <row r="1284" spans="1:1">
      <c r="A1284" s="2"/>
    </row>
    <row r="1285" spans="1:1">
      <c r="A1285" s="2"/>
    </row>
    <row r="1286" spans="1:1">
      <c r="A1286" s="2"/>
    </row>
    <row r="1287" spans="1:1">
      <c r="A1287" s="2"/>
    </row>
    <row r="1288" spans="1:1">
      <c r="A1288" s="2"/>
    </row>
    <row r="1289" spans="1:1">
      <c r="A1289" s="2"/>
    </row>
    <row r="1290" spans="1:1">
      <c r="A1290" s="2"/>
    </row>
    <row r="1291" spans="1:1">
      <c r="A1291" s="2"/>
    </row>
    <row r="1292" spans="1:1">
      <c r="A1292" s="2"/>
    </row>
    <row r="1293" spans="1:1">
      <c r="A1293" s="2"/>
    </row>
    <row r="1294" spans="1:1">
      <c r="A1294" s="2"/>
    </row>
    <row r="1295" spans="1:1">
      <c r="A1295" s="2"/>
    </row>
    <row r="1296" spans="1:1">
      <c r="A1296" s="2"/>
    </row>
    <row r="1297" spans="1:1">
      <c r="A1297" s="2"/>
    </row>
    <row r="1298" spans="1:1">
      <c r="A1298" s="2"/>
    </row>
    <row r="1299" spans="1:1">
      <c r="A1299" s="2"/>
    </row>
    <row r="1300" spans="1:1">
      <c r="A1300" s="2"/>
    </row>
    <row r="1301" spans="1:1">
      <c r="A1301" s="2"/>
    </row>
    <row r="1302" spans="1:1">
      <c r="A1302" s="2"/>
    </row>
    <row r="1303" spans="1:1">
      <c r="A1303" s="2"/>
    </row>
    <row r="1304" spans="1:1">
      <c r="A1304" s="2"/>
    </row>
    <row r="1305" spans="1:1">
      <c r="A1305" s="2"/>
    </row>
    <row r="1306" spans="1:1">
      <c r="A1306" s="2"/>
    </row>
    <row r="1307" spans="1:1">
      <c r="A1307" s="2"/>
    </row>
    <row r="1308" spans="1:1">
      <c r="A1308" s="2"/>
    </row>
    <row r="1309" spans="1:1">
      <c r="A1309" s="2"/>
    </row>
    <row r="1310" spans="1:1">
      <c r="A1310" s="2"/>
    </row>
    <row r="1311" spans="1:1">
      <c r="A1311" s="2"/>
    </row>
    <row r="1312" spans="1:1">
      <c r="A1312" s="2"/>
    </row>
    <row r="1313" spans="1:1">
      <c r="A1313" s="2"/>
    </row>
    <row r="1314" spans="1:1">
      <c r="A1314" s="2"/>
    </row>
    <row r="1315" spans="1:1">
      <c r="A1315" s="2"/>
    </row>
    <row r="1316" spans="1:1">
      <c r="A1316" s="2"/>
    </row>
    <row r="1317" spans="1:1">
      <c r="A1317" s="2"/>
    </row>
    <row r="1318" spans="1:1">
      <c r="A1318" s="2"/>
    </row>
    <row r="1319" spans="1:1">
      <c r="A1319" s="2"/>
    </row>
    <row r="1320" spans="1:1">
      <c r="A1320" s="2"/>
    </row>
    <row r="1321" spans="1:1">
      <c r="A1321" s="2"/>
    </row>
    <row r="1322" spans="1:1">
      <c r="A1322" s="2"/>
    </row>
    <row r="1323" spans="1:1">
      <c r="A1323" s="2"/>
    </row>
    <row r="1324" spans="1:1">
      <c r="A1324" s="2"/>
    </row>
    <row r="1325" spans="1:1">
      <c r="A1325" s="2"/>
    </row>
    <row r="1326" spans="1:1">
      <c r="A1326" s="2"/>
    </row>
    <row r="1327" spans="1:1">
      <c r="A1327" s="2"/>
    </row>
    <row r="1328" spans="1:1">
      <c r="A1328" s="2"/>
    </row>
    <row r="1329" spans="1:1">
      <c r="A1329" s="2"/>
    </row>
    <row r="1330" spans="1:1">
      <c r="A1330" s="2"/>
    </row>
    <row r="1331" spans="1:1">
      <c r="A1331" s="2"/>
    </row>
    <row r="1332" spans="1:1">
      <c r="A1332" s="2"/>
    </row>
    <row r="1333" spans="1:1">
      <c r="A1333" s="2"/>
    </row>
    <row r="1334" spans="1:1">
      <c r="A1334" s="2"/>
    </row>
    <row r="1335" spans="1:1">
      <c r="A1335" s="2"/>
    </row>
    <row r="1336" spans="1:1">
      <c r="A1336" s="2"/>
    </row>
    <row r="1337" spans="1:1">
      <c r="A1337" s="2"/>
    </row>
    <row r="1338" spans="1:1">
      <c r="A1338" s="2"/>
    </row>
    <row r="1339" spans="1:1">
      <c r="A1339" s="2"/>
    </row>
    <row r="1340" spans="1:1">
      <c r="A1340" s="2"/>
    </row>
    <row r="1341" spans="1:1">
      <c r="A1341" s="2"/>
    </row>
    <row r="1342" spans="1:1">
      <c r="A1342" s="2"/>
    </row>
    <row r="1343" spans="1:1">
      <c r="A1343" s="2"/>
    </row>
    <row r="1344" spans="1:1">
      <c r="A1344" s="2"/>
    </row>
    <row r="1345" spans="1:1">
      <c r="A1345" s="2"/>
    </row>
    <row r="1346" spans="1:1">
      <c r="A1346" s="2"/>
    </row>
    <row r="1347" spans="1:1">
      <c r="A1347" s="2"/>
    </row>
    <row r="1348" spans="1:1">
      <c r="A1348" s="2"/>
    </row>
    <row r="1349" spans="1:1">
      <c r="A1349" s="2"/>
    </row>
    <row r="1350" spans="1:1">
      <c r="A1350" s="2"/>
    </row>
    <row r="1351" spans="1:1">
      <c r="A1351" s="2"/>
    </row>
    <row r="1352" spans="1:1">
      <c r="A1352" s="2"/>
    </row>
    <row r="1353" spans="1:1">
      <c r="A1353" s="2"/>
    </row>
    <row r="1354" spans="1:1">
      <c r="A1354" s="2"/>
    </row>
    <row r="1355" spans="1:1">
      <c r="A1355" s="2"/>
    </row>
    <row r="1356" spans="1:1">
      <c r="A1356" s="2"/>
    </row>
    <row r="1357" spans="1:1">
      <c r="A1357" s="2"/>
    </row>
    <row r="1358" spans="1:1">
      <c r="A1358" s="2"/>
    </row>
    <row r="1359" spans="1:1">
      <c r="A1359" s="2"/>
    </row>
    <row r="1360" spans="1:1">
      <c r="A1360" s="2"/>
    </row>
    <row r="1361" spans="1:1">
      <c r="A1361" s="2"/>
    </row>
    <row r="1362" spans="1:1">
      <c r="A1362" s="2"/>
    </row>
    <row r="1363" spans="1:1">
      <c r="A1363" s="2"/>
    </row>
    <row r="1364" spans="1:1">
      <c r="A1364" s="2"/>
    </row>
    <row r="1365" spans="1:1">
      <c r="A1365" s="2"/>
    </row>
    <row r="1366" spans="1:1">
      <c r="A1366" s="2"/>
    </row>
    <row r="1367" spans="1:1">
      <c r="A1367" s="2"/>
    </row>
    <row r="1368" spans="1:1">
      <c r="A1368" s="2"/>
    </row>
    <row r="1369" spans="1:1">
      <c r="A1369" s="2"/>
    </row>
    <row r="1370" spans="1:1">
      <c r="A1370" s="2"/>
    </row>
    <row r="1371" spans="1:1">
      <c r="A1371" s="2"/>
    </row>
    <row r="1372" spans="1:1">
      <c r="A1372" s="2"/>
    </row>
    <row r="1373" spans="1:1">
      <c r="A1373" s="2"/>
    </row>
    <row r="1374" spans="1:1">
      <c r="A1374" s="2"/>
    </row>
    <row r="1375" spans="1:1">
      <c r="A1375" s="2"/>
    </row>
    <row r="1376" spans="1:1">
      <c r="A1376" s="2"/>
    </row>
    <row r="1377" spans="1:1">
      <c r="A1377" s="2"/>
    </row>
    <row r="1378" spans="1:1">
      <c r="A1378" s="2"/>
    </row>
    <row r="1379" spans="1:1">
      <c r="A1379" s="2"/>
    </row>
    <row r="1380" spans="1:1">
      <c r="A1380" s="2"/>
    </row>
    <row r="1381" spans="1:1">
      <c r="A1381" s="2"/>
    </row>
    <row r="1382" spans="1:1">
      <c r="A1382" s="2"/>
    </row>
    <row r="1383" spans="1:1">
      <c r="A1383" s="2"/>
    </row>
    <row r="1384" spans="1:1">
      <c r="A1384" s="2"/>
    </row>
    <row r="1385" spans="1:1">
      <c r="A1385" s="2"/>
    </row>
    <row r="1386" spans="1:1">
      <c r="A1386" s="2"/>
    </row>
    <row r="1387" spans="1:1">
      <c r="A1387" s="2"/>
    </row>
    <row r="1388" spans="1:1">
      <c r="A1388" s="2"/>
    </row>
    <row r="1389" spans="1:1">
      <c r="A1389" s="2"/>
    </row>
    <row r="1390" spans="1:1">
      <c r="A1390" s="2"/>
    </row>
    <row r="1391" spans="1:1">
      <c r="A1391" s="2"/>
    </row>
    <row r="1392" spans="1:1">
      <c r="A1392" s="2"/>
    </row>
    <row r="1393" spans="1:1">
      <c r="A1393" s="2"/>
    </row>
    <row r="1394" spans="1:1">
      <c r="A1394" s="2"/>
    </row>
    <row r="1395" spans="1:1">
      <c r="A1395" s="2"/>
    </row>
    <row r="1396" spans="1:1">
      <c r="A1396" s="2"/>
    </row>
    <row r="1397" spans="1:1">
      <c r="A1397" s="2"/>
    </row>
    <row r="1398" spans="1:1">
      <c r="A1398" s="2"/>
    </row>
    <row r="1399" spans="1:1">
      <c r="A1399" s="2"/>
    </row>
    <row r="1400" spans="1:1">
      <c r="A1400" s="2"/>
    </row>
    <row r="1401" spans="1:1">
      <c r="A1401" s="2"/>
    </row>
    <row r="1402" spans="1:1">
      <c r="A1402" s="2"/>
    </row>
    <row r="1403" spans="1:1">
      <c r="A1403" s="2"/>
    </row>
    <row r="1404" spans="1:1">
      <c r="A1404" s="2"/>
    </row>
    <row r="1405" spans="1:1">
      <c r="A1405" s="2"/>
    </row>
    <row r="1406" spans="1:1">
      <c r="A1406" s="2"/>
    </row>
    <row r="1407" spans="1:1">
      <c r="A1407" s="2"/>
    </row>
    <row r="1408" spans="1:1">
      <c r="A1408" s="2"/>
    </row>
    <row r="1409" spans="1:1">
      <c r="A1409" s="2"/>
    </row>
    <row r="1410" spans="1:1">
      <c r="A1410" s="2"/>
    </row>
    <row r="1411" spans="1:1">
      <c r="A1411" s="2"/>
    </row>
    <row r="1412" spans="1:1">
      <c r="A1412" s="2"/>
    </row>
    <row r="1413" spans="1:1">
      <c r="A1413" s="2"/>
    </row>
    <row r="1414" spans="1:1">
      <c r="A1414" s="2"/>
    </row>
    <row r="1415" spans="1:1">
      <c r="A1415" s="2"/>
    </row>
    <row r="1416" spans="1:1">
      <c r="A1416" s="2"/>
    </row>
    <row r="1417" spans="1:1">
      <c r="A1417" s="2"/>
    </row>
    <row r="1418" spans="1:1">
      <c r="A1418" s="2"/>
    </row>
    <row r="1419" spans="1:1">
      <c r="A1419" s="2"/>
    </row>
    <row r="1420" spans="1:1">
      <c r="A1420" s="2"/>
    </row>
    <row r="1421" spans="1:1">
      <c r="A1421" s="2"/>
    </row>
    <row r="1422" spans="1:1">
      <c r="A1422" s="2"/>
    </row>
    <row r="1423" spans="1:1">
      <c r="A1423" s="2"/>
    </row>
    <row r="1424" spans="1:1">
      <c r="A1424" s="2"/>
    </row>
    <row r="1425" spans="1:1">
      <c r="A1425" s="2"/>
    </row>
    <row r="1426" spans="1:1">
      <c r="A1426" s="2"/>
    </row>
    <row r="1427" spans="1:1">
      <c r="A1427" s="2"/>
    </row>
    <row r="1428" spans="1:1">
      <c r="A1428" s="2"/>
    </row>
    <row r="1429" spans="1:1">
      <c r="A1429" s="2"/>
    </row>
    <row r="1430" spans="1:1">
      <c r="A1430" s="2"/>
    </row>
    <row r="1431" spans="1:1">
      <c r="A1431" s="2"/>
    </row>
    <row r="1432" spans="1:1">
      <c r="A1432" s="2"/>
    </row>
    <row r="1433" spans="1:1">
      <c r="A1433" s="2"/>
    </row>
    <row r="1434" spans="1:1">
      <c r="A1434" s="2"/>
    </row>
    <row r="1435" spans="1:1">
      <c r="A1435" s="2"/>
    </row>
    <row r="1436" spans="1:1">
      <c r="A1436" s="2"/>
    </row>
    <row r="1437" spans="1:1">
      <c r="A1437" s="2"/>
    </row>
    <row r="1438" spans="1:1">
      <c r="A1438" s="2"/>
    </row>
    <row r="1439" spans="1:1">
      <c r="A1439" s="2"/>
    </row>
    <row r="1440" spans="1:1">
      <c r="A1440" s="2"/>
    </row>
    <row r="1441" spans="1:1">
      <c r="A1441" s="2"/>
    </row>
    <row r="1442" spans="1:1">
      <c r="A1442" s="2"/>
    </row>
    <row r="1443" spans="1:1">
      <c r="A1443" s="2"/>
    </row>
    <row r="1444" spans="1:1">
      <c r="A1444" s="2"/>
    </row>
    <row r="1445" spans="1:1">
      <c r="A1445" s="2"/>
    </row>
    <row r="1446" spans="1:1">
      <c r="A1446" s="2"/>
    </row>
    <row r="1447" spans="1:1">
      <c r="A1447" s="2"/>
    </row>
    <row r="1448" spans="1:1">
      <c r="A1448" s="2"/>
    </row>
    <row r="1449" spans="1:1">
      <c r="A1449" s="2"/>
    </row>
    <row r="1450" spans="1:1">
      <c r="A1450" s="2"/>
    </row>
    <row r="1451" spans="1:1">
      <c r="A1451" s="2"/>
    </row>
    <row r="1452" spans="1:1">
      <c r="A1452" s="2"/>
    </row>
    <row r="1453" spans="1:1">
      <c r="A1453" s="2"/>
    </row>
    <row r="1454" spans="1:1">
      <c r="A1454" s="2"/>
    </row>
    <row r="1455" spans="1:1">
      <c r="A1455" s="2"/>
    </row>
    <row r="1456" spans="1:1">
      <c r="A1456" s="2"/>
    </row>
    <row r="1457" spans="1:1">
      <c r="A1457" s="2"/>
    </row>
    <row r="1458" spans="1:1">
      <c r="A1458" s="2"/>
    </row>
    <row r="1459" spans="1:1">
      <c r="A1459" s="2"/>
    </row>
    <row r="1460" spans="1:1">
      <c r="A1460" s="2"/>
    </row>
    <row r="1461" spans="1:1">
      <c r="A1461" s="2"/>
    </row>
    <row r="1462" spans="1:1">
      <c r="A1462" s="2"/>
    </row>
    <row r="1463" spans="1:1">
      <c r="A1463" s="2"/>
    </row>
    <row r="1464" spans="1:1">
      <c r="A1464" s="2"/>
    </row>
    <row r="1465" spans="1:1">
      <c r="A1465" s="2"/>
    </row>
    <row r="1466" spans="1:1">
      <c r="A1466" s="2"/>
    </row>
    <row r="1467" spans="1:1">
      <c r="A1467" s="2"/>
    </row>
    <row r="1468" spans="1:1">
      <c r="A1468" s="2"/>
    </row>
    <row r="1469" spans="1:1">
      <c r="A1469" s="2"/>
    </row>
    <row r="1470" spans="1:1">
      <c r="A1470" s="2"/>
    </row>
    <row r="1471" spans="1:1">
      <c r="A1471" s="2"/>
    </row>
    <row r="1472" spans="1:1">
      <c r="A1472" s="2"/>
    </row>
    <row r="1473" spans="1:1">
      <c r="A1473" s="2"/>
    </row>
    <row r="1474" spans="1:1">
      <c r="A1474" s="2"/>
    </row>
    <row r="1475" spans="1:1">
      <c r="A1475" s="2"/>
    </row>
    <row r="1476" spans="1:1">
      <c r="A1476" s="2"/>
    </row>
    <row r="1477" spans="1:1">
      <c r="A1477" s="2"/>
    </row>
    <row r="1478" spans="1:1">
      <c r="A1478" s="2"/>
    </row>
    <row r="1479" spans="1:1">
      <c r="A1479" s="2"/>
    </row>
    <row r="1480" spans="1:1">
      <c r="A1480" s="2"/>
    </row>
    <row r="1481" spans="1:1">
      <c r="A1481" s="2"/>
    </row>
    <row r="1482" spans="1:1">
      <c r="A1482" s="2"/>
    </row>
    <row r="1483" spans="1:1">
      <c r="A1483" s="2"/>
    </row>
    <row r="1484" spans="1:1">
      <c r="A1484" s="2"/>
    </row>
    <row r="1485" spans="1:1">
      <c r="A1485" s="2"/>
    </row>
    <row r="1486" spans="1:1">
      <c r="A1486" s="2"/>
    </row>
    <row r="1487" spans="1:1">
      <c r="A1487" s="2"/>
    </row>
    <row r="1488" spans="1:1">
      <c r="A1488" s="2"/>
    </row>
    <row r="1489" spans="1:1">
      <c r="A1489" s="2"/>
    </row>
    <row r="1490" spans="1:1">
      <c r="A1490" s="2"/>
    </row>
    <row r="1491" spans="1:1">
      <c r="A1491" s="2"/>
    </row>
    <row r="1492" spans="1:1">
      <c r="A1492" s="2"/>
    </row>
    <row r="1493" spans="1:1">
      <c r="A1493" s="2"/>
    </row>
    <row r="1494" spans="1:1">
      <c r="A1494" s="2"/>
    </row>
    <row r="1495" spans="1:1">
      <c r="A1495" s="2"/>
    </row>
    <row r="1496" spans="1:1">
      <c r="A1496" s="2"/>
    </row>
    <row r="1497" spans="1:1">
      <c r="A1497" s="2"/>
    </row>
    <row r="1498" spans="1:1">
      <c r="A1498" s="2"/>
    </row>
    <row r="1499" spans="1:1">
      <c r="A1499" s="2"/>
    </row>
    <row r="1500" spans="1:1">
      <c r="A1500" s="2"/>
    </row>
    <row r="1501" spans="1:1">
      <c r="A1501" s="2"/>
    </row>
    <row r="1502" spans="1:1">
      <c r="A1502" s="2"/>
    </row>
    <row r="1503" spans="1:1">
      <c r="A1503" s="2"/>
    </row>
    <row r="1504" spans="1:1">
      <c r="A1504" s="2"/>
    </row>
    <row r="1505" spans="1:1">
      <c r="A1505" s="2"/>
    </row>
    <row r="1506" spans="1:1">
      <c r="A1506" s="2"/>
    </row>
    <row r="1507" spans="1:1">
      <c r="A1507" s="2"/>
    </row>
    <row r="1508" spans="1:1">
      <c r="A1508" s="2"/>
    </row>
    <row r="1509" spans="1:1">
      <c r="A1509" s="2"/>
    </row>
    <row r="1510" spans="1:1">
      <c r="A1510" s="2"/>
    </row>
    <row r="1511" spans="1:1">
      <c r="A1511" s="2"/>
    </row>
    <row r="1512" spans="1:1">
      <c r="A1512" s="2"/>
    </row>
    <row r="1513" spans="1:1">
      <c r="A1513" s="2"/>
    </row>
    <row r="1514" spans="1:1">
      <c r="A1514" s="2"/>
    </row>
    <row r="1515" spans="1:1">
      <c r="A1515" s="2"/>
    </row>
    <row r="1516" spans="1:1">
      <c r="A1516" s="2"/>
    </row>
    <row r="1517" spans="1:1">
      <c r="A1517" s="2"/>
    </row>
    <row r="1518" spans="1:1">
      <c r="A1518" s="2"/>
    </row>
    <row r="1519" spans="1:1">
      <c r="A1519" s="2"/>
    </row>
    <row r="1520" spans="1:1">
      <c r="A1520" s="2"/>
    </row>
    <row r="1521" spans="1:1">
      <c r="A1521" s="2"/>
    </row>
    <row r="1522" spans="1:1">
      <c r="A1522" s="2"/>
    </row>
    <row r="1523" spans="1:1">
      <c r="A1523" s="2"/>
    </row>
    <row r="1524" spans="1:1">
      <c r="A1524" s="2"/>
    </row>
    <row r="1525" spans="1:1">
      <c r="A1525" s="2"/>
    </row>
    <row r="1526" spans="1:1">
      <c r="A1526" s="2"/>
    </row>
    <row r="1527" spans="1:1">
      <c r="A1527" s="2"/>
    </row>
    <row r="1528" spans="1:1">
      <c r="A1528" s="2"/>
    </row>
    <row r="1529" spans="1:1">
      <c r="A1529" s="2"/>
    </row>
    <row r="1530" spans="1:1">
      <c r="A1530" s="2"/>
    </row>
    <row r="1531" spans="1:1">
      <c r="A1531" s="2"/>
    </row>
    <row r="1532" spans="1:1">
      <c r="A1532" s="2"/>
    </row>
    <row r="1533" spans="1:1">
      <c r="A1533" s="2"/>
    </row>
    <row r="1534" spans="1:1">
      <c r="A1534" s="2"/>
    </row>
    <row r="1535" spans="1:1">
      <c r="A1535" s="2"/>
    </row>
    <row r="1536" spans="1:1">
      <c r="A1536" s="2"/>
    </row>
    <row r="1537" spans="1:1">
      <c r="A1537" s="2"/>
    </row>
    <row r="1538" spans="1:1">
      <c r="A1538" s="2"/>
    </row>
    <row r="1539" spans="1:1">
      <c r="A1539" s="2"/>
    </row>
    <row r="1540" spans="1:1">
      <c r="A1540" s="2"/>
    </row>
    <row r="1541" spans="1:1">
      <c r="A1541" s="2"/>
    </row>
    <row r="1542" spans="1:1">
      <c r="A1542" s="2"/>
    </row>
    <row r="1543" spans="1:1">
      <c r="A1543" s="2"/>
    </row>
    <row r="1544" spans="1:1">
      <c r="A1544" s="2"/>
    </row>
    <row r="1545" spans="1:1">
      <c r="A1545" s="2"/>
    </row>
    <row r="1546" spans="1:1">
      <c r="A1546" s="2"/>
    </row>
    <row r="1547" spans="1:1">
      <c r="A1547" s="2"/>
    </row>
    <row r="1548" spans="1:1">
      <c r="A1548" s="2"/>
    </row>
    <row r="1549" spans="1:1">
      <c r="A1549" s="2"/>
    </row>
    <row r="1550" spans="1:1">
      <c r="A1550" s="2"/>
    </row>
    <row r="1551" spans="1:1">
      <c r="A1551" s="2"/>
    </row>
    <row r="1552" spans="1:1">
      <c r="A1552" s="2"/>
    </row>
    <row r="1553" spans="1:1">
      <c r="A1553" s="2"/>
    </row>
    <row r="1554" spans="1:1">
      <c r="A1554" s="2"/>
    </row>
    <row r="1555" spans="1:1">
      <c r="A1555" s="2"/>
    </row>
    <row r="1556" spans="1:1">
      <c r="A1556" s="2"/>
    </row>
    <row r="1557" spans="1:1">
      <c r="A1557" s="2"/>
    </row>
    <row r="1558" spans="1:1">
      <c r="A1558" s="2"/>
    </row>
    <row r="1559" spans="1:1">
      <c r="A1559" s="2"/>
    </row>
    <row r="1560" spans="1:1">
      <c r="A1560" s="2"/>
    </row>
    <row r="1561" spans="1:1">
      <c r="A1561" s="2"/>
    </row>
    <row r="1562" spans="1:1">
      <c r="A1562" s="2"/>
    </row>
    <row r="1563" spans="1:1">
      <c r="A1563" s="2"/>
    </row>
    <row r="1564" spans="1:1">
      <c r="A1564" s="2"/>
    </row>
    <row r="1565" spans="1:1">
      <c r="A1565" s="2"/>
    </row>
    <row r="1566" spans="1:1">
      <c r="A1566" s="2"/>
    </row>
    <row r="1567" spans="1:1">
      <c r="A1567" s="2"/>
    </row>
    <row r="1568" spans="1:1">
      <c r="A1568" s="2"/>
    </row>
    <row r="1569" spans="1:1">
      <c r="A1569" s="2"/>
    </row>
    <row r="1570" spans="1:1">
      <c r="A1570" s="2"/>
    </row>
    <row r="1571" spans="1:1">
      <c r="A1571" s="2"/>
    </row>
    <row r="1572" spans="1:1">
      <c r="A1572" s="2"/>
    </row>
    <row r="1573" spans="1:1">
      <c r="A1573" s="2"/>
    </row>
    <row r="1574" spans="1:1">
      <c r="A1574" s="2"/>
    </row>
    <row r="1575" spans="1:1">
      <c r="A1575" s="2"/>
    </row>
    <row r="1576" spans="1:1">
      <c r="A1576" s="2"/>
    </row>
    <row r="1577" spans="1:1">
      <c r="A1577" s="2"/>
    </row>
    <row r="1578" spans="1:1">
      <c r="A1578" s="2"/>
    </row>
    <row r="1579" spans="1:1">
      <c r="A1579" s="2"/>
    </row>
    <row r="1580" spans="1:1">
      <c r="A1580" s="2"/>
    </row>
    <row r="1581" spans="1:1">
      <c r="A1581" s="2"/>
    </row>
    <row r="1582" spans="1:1">
      <c r="A1582" s="2"/>
    </row>
    <row r="1583" spans="1:1">
      <c r="A1583" s="2"/>
    </row>
    <row r="1584" spans="1:1">
      <c r="A1584" s="2"/>
    </row>
    <row r="1585" spans="1:1">
      <c r="A1585" s="2"/>
    </row>
    <row r="1586" spans="1:1">
      <c r="A1586" s="2"/>
    </row>
    <row r="1587" spans="1:1">
      <c r="A1587" s="2"/>
    </row>
    <row r="1588" spans="1:1">
      <c r="A1588" s="2"/>
    </row>
    <row r="1589" spans="1:1">
      <c r="A1589" s="2"/>
    </row>
    <row r="1590" spans="1:1">
      <c r="A1590" s="2"/>
    </row>
    <row r="1591" spans="1:1">
      <c r="A1591" s="2"/>
    </row>
    <row r="1592" spans="1:1">
      <c r="A1592" s="2"/>
    </row>
    <row r="1593" spans="1:1">
      <c r="A1593" s="2"/>
    </row>
    <row r="1594" spans="1:1">
      <c r="A1594" s="2"/>
    </row>
    <row r="1595" spans="1:1">
      <c r="A1595" s="2"/>
    </row>
    <row r="1596" spans="1:1">
      <c r="A1596" s="2"/>
    </row>
    <row r="1597" spans="1:1">
      <c r="A1597" s="2"/>
    </row>
    <row r="1598" spans="1:1">
      <c r="A1598" s="2"/>
    </row>
    <row r="1599" spans="1:1">
      <c r="A1599" s="2"/>
    </row>
    <row r="1600" spans="1:1">
      <c r="A1600" s="2"/>
    </row>
    <row r="1601" spans="1:1">
      <c r="A1601" s="2"/>
    </row>
    <row r="1602" spans="1:1">
      <c r="A1602" s="2"/>
    </row>
    <row r="1603" spans="1:1">
      <c r="A1603" s="2"/>
    </row>
    <row r="1604" spans="1:1">
      <c r="A1604" s="2"/>
    </row>
    <row r="1605" spans="1:1">
      <c r="A1605" s="2"/>
    </row>
    <row r="1606" spans="1:1">
      <c r="A1606" s="2"/>
    </row>
    <row r="1607" spans="1:1">
      <c r="A1607" s="2"/>
    </row>
    <row r="1608" spans="1:1">
      <c r="A1608" s="2"/>
    </row>
    <row r="1609" spans="1:1">
      <c r="A1609" s="2"/>
    </row>
    <row r="1610" spans="1:1">
      <c r="A1610" s="2"/>
    </row>
    <row r="1611" spans="1:1">
      <c r="A1611" s="2"/>
    </row>
    <row r="1612" spans="1:1">
      <c r="A1612" s="2"/>
    </row>
    <row r="1613" spans="1:1">
      <c r="A1613" s="2"/>
    </row>
    <row r="1614" spans="1:1">
      <c r="A1614" s="2"/>
    </row>
    <row r="1615" spans="1:1">
      <c r="A1615" s="2"/>
    </row>
    <row r="1616" spans="1:1">
      <c r="A1616" s="2"/>
    </row>
    <row r="1617" spans="1:1">
      <c r="A1617" s="2"/>
    </row>
    <row r="1618" spans="1:1">
      <c r="A1618" s="2"/>
    </row>
    <row r="1619" spans="1:1">
      <c r="A1619" s="2"/>
    </row>
    <row r="1620" spans="1:1">
      <c r="A1620" s="2"/>
    </row>
    <row r="1621" spans="1:1">
      <c r="A1621" s="2"/>
    </row>
    <row r="1622" spans="1:1">
      <c r="A1622" s="2"/>
    </row>
    <row r="1623" spans="1:1">
      <c r="A1623" s="2"/>
    </row>
    <row r="1624" spans="1:1">
      <c r="A1624" s="2"/>
    </row>
    <row r="1625" spans="1:1">
      <c r="A1625" s="2"/>
    </row>
    <row r="1626" spans="1:1">
      <c r="A1626" s="2"/>
    </row>
    <row r="1627" spans="1:1">
      <c r="A1627" s="2"/>
    </row>
    <row r="1628" spans="1:1">
      <c r="A1628" s="2"/>
    </row>
    <row r="1629" spans="1:1">
      <c r="A1629" s="2"/>
    </row>
    <row r="1630" spans="1:1">
      <c r="A1630" s="2"/>
    </row>
    <row r="1631" spans="1:1">
      <c r="A1631" s="2"/>
    </row>
    <row r="1632" spans="1:1">
      <c r="A1632" s="2"/>
    </row>
    <row r="1633" spans="1:1">
      <c r="A1633" s="2"/>
    </row>
    <row r="1634" spans="1:1">
      <c r="A1634" s="2"/>
    </row>
    <row r="1635" spans="1:1">
      <c r="A1635" s="2"/>
    </row>
    <row r="1636" spans="1:1">
      <c r="A1636" s="2"/>
    </row>
    <row r="1637" spans="1:1">
      <c r="A1637" s="2"/>
    </row>
    <row r="1638" spans="1:1">
      <c r="A1638" s="2"/>
    </row>
    <row r="1639" spans="1:1">
      <c r="A1639" s="2"/>
    </row>
    <row r="1640" spans="1:1">
      <c r="A1640" s="2"/>
    </row>
    <row r="1641" spans="1:1">
      <c r="A1641" s="2"/>
    </row>
    <row r="1642" spans="1:1">
      <c r="A1642" s="2"/>
    </row>
    <row r="1643" spans="1:1">
      <c r="A1643" s="2"/>
    </row>
    <row r="1644" spans="1:1">
      <c r="A1644" s="2"/>
    </row>
    <row r="1645" spans="1:1">
      <c r="A1645" s="2"/>
    </row>
    <row r="1646" spans="1:1">
      <c r="A1646" s="2"/>
    </row>
    <row r="1647" spans="1:1">
      <c r="A1647" s="2"/>
    </row>
    <row r="1648" spans="1:1">
      <c r="A1648" s="2"/>
    </row>
    <row r="1649" spans="1:1">
      <c r="A1649" s="2"/>
    </row>
    <row r="1650" spans="1:1">
      <c r="A1650" s="2"/>
    </row>
    <row r="1651" spans="1:1">
      <c r="A1651" s="2"/>
    </row>
    <row r="1652" spans="1:1">
      <c r="A1652" s="2"/>
    </row>
    <row r="1653" spans="1:1">
      <c r="A1653" s="2"/>
    </row>
    <row r="1654" spans="1:1">
      <c r="A1654" s="2"/>
    </row>
    <row r="1655" spans="1:1">
      <c r="A1655" s="2"/>
    </row>
    <row r="1656" spans="1:1">
      <c r="A1656" s="2"/>
    </row>
    <row r="1657" spans="1:1">
      <c r="A1657" s="2"/>
    </row>
    <row r="1658" spans="1:1">
      <c r="A1658" s="2"/>
    </row>
    <row r="1659" spans="1:1">
      <c r="A1659" s="2"/>
    </row>
    <row r="1660" spans="1:1">
      <c r="A1660" s="2"/>
    </row>
    <row r="1661" spans="1:1">
      <c r="A1661" s="2"/>
    </row>
    <row r="1662" spans="1:1">
      <c r="A1662" s="2"/>
    </row>
    <row r="1663" spans="1:1">
      <c r="A1663" s="2"/>
    </row>
    <row r="1664" spans="1:1">
      <c r="A1664" s="2"/>
    </row>
    <row r="1665" spans="1:1">
      <c r="A1665" s="2"/>
    </row>
    <row r="1666" spans="1:1">
      <c r="A1666" s="2"/>
    </row>
    <row r="1667" spans="1:1">
      <c r="A1667" s="2"/>
    </row>
    <row r="1668" spans="1:1">
      <c r="A1668" s="2"/>
    </row>
    <row r="1669" spans="1:1">
      <c r="A1669" s="2"/>
    </row>
    <row r="1670" spans="1:1">
      <c r="A1670" s="2"/>
    </row>
    <row r="1671" spans="1:1">
      <c r="A1671" s="2"/>
    </row>
    <row r="1672" spans="1:1">
      <c r="A1672" s="2"/>
    </row>
    <row r="1673" spans="1:1">
      <c r="A1673" s="2"/>
    </row>
    <row r="1674" spans="1:1">
      <c r="A1674" s="2"/>
    </row>
    <row r="1675" spans="1:1">
      <c r="A1675" s="2"/>
    </row>
    <row r="1676" spans="1:1">
      <c r="A1676" s="2"/>
    </row>
    <row r="1677" spans="1:1">
      <c r="A1677" s="2"/>
    </row>
    <row r="1678" spans="1:1">
      <c r="A1678" s="2"/>
    </row>
    <row r="1679" spans="1:1">
      <c r="A1679" s="2"/>
    </row>
    <row r="1680" spans="1:1">
      <c r="A1680" s="2"/>
    </row>
    <row r="1681" spans="1:1">
      <c r="A1681" s="2"/>
    </row>
    <row r="1682" spans="1:1">
      <c r="A1682" s="2"/>
    </row>
    <row r="1683" spans="1:1">
      <c r="A1683" s="2"/>
    </row>
    <row r="1684" spans="1:1">
      <c r="A1684" s="2"/>
    </row>
    <row r="1685" spans="1:1">
      <c r="A1685" s="2"/>
    </row>
    <row r="1686" spans="1:1">
      <c r="A1686" s="2"/>
    </row>
    <row r="1687" spans="1:1">
      <c r="A1687" s="2"/>
    </row>
    <row r="1688" spans="1:1">
      <c r="A1688" s="2"/>
    </row>
    <row r="1689" spans="1:1">
      <c r="A1689" s="2"/>
    </row>
    <row r="1690" spans="1:1">
      <c r="A1690" s="2"/>
    </row>
    <row r="1691" spans="1:1">
      <c r="A1691" s="2"/>
    </row>
    <row r="1692" spans="1:1">
      <c r="A1692" s="2"/>
    </row>
    <row r="1693" spans="1:1">
      <c r="A1693" s="2"/>
    </row>
    <row r="1694" spans="1:1">
      <c r="A1694" s="2"/>
    </row>
    <row r="1695" spans="1:1">
      <c r="A1695" s="2"/>
    </row>
    <row r="1696" spans="1:1">
      <c r="A1696" s="2"/>
    </row>
    <row r="1697" spans="1:1">
      <c r="A1697" s="2"/>
    </row>
    <row r="1698" spans="1:1">
      <c r="A1698" s="2"/>
    </row>
    <row r="1699" spans="1:1">
      <c r="A1699" s="2"/>
    </row>
    <row r="1700" spans="1:1">
      <c r="A1700" s="2"/>
    </row>
    <row r="1701" spans="1:1">
      <c r="A1701" s="2"/>
    </row>
    <row r="1702" spans="1:1">
      <c r="A1702" s="2"/>
    </row>
    <row r="1703" spans="1:1">
      <c r="A1703" s="2"/>
    </row>
    <row r="1704" spans="1:1">
      <c r="A1704" s="2"/>
    </row>
    <row r="1705" spans="1:1">
      <c r="A1705" s="2"/>
    </row>
    <row r="1706" spans="1:1">
      <c r="A1706" s="2"/>
    </row>
    <row r="1707" spans="1:1">
      <c r="A1707" s="2"/>
    </row>
    <row r="1708" spans="1:1">
      <c r="A1708" s="2"/>
    </row>
    <row r="1709" spans="1:1">
      <c r="A1709" s="2"/>
    </row>
    <row r="1710" spans="1:1">
      <c r="A1710" s="2"/>
    </row>
    <row r="1711" spans="1:1">
      <c r="A1711" s="2"/>
    </row>
    <row r="1712" spans="1:1">
      <c r="A1712" s="2"/>
    </row>
    <row r="1713" spans="1:1">
      <c r="A1713" s="2"/>
    </row>
    <row r="1714" spans="1:1">
      <c r="A1714" s="2"/>
    </row>
    <row r="1715" spans="1:1">
      <c r="A1715" s="2"/>
    </row>
    <row r="1716" spans="1:1">
      <c r="A1716" s="2"/>
    </row>
    <row r="1717" spans="1:1">
      <c r="A1717" s="2"/>
    </row>
    <row r="1718" spans="1:1">
      <c r="A1718" s="2"/>
    </row>
    <row r="1719" spans="1:1">
      <c r="A1719" s="2"/>
    </row>
    <row r="1720" spans="1:1">
      <c r="A1720" s="2"/>
    </row>
    <row r="1721" spans="1:1">
      <c r="A1721" s="2"/>
    </row>
    <row r="1722" spans="1:1">
      <c r="A1722" s="2"/>
    </row>
    <row r="1723" spans="1:1">
      <c r="A1723" s="2"/>
    </row>
    <row r="1724" spans="1:1">
      <c r="A1724" s="2"/>
    </row>
    <row r="1725" spans="1:1">
      <c r="A1725" s="2"/>
    </row>
    <row r="1726" spans="1:1">
      <c r="A1726" s="2"/>
    </row>
    <row r="1727" spans="1:1">
      <c r="A1727" s="2"/>
    </row>
    <row r="1728" spans="1:1">
      <c r="A1728" s="2"/>
    </row>
    <row r="1729" spans="1:1">
      <c r="A1729" s="2"/>
    </row>
    <row r="1730" spans="1:1">
      <c r="A1730" s="2"/>
    </row>
    <row r="1731" spans="1:1">
      <c r="A1731" s="2"/>
    </row>
    <row r="1732" spans="1:1">
      <c r="A1732" s="2"/>
    </row>
    <row r="1733" spans="1:1">
      <c r="A1733" s="2"/>
    </row>
    <row r="1734" spans="1:1">
      <c r="A1734" s="2"/>
    </row>
    <row r="1735" spans="1:1">
      <c r="A1735" s="2"/>
    </row>
    <row r="1736" spans="1:1">
      <c r="A1736" s="2"/>
    </row>
    <row r="1737" spans="1:1">
      <c r="A1737" s="2"/>
    </row>
    <row r="1738" spans="1:1">
      <c r="A1738" s="2"/>
    </row>
    <row r="1739" spans="1:1">
      <c r="A1739" s="2"/>
    </row>
    <row r="1740" spans="1:1">
      <c r="A1740" s="2"/>
    </row>
    <row r="1741" spans="1:1">
      <c r="A1741" s="2"/>
    </row>
    <row r="1742" spans="1:1">
      <c r="A1742" s="2"/>
    </row>
    <row r="1743" spans="1:1">
      <c r="A1743" s="2"/>
    </row>
    <row r="1744" spans="1:1">
      <c r="A1744" s="2"/>
    </row>
    <row r="1745" spans="1:1">
      <c r="A1745" s="2"/>
    </row>
    <row r="1746" spans="1:1">
      <c r="A1746" s="2"/>
    </row>
    <row r="1747" spans="1:1">
      <c r="A1747" s="2"/>
    </row>
    <row r="1748" spans="1:1">
      <c r="A1748" s="2"/>
    </row>
    <row r="1749" spans="1:1">
      <c r="A1749" s="2"/>
    </row>
    <row r="1750" spans="1:1">
      <c r="A1750" s="2"/>
    </row>
    <row r="1751" spans="1:1">
      <c r="A1751" s="2"/>
    </row>
    <row r="1752" spans="1:1">
      <c r="A1752" s="2"/>
    </row>
    <row r="1753" spans="1:1">
      <c r="A1753" s="2"/>
    </row>
    <row r="1754" spans="1:1">
      <c r="A1754" s="2"/>
    </row>
    <row r="1755" spans="1:1">
      <c r="A1755" s="2"/>
    </row>
    <row r="1756" spans="1:1">
      <c r="A1756" s="2"/>
    </row>
    <row r="1757" spans="1:1">
      <c r="A1757" s="2"/>
    </row>
    <row r="1758" spans="1:1">
      <c r="A1758" s="2"/>
    </row>
    <row r="1759" spans="1:1">
      <c r="A1759" s="2"/>
    </row>
    <row r="1760" spans="1:1">
      <c r="A1760" s="2"/>
    </row>
    <row r="1761" spans="1:1">
      <c r="A1761" s="2"/>
    </row>
    <row r="1762" spans="1:1">
      <c r="A1762" s="2"/>
    </row>
    <row r="1763" spans="1:1">
      <c r="A1763" s="2"/>
    </row>
    <row r="1764" spans="1:1">
      <c r="A1764" s="2"/>
    </row>
    <row r="1765" spans="1:1">
      <c r="A1765" s="2"/>
    </row>
    <row r="1766" spans="1:1">
      <c r="A1766" s="2"/>
    </row>
    <row r="1767" spans="1:1">
      <c r="A1767" s="2"/>
    </row>
    <row r="1768" spans="1:1">
      <c r="A1768" s="2"/>
    </row>
    <row r="1769" spans="1:1">
      <c r="A1769" s="2"/>
    </row>
    <row r="1770" spans="1:1">
      <c r="A1770" s="2"/>
    </row>
    <row r="1771" spans="1:1">
      <c r="A1771" s="2"/>
    </row>
    <row r="1772" spans="1:1">
      <c r="A1772" s="2"/>
    </row>
    <row r="1773" spans="1:1">
      <c r="A1773" s="2"/>
    </row>
    <row r="1774" spans="1:1">
      <c r="A1774" s="2"/>
    </row>
    <row r="1775" spans="1:1">
      <c r="A1775" s="2"/>
    </row>
    <row r="1776" spans="1:1">
      <c r="A1776" s="2"/>
    </row>
    <row r="1777" spans="1:1">
      <c r="A1777" s="2"/>
    </row>
    <row r="1778" spans="1:1">
      <c r="A1778" s="2"/>
    </row>
    <row r="1779" spans="1:1">
      <c r="A1779" s="2"/>
    </row>
    <row r="1780" spans="1:1">
      <c r="A1780" s="2"/>
    </row>
    <row r="1781" spans="1:1">
      <c r="A1781" s="2"/>
    </row>
    <row r="1782" spans="1:1">
      <c r="A1782" s="2"/>
    </row>
    <row r="1783" spans="1:1">
      <c r="A1783" s="2"/>
    </row>
    <row r="1784" spans="1:1">
      <c r="A1784" s="2"/>
    </row>
    <row r="1785" spans="1:1">
      <c r="A1785" s="2"/>
    </row>
    <row r="1786" spans="1:1">
      <c r="A1786" s="2"/>
    </row>
    <row r="1787" spans="1:1">
      <c r="A1787" s="2"/>
    </row>
    <row r="1788" spans="1:1">
      <c r="A1788" s="2"/>
    </row>
    <row r="1789" spans="1:1">
      <c r="A1789" s="2"/>
    </row>
    <row r="1790" spans="1:1">
      <c r="A1790" s="2"/>
    </row>
    <row r="1791" spans="1:1">
      <c r="A1791" s="2"/>
    </row>
    <row r="1792" spans="1:1">
      <c r="A1792" s="2"/>
    </row>
    <row r="1793" spans="1:1">
      <c r="A1793" s="2"/>
    </row>
    <row r="1794" spans="1:1">
      <c r="A1794" s="2"/>
    </row>
    <row r="1795" spans="1:1">
      <c r="A1795" s="2"/>
    </row>
    <row r="1796" spans="1:1">
      <c r="A1796" s="2"/>
    </row>
    <row r="1797" spans="1:1">
      <c r="A1797" s="2"/>
    </row>
    <row r="1798" spans="1:1">
      <c r="A1798" s="2"/>
    </row>
    <row r="1799" spans="1:1">
      <c r="A1799" s="2"/>
    </row>
    <row r="1800" spans="1:1">
      <c r="A1800" s="2"/>
    </row>
    <row r="1801" spans="1:1">
      <c r="A1801" s="2"/>
    </row>
    <row r="1802" spans="1:1">
      <c r="A1802" s="2"/>
    </row>
    <row r="1803" spans="1:1">
      <c r="A1803" s="2"/>
    </row>
    <row r="1804" spans="1:1">
      <c r="A1804" s="2"/>
    </row>
    <row r="1805" spans="1:1">
      <c r="A1805" s="2"/>
    </row>
    <row r="1806" spans="1:1">
      <c r="A1806" s="2"/>
    </row>
    <row r="1807" spans="1:1">
      <c r="A1807" s="2"/>
    </row>
    <row r="1808" spans="1:1">
      <c r="A1808" s="2"/>
    </row>
    <row r="1809" spans="1:1">
      <c r="A1809" s="2"/>
    </row>
    <row r="1810" spans="1:1">
      <c r="A1810" s="2"/>
    </row>
    <row r="1811" spans="1:1">
      <c r="A1811" s="2"/>
    </row>
    <row r="1812" spans="1:1">
      <c r="A1812" s="2"/>
    </row>
    <row r="1813" spans="1:1">
      <c r="A1813" s="2"/>
    </row>
    <row r="1814" spans="1:1">
      <c r="A1814" s="2"/>
    </row>
    <row r="1815" spans="1:1">
      <c r="A1815" s="2"/>
    </row>
    <row r="1816" spans="1:1">
      <c r="A1816" s="2"/>
    </row>
    <row r="1817" spans="1:1">
      <c r="A1817" s="2"/>
    </row>
    <row r="1818" spans="1:1">
      <c r="A1818" s="2"/>
    </row>
    <row r="1819" spans="1:1">
      <c r="A1819" s="2"/>
    </row>
    <row r="1820" spans="1:1">
      <c r="A1820" s="2"/>
    </row>
    <row r="1821" spans="1:1">
      <c r="A1821" s="2"/>
    </row>
    <row r="1822" spans="1:1">
      <c r="A1822" s="2"/>
    </row>
    <row r="1823" spans="1:1">
      <c r="A1823" s="2"/>
    </row>
    <row r="1824" spans="1:1">
      <c r="A1824" s="2"/>
    </row>
    <row r="1825" spans="1:1">
      <c r="A1825" s="2"/>
    </row>
    <row r="1826" spans="1:1">
      <c r="A1826" s="2"/>
    </row>
    <row r="1827" spans="1:1">
      <c r="A1827" s="2"/>
    </row>
    <row r="1828" spans="1:1">
      <c r="A1828" s="2"/>
    </row>
    <row r="1829" spans="1:1">
      <c r="A1829" s="2"/>
    </row>
    <row r="1830" spans="1:1">
      <c r="A1830" s="2"/>
    </row>
    <row r="1831" spans="1:1">
      <c r="A1831" s="2"/>
    </row>
    <row r="1832" spans="1:1">
      <c r="A1832" s="2"/>
    </row>
    <row r="1833" spans="1:1">
      <c r="A1833" s="2"/>
    </row>
    <row r="1834" spans="1:1">
      <c r="A1834" s="2"/>
    </row>
    <row r="1835" spans="1:1">
      <c r="A1835" s="2"/>
    </row>
    <row r="1836" spans="1:1">
      <c r="A1836" s="2"/>
    </row>
    <row r="1837" spans="1:1">
      <c r="A1837" s="2"/>
    </row>
    <row r="1838" spans="1:1">
      <c r="A1838" s="2"/>
    </row>
    <row r="1839" spans="1:1">
      <c r="A1839" s="2"/>
    </row>
    <row r="1840" spans="1:1">
      <c r="A1840" s="2"/>
    </row>
    <row r="1841" spans="1:1">
      <c r="A1841" s="2"/>
    </row>
    <row r="1842" spans="1:1">
      <c r="A1842" s="2"/>
    </row>
    <row r="1843" spans="1:1">
      <c r="A1843" s="2"/>
    </row>
    <row r="1844" spans="1:1">
      <c r="A1844" s="2"/>
    </row>
    <row r="1845" spans="1:1">
      <c r="A1845" s="2"/>
    </row>
    <row r="1846" spans="1:1">
      <c r="A1846" s="2"/>
    </row>
    <row r="1847" spans="1:1">
      <c r="A1847" s="2"/>
    </row>
    <row r="1848" spans="1:1">
      <c r="A1848" s="2"/>
    </row>
    <row r="1849" spans="1:1">
      <c r="A1849" s="2"/>
    </row>
    <row r="1850" spans="1:1">
      <c r="A1850" s="2"/>
    </row>
    <row r="1851" spans="1:1">
      <c r="A1851" s="2"/>
    </row>
    <row r="1852" spans="1:1">
      <c r="A1852" s="2"/>
    </row>
    <row r="1853" spans="1:1">
      <c r="A1853" s="2"/>
    </row>
    <row r="1854" spans="1:1">
      <c r="A1854" s="2"/>
    </row>
    <row r="1855" spans="1:1">
      <c r="A1855" s="2"/>
    </row>
    <row r="1856" spans="1:1">
      <c r="A1856" s="2"/>
    </row>
    <row r="1857" spans="1:1">
      <c r="A1857" s="2"/>
    </row>
    <row r="1858" spans="1:1">
      <c r="A1858" s="2"/>
    </row>
    <row r="1859" spans="1:1">
      <c r="A1859" s="2"/>
    </row>
    <row r="1860" spans="1:1">
      <c r="A1860" s="2"/>
    </row>
    <row r="1861" spans="1:1">
      <c r="A1861" s="2"/>
    </row>
    <row r="1862" spans="1:1">
      <c r="A1862" s="2"/>
    </row>
    <row r="1863" spans="1:1">
      <c r="A1863" s="2"/>
    </row>
    <row r="1864" spans="1:1">
      <c r="A1864" s="2"/>
    </row>
    <row r="1865" spans="1:1">
      <c r="A1865" s="2"/>
    </row>
    <row r="1866" spans="1:1">
      <c r="A1866" s="2"/>
    </row>
    <row r="1867" spans="1:1">
      <c r="A1867" s="2"/>
    </row>
    <row r="1868" spans="1:1">
      <c r="A1868" s="2"/>
    </row>
    <row r="1869" spans="1:1">
      <c r="A1869" s="2"/>
    </row>
    <row r="1870" spans="1:1">
      <c r="A1870" s="2"/>
    </row>
    <row r="1871" spans="1:1">
      <c r="A1871" s="2"/>
    </row>
    <row r="1872" spans="1:1">
      <c r="A1872" s="2"/>
    </row>
    <row r="1873" spans="1:1">
      <c r="A1873" s="2"/>
    </row>
    <row r="1874" spans="1:1">
      <c r="A1874" s="2"/>
    </row>
    <row r="1875" spans="1:1">
      <c r="A1875" s="2"/>
    </row>
    <row r="1876" spans="1:1">
      <c r="A1876" s="2"/>
    </row>
    <row r="1877" spans="1:1">
      <c r="A1877" s="2"/>
    </row>
    <row r="1878" spans="1:1">
      <c r="A1878" s="2"/>
    </row>
    <row r="1879" spans="1:1">
      <c r="A1879" s="2"/>
    </row>
    <row r="1880" spans="1:1">
      <c r="A1880" s="2"/>
    </row>
    <row r="1881" spans="1:1">
      <c r="A1881" s="2"/>
    </row>
    <row r="1882" spans="1:1">
      <c r="A1882" s="2"/>
    </row>
    <row r="1883" spans="1:1">
      <c r="A1883" s="2"/>
    </row>
    <row r="1884" spans="1:1">
      <c r="A1884" s="2"/>
    </row>
    <row r="1885" spans="1:1">
      <c r="A1885" s="2"/>
    </row>
    <row r="1886" spans="1:1">
      <c r="A1886" s="2"/>
    </row>
    <row r="1887" spans="1:1">
      <c r="A1887" s="2"/>
    </row>
    <row r="1888" spans="1:1">
      <c r="A1888" s="2"/>
    </row>
    <row r="1889" spans="1:1">
      <c r="A1889" s="2"/>
    </row>
    <row r="1890" spans="1:1">
      <c r="A1890" s="2"/>
    </row>
    <row r="1891" spans="1:1">
      <c r="A1891" s="2"/>
    </row>
    <row r="1892" spans="1:1">
      <c r="A1892" s="2"/>
    </row>
    <row r="1893" spans="1:1">
      <c r="A1893" s="2"/>
    </row>
    <row r="1894" spans="1:1">
      <c r="A1894" s="2"/>
    </row>
    <row r="1895" spans="1:1">
      <c r="A1895" s="2"/>
    </row>
    <row r="1896" spans="1:1">
      <c r="A1896" s="2"/>
    </row>
    <row r="1897" spans="1:1">
      <c r="A1897" s="2"/>
    </row>
    <row r="1898" spans="1:1">
      <c r="A1898" s="2"/>
    </row>
    <row r="1899" spans="1:1">
      <c r="A1899" s="2"/>
    </row>
    <row r="1900" spans="1:1">
      <c r="A1900" s="2"/>
    </row>
    <row r="1901" spans="1:1">
      <c r="A1901" s="2"/>
    </row>
    <row r="1902" spans="1:1">
      <c r="A1902" s="2"/>
    </row>
    <row r="1903" spans="1:1">
      <c r="A1903" s="2"/>
    </row>
    <row r="1904" spans="1:1">
      <c r="A1904" s="2"/>
    </row>
    <row r="1905" spans="1:1">
      <c r="A1905" s="2"/>
    </row>
    <row r="1906" spans="1:1">
      <c r="A1906" s="2"/>
    </row>
    <row r="1907" spans="1:1">
      <c r="A1907" s="2"/>
    </row>
    <row r="1908" spans="1:1">
      <c r="A1908" s="2"/>
    </row>
    <row r="1909" spans="1:1">
      <c r="A1909" s="2"/>
    </row>
    <row r="1910" spans="1:1">
      <c r="A1910" s="2"/>
    </row>
    <row r="1911" spans="1:1">
      <c r="A1911" s="2"/>
    </row>
    <row r="1912" spans="1:1">
      <c r="A1912" s="2"/>
    </row>
    <row r="1913" spans="1:1">
      <c r="A1913" s="2"/>
    </row>
    <row r="1914" spans="1:1">
      <c r="A1914" s="2"/>
    </row>
    <row r="1915" spans="1:1">
      <c r="A1915" s="2"/>
    </row>
    <row r="1916" spans="1:1">
      <c r="A1916" s="2"/>
    </row>
    <row r="1917" spans="1:1">
      <c r="A1917" s="2"/>
    </row>
    <row r="1918" spans="1:1">
      <c r="A1918" s="2"/>
    </row>
    <row r="1919" spans="1:1">
      <c r="A1919" s="2"/>
    </row>
    <row r="1920" spans="1:1">
      <c r="A1920" s="2"/>
    </row>
    <row r="1921" spans="1:1">
      <c r="A1921" s="2"/>
    </row>
    <row r="1922" spans="1:1">
      <c r="A1922" s="2"/>
    </row>
    <row r="1923" spans="1:1">
      <c r="A1923" s="2"/>
    </row>
    <row r="1924" spans="1:1">
      <c r="A1924" s="2"/>
    </row>
    <row r="1925" spans="1:1">
      <c r="A1925" s="2"/>
    </row>
    <row r="1926" spans="1:1">
      <c r="A1926" s="2"/>
    </row>
    <row r="1927" spans="1:1">
      <c r="A1927" s="2"/>
    </row>
    <row r="1928" spans="1:1">
      <c r="A1928" s="2"/>
    </row>
    <row r="1929" spans="1:1">
      <c r="A1929" s="2"/>
    </row>
    <row r="1930" spans="1:1">
      <c r="A1930" s="2"/>
    </row>
    <row r="1931" spans="1:1">
      <c r="A1931" s="2"/>
    </row>
    <row r="1932" spans="1:1">
      <c r="A1932" s="2"/>
    </row>
    <row r="1933" spans="1:1">
      <c r="A1933" s="2"/>
    </row>
    <row r="1934" spans="1:1">
      <c r="A1934" s="2"/>
    </row>
    <row r="1935" spans="1:1">
      <c r="A1935" s="2"/>
    </row>
    <row r="1936" spans="1:1">
      <c r="A1936" s="2"/>
    </row>
    <row r="1937" spans="1:1">
      <c r="A1937" s="2"/>
    </row>
    <row r="1938" spans="1:1">
      <c r="A1938" s="2"/>
    </row>
    <row r="1939" spans="1:1">
      <c r="A1939" s="2"/>
    </row>
    <row r="1940" spans="1:1">
      <c r="A1940" s="2"/>
    </row>
    <row r="1941" spans="1:1">
      <c r="A1941" s="2"/>
    </row>
    <row r="1942" spans="1:1">
      <c r="A1942" s="2"/>
    </row>
    <row r="1943" spans="1:1">
      <c r="A1943" s="2"/>
    </row>
    <row r="1944" spans="1:1">
      <c r="A1944" s="2"/>
    </row>
    <row r="1945" spans="1:1">
      <c r="A1945" s="2"/>
    </row>
    <row r="1946" spans="1:1">
      <c r="A1946" s="2"/>
    </row>
    <row r="1947" spans="1:1">
      <c r="A1947" s="2"/>
    </row>
    <row r="1948" spans="1:1">
      <c r="A1948" s="2"/>
    </row>
    <row r="1949" spans="1:1">
      <c r="A1949" s="2"/>
    </row>
    <row r="1950" spans="1:1">
      <c r="A1950" s="2"/>
    </row>
    <row r="1951" spans="1:1">
      <c r="A1951" s="2"/>
    </row>
    <row r="1952" spans="1:1">
      <c r="A1952" s="2"/>
    </row>
    <row r="1953" spans="1:1">
      <c r="A1953" s="2"/>
    </row>
    <row r="1954" spans="1:1">
      <c r="A1954" s="2"/>
    </row>
    <row r="1955" spans="1:1">
      <c r="A1955" s="2"/>
    </row>
    <row r="1956" spans="1:1">
      <c r="A1956" s="2"/>
    </row>
    <row r="1957" spans="1:1">
      <c r="A1957" s="2"/>
    </row>
    <row r="1958" spans="1:1">
      <c r="A1958" s="2"/>
    </row>
    <row r="1959" spans="1:1">
      <c r="A1959" s="2"/>
    </row>
    <row r="1960" spans="1:1">
      <c r="A1960" s="2"/>
    </row>
    <row r="1961" spans="1:1">
      <c r="A1961" s="2"/>
    </row>
    <row r="1962" spans="1:1">
      <c r="A1962" s="2"/>
    </row>
    <row r="1963" spans="1:1">
      <c r="A1963" s="2"/>
    </row>
    <row r="1964" spans="1:1">
      <c r="A1964" s="2"/>
    </row>
    <row r="1965" spans="1:1">
      <c r="A1965" s="2"/>
    </row>
    <row r="1966" spans="1:1">
      <c r="A1966" s="2"/>
    </row>
    <row r="1967" spans="1:1">
      <c r="A1967" s="2"/>
    </row>
    <row r="1968" spans="1:1">
      <c r="A1968" s="2"/>
    </row>
    <row r="1969" spans="1:1">
      <c r="A1969" s="2"/>
    </row>
    <row r="1970" spans="1:1">
      <c r="A1970" s="2"/>
    </row>
    <row r="1971" spans="1:1">
      <c r="A1971" s="2"/>
    </row>
    <row r="1972" spans="1:1">
      <c r="A1972" s="2"/>
    </row>
    <row r="1973" spans="1:1">
      <c r="A1973" s="2"/>
    </row>
    <row r="1974" spans="1:1">
      <c r="A1974" s="2"/>
    </row>
    <row r="1975" spans="1:1">
      <c r="A1975" s="2"/>
    </row>
    <row r="1976" spans="1:1">
      <c r="A1976" s="2"/>
    </row>
    <row r="1977" spans="1:1">
      <c r="A1977" s="2"/>
    </row>
    <row r="1978" spans="1:1">
      <c r="A1978" s="2"/>
    </row>
    <row r="1979" spans="1:1">
      <c r="A1979" s="2"/>
    </row>
    <row r="1980" spans="1:1">
      <c r="A1980" s="2"/>
    </row>
    <row r="1981" spans="1:1">
      <c r="A1981" s="2"/>
    </row>
    <row r="1982" spans="1:1">
      <c r="A1982" s="2"/>
    </row>
    <row r="1983" spans="1:1">
      <c r="A1983" s="2"/>
    </row>
    <row r="1984" spans="1:1">
      <c r="A1984" s="2"/>
    </row>
    <row r="1985" spans="1:1">
      <c r="A1985" s="2"/>
    </row>
    <row r="1986" spans="1:1">
      <c r="A1986" s="2"/>
    </row>
    <row r="1987" spans="1:1">
      <c r="A1987" s="2"/>
    </row>
    <row r="1988" spans="1:1">
      <c r="A1988" s="2"/>
    </row>
    <row r="1989" spans="1:1">
      <c r="A1989" s="2"/>
    </row>
    <row r="1990" spans="1:1">
      <c r="A1990" s="2"/>
    </row>
    <row r="1991" spans="1:1">
      <c r="A1991" s="2"/>
    </row>
    <row r="1992" spans="1:1">
      <c r="A1992" s="2"/>
    </row>
    <row r="1993" spans="1:1">
      <c r="A1993" s="2"/>
    </row>
    <row r="1994" spans="1:1">
      <c r="A1994" s="2"/>
    </row>
    <row r="1995" spans="1:1">
      <c r="A1995" s="2"/>
    </row>
    <row r="1996" spans="1:1">
      <c r="A1996" s="2"/>
    </row>
    <row r="1997" spans="1:1">
      <c r="A1997" s="2"/>
    </row>
    <row r="1998" spans="1:1">
      <c r="A1998" s="2"/>
    </row>
    <row r="1999" spans="1:1">
      <c r="A1999" s="2"/>
    </row>
    <row r="2000" spans="1:1">
      <c r="A2000" s="2"/>
    </row>
    <row r="2001" spans="1:1">
      <c r="A2001" s="2"/>
    </row>
    <row r="2002" spans="1:1">
      <c r="A2002" s="2"/>
    </row>
    <row r="2003" spans="1:1">
      <c r="A2003" s="2"/>
    </row>
    <row r="2004" spans="1:1">
      <c r="A2004" s="2"/>
    </row>
    <row r="2005" spans="1:1">
      <c r="A2005" s="2"/>
    </row>
    <row r="2006" spans="1:1">
      <c r="A2006" s="2"/>
    </row>
    <row r="2007" spans="1:1">
      <c r="A2007" s="2"/>
    </row>
    <row r="2008" spans="1:1">
      <c r="A2008" s="2"/>
    </row>
    <row r="2009" spans="1:1">
      <c r="A2009" s="2"/>
    </row>
    <row r="2010" spans="1:1">
      <c r="A2010" s="2"/>
    </row>
    <row r="2011" spans="1:1">
      <c r="A2011" s="2"/>
    </row>
    <row r="2012" spans="1:1">
      <c r="A2012" s="2"/>
    </row>
    <row r="2013" spans="1:1">
      <c r="A2013" s="2"/>
    </row>
    <row r="2014" spans="1:1">
      <c r="A2014" s="2"/>
    </row>
    <row r="2015" spans="1:1">
      <c r="A2015" s="2"/>
    </row>
    <row r="2016" spans="1:1">
      <c r="A2016" s="2"/>
    </row>
    <row r="2017" spans="1:1">
      <c r="A2017" s="2"/>
    </row>
    <row r="2018" spans="1:1">
      <c r="A2018" s="2"/>
    </row>
    <row r="2019" spans="1:1">
      <c r="A2019" s="2"/>
    </row>
    <row r="2020" spans="1:1">
      <c r="A2020" s="2"/>
    </row>
    <row r="2021" spans="1:1">
      <c r="A2021" s="2"/>
    </row>
    <row r="2022" spans="1:1">
      <c r="A2022" s="2"/>
    </row>
    <row r="2023" spans="1:1">
      <c r="A2023" s="2"/>
    </row>
    <row r="2024" spans="1:1">
      <c r="A2024" s="2"/>
    </row>
    <row r="2025" spans="1:1">
      <c r="A2025" s="2"/>
    </row>
    <row r="2026" spans="1:1">
      <c r="A2026" s="2"/>
    </row>
    <row r="2027" spans="1:1">
      <c r="A2027" s="2"/>
    </row>
    <row r="2028" spans="1:1">
      <c r="A2028" s="2"/>
    </row>
    <row r="2029" spans="1:1">
      <c r="A2029" s="2"/>
    </row>
    <row r="2030" spans="1:1">
      <c r="A2030" s="2"/>
    </row>
    <row r="2031" spans="1:1">
      <c r="A2031" s="2"/>
    </row>
    <row r="2032" spans="1:1">
      <c r="A2032" s="2"/>
    </row>
    <row r="2033" spans="1:1">
      <c r="A2033" s="2"/>
    </row>
    <row r="2034" spans="1:1">
      <c r="A2034" s="2"/>
    </row>
    <row r="2035" spans="1:1">
      <c r="A2035" s="2"/>
    </row>
    <row r="2036" spans="1:1">
      <c r="A2036" s="2"/>
    </row>
    <row r="2037" spans="1:1">
      <c r="A2037" s="2"/>
    </row>
    <row r="2038" spans="1:1">
      <c r="A2038" s="2"/>
    </row>
    <row r="2039" spans="1:1">
      <c r="A2039" s="2"/>
    </row>
    <row r="2040" spans="1:1">
      <c r="A2040" s="2"/>
    </row>
    <row r="2041" spans="1:1">
      <c r="A2041" s="2"/>
    </row>
    <row r="2042" spans="1:1">
      <c r="A2042" s="2"/>
    </row>
    <row r="2043" spans="1:1">
      <c r="A2043" s="2"/>
    </row>
    <row r="2044" spans="1:1">
      <c r="A2044" s="2"/>
    </row>
    <row r="2045" spans="1:1">
      <c r="A2045" s="2"/>
    </row>
    <row r="2046" spans="1:1">
      <c r="A2046" s="2"/>
    </row>
    <row r="2047" spans="1:1">
      <c r="A2047" s="2"/>
    </row>
    <row r="2048" spans="1:1">
      <c r="A2048" s="2"/>
    </row>
    <row r="2049" spans="1:1">
      <c r="A2049" s="2"/>
    </row>
    <row r="2050" spans="1:1">
      <c r="A2050" s="2"/>
    </row>
    <row r="2051" spans="1:1">
      <c r="A2051" s="2"/>
    </row>
    <row r="2052" spans="1:1">
      <c r="A2052" s="2"/>
    </row>
    <row r="2053" spans="1:1">
      <c r="A2053" s="2"/>
    </row>
    <row r="2054" spans="1:1">
      <c r="A2054" s="2"/>
    </row>
    <row r="2055" spans="1:1">
      <c r="A2055" s="2"/>
    </row>
    <row r="2056" spans="1:1">
      <c r="A2056" s="2"/>
    </row>
    <row r="2057" spans="1:1">
      <c r="A2057" s="2"/>
    </row>
    <row r="2058" spans="1:1">
      <c r="A2058" s="2"/>
    </row>
    <row r="2059" spans="1:1">
      <c r="A2059" s="2"/>
    </row>
    <row r="2060" spans="1:1">
      <c r="A2060" s="2"/>
    </row>
    <row r="2061" spans="1:1">
      <c r="A2061" s="2"/>
    </row>
    <row r="2062" spans="1:1">
      <c r="A2062" s="2"/>
    </row>
    <row r="2063" spans="1:1">
      <c r="A2063" s="2"/>
    </row>
    <row r="2064" spans="1:1">
      <c r="A2064" s="2"/>
    </row>
    <row r="2065" spans="1:1">
      <c r="A2065" s="2"/>
    </row>
    <row r="2066" spans="1:1">
      <c r="A2066" s="2"/>
    </row>
    <row r="2067" spans="1:1">
      <c r="A2067" s="2"/>
    </row>
    <row r="2068" spans="1:1">
      <c r="A2068" s="2"/>
    </row>
    <row r="2069" spans="1:1">
      <c r="A2069" s="2"/>
    </row>
    <row r="2070" spans="1:1">
      <c r="A2070" s="2"/>
    </row>
    <row r="2071" spans="1:1">
      <c r="A2071" s="2"/>
    </row>
    <row r="2072" spans="1:1">
      <c r="A2072" s="2"/>
    </row>
    <row r="2073" spans="1:1">
      <c r="A2073" s="2"/>
    </row>
    <row r="2074" spans="1:1">
      <c r="A2074" s="2"/>
    </row>
    <row r="2075" spans="1:1">
      <c r="A2075" s="2"/>
    </row>
    <row r="2076" spans="1:1">
      <c r="A2076" s="2"/>
    </row>
    <row r="2077" spans="1:1">
      <c r="A2077" s="2"/>
    </row>
    <row r="2078" spans="1:1">
      <c r="A2078" s="2"/>
    </row>
    <row r="2079" spans="1:1">
      <c r="A2079" s="2"/>
    </row>
    <row r="2080" spans="1:1">
      <c r="A2080" s="2"/>
    </row>
    <row r="2081" spans="1:1">
      <c r="A2081" s="2"/>
    </row>
    <row r="2082" spans="1:1">
      <c r="A2082" s="2"/>
    </row>
    <row r="2083" spans="1:1">
      <c r="A2083" s="2"/>
    </row>
    <row r="2084" spans="1:1">
      <c r="A2084" s="2"/>
    </row>
    <row r="2085" spans="1:1">
      <c r="A2085" s="2"/>
    </row>
    <row r="2086" spans="1:1">
      <c r="A2086" s="2"/>
    </row>
    <row r="2087" spans="1:1">
      <c r="A2087" s="2"/>
    </row>
    <row r="2088" spans="1:1">
      <c r="A2088" s="2"/>
    </row>
    <row r="2089" spans="1:1">
      <c r="A2089" s="2"/>
    </row>
    <row r="2090" spans="1:1">
      <c r="A2090" s="2"/>
    </row>
    <row r="2091" spans="1:1">
      <c r="A2091" s="2"/>
    </row>
    <row r="2092" spans="1:1">
      <c r="A2092" s="2"/>
    </row>
    <row r="2093" spans="1:1">
      <c r="A2093" s="2"/>
    </row>
    <row r="2094" spans="1:1">
      <c r="A2094" s="2"/>
    </row>
    <row r="2095" spans="1:1">
      <c r="A2095" s="2"/>
    </row>
    <row r="2096" spans="1:1">
      <c r="A2096" s="2"/>
    </row>
    <row r="2097" spans="1:1">
      <c r="A2097" s="2"/>
    </row>
    <row r="2098" spans="1:1">
      <c r="A2098" s="2"/>
    </row>
    <row r="2099" spans="1:1">
      <c r="A2099" s="2"/>
    </row>
    <row r="2100" spans="1:1">
      <c r="A2100" s="2"/>
    </row>
    <row r="2101" spans="1:1">
      <c r="A2101" s="2"/>
    </row>
    <row r="2102" spans="1:1">
      <c r="A2102" s="2"/>
    </row>
    <row r="2103" spans="1:1">
      <c r="A2103" s="2"/>
    </row>
    <row r="2104" spans="1:1">
      <c r="A2104" s="2"/>
    </row>
    <row r="2105" spans="1:1">
      <c r="A2105" s="2"/>
    </row>
    <row r="2106" spans="1:1">
      <c r="A2106" s="2"/>
    </row>
    <row r="2107" spans="1:1">
      <c r="A2107" s="2"/>
    </row>
    <row r="2108" spans="1:1">
      <c r="A2108" s="2"/>
    </row>
    <row r="2109" spans="1:1">
      <c r="A2109" s="2"/>
    </row>
    <row r="2110" spans="1:1">
      <c r="A2110" s="2"/>
    </row>
    <row r="2111" spans="1:1">
      <c r="A2111" s="2"/>
    </row>
    <row r="2112" spans="1:1">
      <c r="A2112" s="2"/>
    </row>
    <row r="2113" spans="1:1">
      <c r="A2113" s="2"/>
    </row>
    <row r="2114" spans="1:1">
      <c r="A2114" s="2"/>
    </row>
    <row r="2115" spans="1:1">
      <c r="A2115" s="2"/>
    </row>
    <row r="2116" spans="1:1">
      <c r="A2116" s="2"/>
    </row>
    <row r="2117" spans="1:1">
      <c r="A2117" s="2"/>
    </row>
    <row r="2118" spans="1:1">
      <c r="A2118" s="2"/>
    </row>
    <row r="2119" spans="1:1">
      <c r="A2119" s="2"/>
    </row>
    <row r="2120" spans="1:1">
      <c r="A2120" s="2"/>
    </row>
    <row r="2121" spans="1:1">
      <c r="A2121" s="2"/>
    </row>
    <row r="2122" spans="1:1">
      <c r="A2122" s="2"/>
    </row>
    <row r="2123" spans="1:1">
      <c r="A2123" s="2"/>
    </row>
    <row r="2124" spans="1:1">
      <c r="A2124" s="2"/>
    </row>
    <row r="2125" spans="1:1">
      <c r="A2125" s="2"/>
    </row>
    <row r="2126" spans="1:1">
      <c r="A2126" s="2"/>
    </row>
    <row r="2127" spans="1:1">
      <c r="A2127" s="2"/>
    </row>
    <row r="2128" spans="1:1">
      <c r="A2128" s="2"/>
    </row>
    <row r="2129" spans="1:1">
      <c r="A2129" s="2"/>
    </row>
    <row r="2130" spans="1:1">
      <c r="A2130" s="2"/>
    </row>
    <row r="2131" spans="1:1">
      <c r="A2131" s="2"/>
    </row>
    <row r="2132" spans="1:1">
      <c r="A2132" s="2"/>
    </row>
    <row r="2133" spans="1:1">
      <c r="A2133" s="2"/>
    </row>
    <row r="2134" spans="1:1">
      <c r="A2134" s="2"/>
    </row>
    <row r="2135" spans="1:1">
      <c r="A2135" s="2"/>
    </row>
    <row r="2136" spans="1:1">
      <c r="A2136" s="2"/>
    </row>
    <row r="2137" spans="1:1">
      <c r="A2137" s="2"/>
    </row>
    <row r="2138" spans="1:1">
      <c r="A2138" s="2"/>
    </row>
    <row r="2139" spans="1:1">
      <c r="A2139" s="2"/>
    </row>
    <row r="2140" spans="1:1">
      <c r="A2140" s="2"/>
    </row>
    <row r="2141" spans="1:1">
      <c r="A2141" s="2"/>
    </row>
    <row r="2142" spans="1:1">
      <c r="A2142" s="2"/>
    </row>
    <row r="2143" spans="1:1">
      <c r="A2143" s="2"/>
    </row>
    <row r="2144" spans="1:1">
      <c r="A2144" s="2"/>
    </row>
    <row r="2145" spans="1:1">
      <c r="A2145" s="2"/>
    </row>
    <row r="2146" spans="1:1">
      <c r="A2146" s="2"/>
    </row>
    <row r="2147" spans="1:1">
      <c r="A2147" s="2"/>
    </row>
    <row r="2148" spans="1:1">
      <c r="A2148" s="2"/>
    </row>
    <row r="2149" spans="1:1">
      <c r="A2149" s="2"/>
    </row>
    <row r="2150" spans="1:1">
      <c r="A2150" s="2"/>
    </row>
    <row r="2151" spans="1:1">
      <c r="A2151" s="2"/>
    </row>
    <row r="2152" spans="1:1">
      <c r="A2152" s="2"/>
    </row>
    <row r="2153" spans="1:1">
      <c r="A2153" s="2"/>
    </row>
    <row r="2154" spans="1:1">
      <c r="A2154" s="2"/>
    </row>
    <row r="2155" spans="1:1">
      <c r="A2155" s="2"/>
    </row>
    <row r="2156" spans="1:1">
      <c r="A2156" s="2"/>
    </row>
    <row r="2157" spans="1:1">
      <c r="A2157" s="2"/>
    </row>
    <row r="2158" spans="1:1">
      <c r="A2158" s="2"/>
    </row>
    <row r="2159" spans="1:1">
      <c r="A2159" s="2"/>
    </row>
    <row r="2160" spans="1:1">
      <c r="A2160" s="2"/>
    </row>
    <row r="2161" spans="1:1">
      <c r="A2161" s="2"/>
    </row>
    <row r="2162" spans="1:1">
      <c r="A2162" s="2"/>
    </row>
    <row r="2163" spans="1:1">
      <c r="A2163" s="2"/>
    </row>
    <row r="2164" spans="1:1">
      <c r="A2164" s="2"/>
    </row>
    <row r="2165" spans="1:1">
      <c r="A2165" s="2"/>
    </row>
    <row r="2166" spans="1:1">
      <c r="A2166" s="2"/>
    </row>
    <row r="2167" spans="1:1">
      <c r="A2167" s="2"/>
    </row>
    <row r="2168" spans="1:1">
      <c r="A2168" s="2"/>
    </row>
    <row r="2169" spans="1:1">
      <c r="A2169" s="2"/>
    </row>
    <row r="2170" spans="1:1">
      <c r="A2170" s="2"/>
    </row>
    <row r="2171" spans="1:1">
      <c r="A2171" s="2"/>
    </row>
    <row r="2172" spans="1:1">
      <c r="A2172" s="2"/>
    </row>
    <row r="2173" spans="1:1">
      <c r="A2173" s="2"/>
    </row>
    <row r="2174" spans="1:1">
      <c r="A2174" s="2"/>
    </row>
    <row r="2175" spans="1:1">
      <c r="A2175" s="2"/>
    </row>
    <row r="2176" spans="1:1">
      <c r="A2176" s="2"/>
    </row>
    <row r="2177" spans="1:1">
      <c r="A2177" s="2"/>
    </row>
    <row r="2178" spans="1:1">
      <c r="A2178" s="2"/>
    </row>
    <row r="2179" spans="1:1">
      <c r="A2179" s="2"/>
    </row>
    <row r="2180" spans="1:1">
      <c r="A2180" s="2"/>
    </row>
    <row r="2181" spans="1:1">
      <c r="A2181" s="2"/>
    </row>
    <row r="2182" spans="1:1">
      <c r="A2182" s="2"/>
    </row>
    <row r="2183" spans="1:1">
      <c r="A2183" s="2"/>
    </row>
    <row r="2184" spans="1:1">
      <c r="A2184" s="2"/>
    </row>
    <row r="2185" spans="1:1">
      <c r="A2185" s="2"/>
    </row>
    <row r="2186" spans="1:1">
      <c r="A2186" s="2"/>
    </row>
    <row r="2187" spans="1:1">
      <c r="A2187" s="2"/>
    </row>
    <row r="2188" spans="1:1">
      <c r="A2188" s="2"/>
    </row>
    <row r="2189" spans="1:1">
      <c r="A2189" s="2"/>
    </row>
    <row r="2190" spans="1:1">
      <c r="A2190" s="2"/>
    </row>
    <row r="2191" spans="1:1">
      <c r="A2191" s="2"/>
    </row>
    <row r="2192" spans="1:1">
      <c r="A2192" s="2"/>
    </row>
    <row r="2193" spans="1:1">
      <c r="A2193" s="2"/>
    </row>
    <row r="2194" spans="1:1">
      <c r="A2194" s="2"/>
    </row>
    <row r="2195" spans="1:1">
      <c r="A2195" s="2"/>
    </row>
    <row r="2196" spans="1:1">
      <c r="A2196" s="2"/>
    </row>
    <row r="2197" spans="1:1">
      <c r="A2197" s="2"/>
    </row>
    <row r="2198" spans="1:1">
      <c r="A2198" s="2"/>
    </row>
    <row r="2199" spans="1:1">
      <c r="A2199" s="2"/>
    </row>
    <row r="2200" spans="1:1">
      <c r="A2200" s="2"/>
    </row>
    <row r="2201" spans="1:1">
      <c r="A2201" s="2"/>
    </row>
    <row r="2202" spans="1:1">
      <c r="A2202" s="2"/>
    </row>
    <row r="2203" spans="1:1">
      <c r="A2203" s="2"/>
    </row>
    <row r="2204" spans="1:1">
      <c r="A2204" s="2"/>
    </row>
    <row r="2205" spans="1:1">
      <c r="A2205" s="2"/>
    </row>
    <row r="2206" spans="1:1">
      <c r="A2206" s="2"/>
    </row>
    <row r="2207" spans="1:1">
      <c r="A2207" s="2"/>
    </row>
    <row r="2208" spans="1:1">
      <c r="A2208" s="2"/>
    </row>
    <row r="2209" spans="1:1">
      <c r="A2209" s="2"/>
    </row>
    <row r="2210" spans="1:1">
      <c r="A2210" s="2"/>
    </row>
    <row r="2211" spans="1:1">
      <c r="A2211" s="2"/>
    </row>
    <row r="2212" spans="1:1">
      <c r="A2212" s="2"/>
    </row>
    <row r="2213" spans="1:1">
      <c r="A2213" s="2"/>
    </row>
    <row r="2214" spans="1:1">
      <c r="A2214" s="2"/>
    </row>
    <row r="2215" spans="1:1">
      <c r="A2215" s="2"/>
    </row>
    <row r="2216" spans="1:1">
      <c r="A2216" s="2"/>
    </row>
    <row r="2217" spans="1:1">
      <c r="A2217" s="2"/>
    </row>
    <row r="2218" spans="1:1">
      <c r="A2218" s="2"/>
    </row>
    <row r="2219" spans="1:1">
      <c r="A2219" s="2"/>
    </row>
    <row r="2220" spans="1:1">
      <c r="A2220" s="2"/>
    </row>
    <row r="2221" spans="1:1">
      <c r="A2221" s="2"/>
    </row>
    <row r="2222" spans="1:1">
      <c r="A2222" s="2"/>
    </row>
    <row r="2223" spans="1:1">
      <c r="A2223" s="2"/>
    </row>
    <row r="2224" spans="1:1">
      <c r="A2224" s="2"/>
    </row>
    <row r="2225" spans="1:1">
      <c r="A2225" s="2"/>
    </row>
    <row r="2226" spans="1:1">
      <c r="A2226" s="2"/>
    </row>
    <row r="2227" spans="1:1">
      <c r="A2227" s="2"/>
    </row>
    <row r="2228" spans="1:1">
      <c r="A2228" s="2"/>
    </row>
    <row r="2229" spans="1:1">
      <c r="A2229" s="2"/>
    </row>
    <row r="2230" spans="1:1">
      <c r="A2230" s="2"/>
    </row>
    <row r="2231" spans="1:1">
      <c r="A2231" s="2"/>
    </row>
    <row r="2232" spans="1:1">
      <c r="A2232" s="2"/>
    </row>
    <row r="2233" spans="1:1">
      <c r="A2233" s="2"/>
    </row>
    <row r="2234" spans="1:1">
      <c r="A2234" s="2"/>
    </row>
    <row r="2235" spans="1:1">
      <c r="A2235" s="2"/>
    </row>
    <row r="2236" spans="1:1">
      <c r="A2236" s="2"/>
    </row>
    <row r="2237" spans="1:1">
      <c r="A2237" s="2"/>
    </row>
    <row r="2238" spans="1:1">
      <c r="A2238" s="2"/>
    </row>
    <row r="2239" spans="1:1">
      <c r="A2239" s="2"/>
    </row>
    <row r="2240" spans="1:1">
      <c r="A2240" s="2"/>
    </row>
    <row r="2241" spans="1:1">
      <c r="A2241" s="2"/>
    </row>
    <row r="2242" spans="1:1">
      <c r="A2242" s="2"/>
    </row>
    <row r="2243" spans="1:1">
      <c r="A2243" s="2"/>
    </row>
    <row r="2244" spans="1:1">
      <c r="A2244" s="2"/>
    </row>
    <row r="2245" spans="1:1">
      <c r="A2245" s="2"/>
    </row>
    <row r="2246" spans="1:1">
      <c r="A2246" s="2"/>
    </row>
    <row r="2247" spans="1:1">
      <c r="A2247" s="2"/>
    </row>
    <row r="2248" spans="1:1">
      <c r="A2248" s="2"/>
    </row>
    <row r="2249" spans="1:1">
      <c r="A2249" s="2"/>
    </row>
    <row r="2250" spans="1:1">
      <c r="A2250" s="2"/>
    </row>
    <row r="2251" spans="1:1">
      <c r="A2251" s="2"/>
    </row>
  </sheetData>
  <mergeCells count="2">
    <mergeCell ref="A1:I1"/>
    <mergeCell ref="A2:I2"/>
  </mergeCells>
  <printOptions horizontalCentered="1"/>
  <pageMargins left="0.5" right="0.5" top="0.5" bottom="0.5" header="0.5" footer="0.5"/>
  <pageSetup scale="10" orientation="portrait"/>
  <headerFooter alignWithMargins="0">
    <oddHeader>&amp;R&amp;14ATTACHMENT H-13A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J180"/>
  <sheetViews>
    <sheetView zoomScale="75" zoomScaleNormal="75" zoomScaleSheetLayoutView="50" workbookViewId="0"/>
  </sheetViews>
  <sheetFormatPr defaultColWidth="9.140625" defaultRowHeight="12.75"/>
  <cols>
    <col min="1" max="1" width="6.42578125" style="246" customWidth="1"/>
    <col min="2" max="2" width="4.28515625" style="246" customWidth="1"/>
    <col min="3" max="3" width="58" style="246" customWidth="1"/>
    <col min="4" max="4" width="17.7109375" style="246" customWidth="1"/>
    <col min="5" max="5" width="13.42578125" style="246" bestFit="1" customWidth="1"/>
    <col min="6" max="6" width="20.28515625" style="246" bestFit="1" customWidth="1"/>
    <col min="7" max="7" width="15.28515625" style="246" customWidth="1"/>
    <col min="8" max="8" width="19.7109375" style="246" customWidth="1"/>
    <col min="9" max="9" width="16.140625" style="246" customWidth="1"/>
    <col min="10" max="10" width="13.7109375" style="361" customWidth="1"/>
    <col min="11" max="11" width="12.28515625" style="361" customWidth="1"/>
    <col min="12" max="12" width="10.5703125" style="361" customWidth="1"/>
    <col min="13" max="13" width="11.140625" style="361" customWidth="1"/>
    <col min="14" max="14" width="11.5703125" style="361" customWidth="1"/>
    <col min="15" max="15" width="10.42578125" style="361" customWidth="1"/>
    <col min="16" max="16" width="9.7109375" style="361" customWidth="1"/>
    <col min="17" max="17" width="7.42578125" style="361" customWidth="1"/>
    <col min="18" max="18" width="4.7109375" style="246" customWidth="1"/>
    <col min="19" max="19" width="9.140625" style="1115" customWidth="1"/>
    <col min="20" max="16384" width="9.140625" style="246"/>
  </cols>
  <sheetData>
    <row r="1" spans="1:19" ht="21" customHeight="1">
      <c r="A1" s="568"/>
      <c r="B1" s="569"/>
      <c r="C1" s="563"/>
      <c r="D1" s="570"/>
      <c r="E1" s="571"/>
      <c r="F1" s="572"/>
      <c r="G1" s="566" t="str">
        <f>+'Appendix A'!A3</f>
        <v>Commonwealth Edison Company</v>
      </c>
      <c r="H1" s="563"/>
      <c r="I1" s="563"/>
      <c r="J1" s="654"/>
      <c r="K1" s="654"/>
      <c r="L1" s="654"/>
      <c r="M1" s="654"/>
      <c r="N1" s="654"/>
      <c r="O1" s="654"/>
      <c r="P1" s="654"/>
      <c r="Q1" s="654"/>
      <c r="R1" s="563"/>
    </row>
    <row r="2" spans="1:19" ht="21" customHeight="1">
      <c r="A2" s="573"/>
      <c r="B2" s="569"/>
      <c r="C2" s="573"/>
      <c r="D2" s="570"/>
      <c r="E2" s="571"/>
      <c r="F2" s="572"/>
      <c r="G2" s="563"/>
      <c r="H2" s="563"/>
      <c r="I2" s="563"/>
      <c r="J2" s="654"/>
      <c r="K2" s="654"/>
      <c r="L2" s="654"/>
      <c r="M2" s="654"/>
      <c r="N2" s="654"/>
      <c r="O2" s="654"/>
      <c r="P2" s="654"/>
      <c r="Q2" s="654"/>
      <c r="R2" s="563"/>
    </row>
    <row r="3" spans="1:19" s="303" customFormat="1" ht="21" customHeight="1">
      <c r="A3" s="573"/>
      <c r="B3" s="569"/>
      <c r="C3" s="563"/>
      <c r="D3" s="570"/>
      <c r="E3" s="571"/>
      <c r="F3" s="572"/>
      <c r="G3" s="567" t="s">
        <v>504</v>
      </c>
      <c r="H3" s="564"/>
      <c r="I3" s="564"/>
      <c r="J3" s="655"/>
      <c r="K3" s="655"/>
      <c r="L3" s="655"/>
      <c r="M3" s="655"/>
      <c r="N3" s="655"/>
      <c r="O3" s="655"/>
      <c r="P3" s="655"/>
      <c r="Q3" s="655"/>
      <c r="R3" s="564"/>
      <c r="S3" s="1115"/>
    </row>
    <row r="4" spans="1:19" ht="18">
      <c r="A4" s="804" t="s">
        <v>258</v>
      </c>
      <c r="B4" s="805"/>
      <c r="C4" s="806"/>
      <c r="D4" s="807"/>
      <c r="E4" s="571"/>
      <c r="F4" s="808"/>
      <c r="G4" s="809"/>
      <c r="H4" s="809"/>
      <c r="I4" s="809"/>
      <c r="J4" s="810"/>
      <c r="K4" s="810"/>
      <c r="L4" s="810"/>
      <c r="M4" s="810"/>
      <c r="N4" s="810"/>
      <c r="O4" s="810"/>
      <c r="P4" s="810"/>
      <c r="Q4" s="810"/>
      <c r="R4" s="563"/>
    </row>
    <row r="5" spans="1:19" ht="29.25" customHeight="1">
      <c r="A5" s="1261" t="s">
        <v>595</v>
      </c>
      <c r="B5" s="1262"/>
      <c r="C5" s="1262"/>
      <c r="D5" s="1262"/>
      <c r="E5" s="1262"/>
      <c r="F5" s="1262"/>
      <c r="G5" s="812" t="s">
        <v>142</v>
      </c>
      <c r="H5" s="813" t="s">
        <v>132</v>
      </c>
      <c r="I5" s="813"/>
      <c r="J5" s="1234" t="s">
        <v>65</v>
      </c>
      <c r="K5" s="1235"/>
      <c r="L5" s="1235"/>
      <c r="M5" s="1235"/>
      <c r="N5" s="1235"/>
      <c r="O5" s="1235"/>
      <c r="P5" s="1235"/>
      <c r="Q5" s="1236"/>
      <c r="R5" s="563"/>
    </row>
    <row r="6" spans="1:19" ht="25.5" customHeight="1">
      <c r="A6" s="558"/>
      <c r="B6" s="574" t="s">
        <v>491</v>
      </c>
      <c r="C6" s="559"/>
      <c r="D6" s="536"/>
      <c r="E6" s="473"/>
      <c r="F6" s="536"/>
      <c r="G6" s="537"/>
      <c r="H6" s="536"/>
      <c r="I6" s="536"/>
      <c r="J6" s="1288"/>
      <c r="K6" s="1228"/>
      <c r="L6" s="1228"/>
      <c r="M6" s="1228"/>
      <c r="N6" s="1228"/>
      <c r="O6" s="1228"/>
      <c r="P6" s="1228"/>
      <c r="Q6" s="1229"/>
      <c r="R6" s="563"/>
    </row>
    <row r="7" spans="1:19" s="303" customFormat="1">
      <c r="A7" s="575">
        <f>+'Appendix A'!A21</f>
        <v>8</v>
      </c>
      <c r="B7" s="536"/>
      <c r="C7" s="186" t="str">
        <f>+'Appendix A'!C21</f>
        <v>Accumulated Amortization</v>
      </c>
      <c r="D7" s="559"/>
      <c r="E7" s="583" t="str">
        <f>+'Appendix A'!E21</f>
        <v>(Note A)</v>
      </c>
      <c r="F7" s="668" t="str">
        <f>+'Appendix A'!F21</f>
        <v>p200.21.c</v>
      </c>
      <c r="G7" s="577"/>
      <c r="H7" s="1065">
        <v>1</v>
      </c>
      <c r="I7" s="677"/>
      <c r="J7" s="1214"/>
      <c r="K7" s="1215"/>
      <c r="L7" s="1215"/>
      <c r="M7" s="1215"/>
      <c r="N7" s="1215"/>
      <c r="O7" s="1215"/>
      <c r="P7" s="1215"/>
      <c r="Q7" s="1216"/>
      <c r="R7" s="564"/>
      <c r="S7" s="1115"/>
    </row>
    <row r="8" spans="1:19" s="303" customFormat="1">
      <c r="A8" s="578"/>
      <c r="B8" s="579"/>
      <c r="C8" s="561"/>
      <c r="D8" s="580"/>
      <c r="E8" s="576"/>
      <c r="F8" s="668"/>
      <c r="G8" s="581"/>
      <c r="H8" s="504"/>
      <c r="I8" s="504"/>
      <c r="J8" s="1214"/>
      <c r="K8" s="1215"/>
      <c r="L8" s="1215"/>
      <c r="M8" s="1215"/>
      <c r="N8" s="1215"/>
      <c r="O8" s="1215"/>
      <c r="P8" s="1215"/>
      <c r="Q8" s="1216"/>
      <c r="R8" s="564"/>
      <c r="S8" s="1115"/>
    </row>
    <row r="9" spans="1:19">
      <c r="A9" s="578"/>
      <c r="B9" s="582" t="s">
        <v>2</v>
      </c>
      <c r="C9" s="186"/>
      <c r="D9" s="559"/>
      <c r="E9" s="576"/>
      <c r="F9" s="620"/>
      <c r="G9" s="581"/>
      <c r="H9" s="814" t="s">
        <v>3</v>
      </c>
      <c r="I9" s="511"/>
      <c r="J9" s="1289"/>
      <c r="K9" s="1228"/>
      <c r="L9" s="1228"/>
      <c r="M9" s="1228"/>
      <c r="N9" s="1228"/>
      <c r="O9" s="1228"/>
      <c r="P9" s="1228"/>
      <c r="Q9" s="1229"/>
      <c r="R9" s="563"/>
    </row>
    <row r="10" spans="1:19" s="303" customFormat="1" ht="24.95" customHeight="1">
      <c r="A10" s="575">
        <f>'Appendix A'!A47</f>
        <v>26</v>
      </c>
      <c r="B10" s="583"/>
      <c r="C10" s="186" t="str">
        <f>'Appendix A'!C47</f>
        <v>Account No. 397 Directly Assigned to Transmission</v>
      </c>
      <c r="D10" s="559"/>
      <c r="E10" s="576"/>
      <c r="F10" s="620" t="s">
        <v>507</v>
      </c>
      <c r="G10" s="584">
        <f>'Appendix A'!H43</f>
        <v>859895506</v>
      </c>
      <c r="H10" s="1053">
        <f>G10*38%</f>
        <v>326760292.28000003</v>
      </c>
      <c r="I10" s="487"/>
      <c r="J10" s="1289" t="s">
        <v>820</v>
      </c>
      <c r="K10" s="1228"/>
      <c r="L10" s="1228"/>
      <c r="M10" s="1228"/>
      <c r="N10" s="1228"/>
      <c r="O10" s="1228"/>
      <c r="P10" s="1228"/>
      <c r="Q10" s="1229"/>
      <c r="R10" s="564"/>
      <c r="S10" s="1115"/>
    </row>
    <row r="11" spans="1:19" s="303" customFormat="1" ht="12.75" customHeight="1">
      <c r="A11" s="578"/>
      <c r="B11" s="508"/>
      <c r="C11" s="561"/>
      <c r="D11" s="580"/>
      <c r="E11" s="576"/>
      <c r="F11" s="620"/>
      <c r="G11" s="584"/>
      <c r="H11" s="585"/>
      <c r="I11" s="487"/>
      <c r="J11" s="1290"/>
      <c r="K11" s="1228"/>
      <c r="L11" s="1228"/>
      <c r="M11" s="1228"/>
      <c r="N11" s="1228"/>
      <c r="O11" s="1228"/>
      <c r="P11" s="1228"/>
      <c r="Q11" s="1229"/>
      <c r="R11" s="564"/>
      <c r="S11" s="1115"/>
    </row>
    <row r="12" spans="1:19" s="303" customFormat="1">
      <c r="A12" s="578"/>
      <c r="B12" s="582" t="s">
        <v>161</v>
      </c>
      <c r="C12" s="582"/>
      <c r="D12" s="559"/>
      <c r="E12" s="576"/>
      <c r="F12" s="620"/>
      <c r="G12" s="577"/>
      <c r="H12" s="487"/>
      <c r="I12" s="487"/>
      <c r="J12" s="1289"/>
      <c r="K12" s="1228"/>
      <c r="L12" s="1228"/>
      <c r="M12" s="1228"/>
      <c r="N12" s="1228"/>
      <c r="O12" s="1228"/>
      <c r="P12" s="1228"/>
      <c r="Q12" s="1229"/>
      <c r="R12" s="564"/>
      <c r="S12" s="1115"/>
    </row>
    <row r="13" spans="1:19" s="303" customFormat="1">
      <c r="A13" s="578"/>
      <c r="B13" s="508"/>
      <c r="C13" s="561"/>
      <c r="D13" s="580"/>
      <c r="E13" s="508"/>
      <c r="F13" s="620"/>
      <c r="G13" s="577"/>
      <c r="H13" s="585"/>
      <c r="I13" s="487"/>
      <c r="J13" s="1214"/>
      <c r="K13" s="1215"/>
      <c r="L13" s="1215"/>
      <c r="M13" s="1215"/>
      <c r="N13" s="1215"/>
      <c r="O13" s="1215"/>
      <c r="P13" s="1215"/>
      <c r="Q13" s="1216"/>
      <c r="R13" s="564"/>
      <c r="S13" s="1115"/>
    </row>
    <row r="14" spans="1:19" s="303" customFormat="1">
      <c r="A14" s="578">
        <f>'Appendix A'!A59</f>
        <v>32</v>
      </c>
      <c r="B14" s="508"/>
      <c r="C14" s="561" t="str">
        <f>'Appendix A'!C59</f>
        <v>Less: Amount of General Depreciation Associated with Acct. 397</v>
      </c>
      <c r="D14" s="580"/>
      <c r="E14" s="508"/>
      <c r="F14" s="620" t="s">
        <v>57</v>
      </c>
      <c r="G14" s="577"/>
      <c r="H14" s="1053">
        <v>451801967</v>
      </c>
      <c r="I14" s="487"/>
      <c r="J14" s="1214"/>
      <c r="K14" s="1215"/>
      <c r="L14" s="1215"/>
      <c r="M14" s="1215"/>
      <c r="N14" s="1215"/>
      <c r="O14" s="1215"/>
      <c r="P14" s="1215"/>
      <c r="Q14" s="1216"/>
      <c r="R14" s="564"/>
      <c r="S14" s="1115"/>
    </row>
    <row r="15" spans="1:19" s="303" customFormat="1">
      <c r="A15" s="578"/>
      <c r="B15" s="579"/>
      <c r="C15" s="561"/>
      <c r="D15" s="580"/>
      <c r="E15" s="576"/>
      <c r="F15" s="668"/>
      <c r="G15" s="581"/>
      <c r="H15" s="511"/>
      <c r="I15" s="504"/>
      <c r="J15" s="1214"/>
      <c r="K15" s="1215"/>
      <c r="L15" s="1215"/>
      <c r="M15" s="1215"/>
      <c r="N15" s="1215"/>
      <c r="O15" s="1215"/>
      <c r="P15" s="1215"/>
      <c r="Q15" s="1216"/>
      <c r="R15" s="564"/>
      <c r="S15" s="1115"/>
    </row>
    <row r="16" spans="1:19" s="303" customFormat="1">
      <c r="A16" s="578"/>
      <c r="B16" s="582" t="s">
        <v>424</v>
      </c>
      <c r="C16" s="546"/>
      <c r="D16" s="272"/>
      <c r="E16" s="477"/>
      <c r="F16" s="669"/>
      <c r="G16" s="586"/>
      <c r="H16" s="272"/>
      <c r="I16" s="588"/>
      <c r="J16" s="1214"/>
      <c r="K16" s="1215"/>
      <c r="L16" s="1215"/>
      <c r="M16" s="1215"/>
      <c r="N16" s="1215"/>
      <c r="O16" s="1215"/>
      <c r="P16" s="1215"/>
      <c r="Q16" s="1216"/>
      <c r="R16" s="564"/>
      <c r="S16" s="1115"/>
    </row>
    <row r="17" spans="1:19" s="303" customFormat="1" ht="15.75" customHeight="1">
      <c r="A17" s="589">
        <f>+'Appendix A'!A84</f>
        <v>45</v>
      </c>
      <c r="B17" s="587"/>
      <c r="C17" s="492" t="str">
        <f>+'Appendix A'!C84</f>
        <v>Undistributed Stores Expense</v>
      </c>
      <c r="D17" s="590"/>
      <c r="E17" s="491" t="str">
        <f>+'Appendix A'!E84</f>
        <v>(Note A)</v>
      </c>
      <c r="F17" s="590" t="str">
        <f>+'Appendix A'!F84</f>
        <v>p227.6.c &amp; 16.c</v>
      </c>
      <c r="G17" s="577"/>
      <c r="H17" s="1065">
        <v>1</v>
      </c>
      <c r="I17" s="504"/>
      <c r="J17" s="1214"/>
      <c r="K17" s="1215"/>
      <c r="L17" s="1215"/>
      <c r="M17" s="1215"/>
      <c r="N17" s="1215"/>
      <c r="O17" s="1215"/>
      <c r="P17" s="1215"/>
      <c r="Q17" s="1216"/>
      <c r="R17" s="564"/>
      <c r="S17" s="1115"/>
    </row>
    <row r="18" spans="1:19" s="303" customFormat="1" ht="15.75" customHeight="1">
      <c r="A18" s="589"/>
      <c r="B18" s="587"/>
      <c r="C18" s="492"/>
      <c r="D18" s="590"/>
      <c r="E18" s="477"/>
      <c r="F18" s="590"/>
      <c r="G18" s="577"/>
      <c r="H18" s="868"/>
      <c r="I18" s="504"/>
      <c r="J18" s="1214"/>
      <c r="K18" s="1215"/>
      <c r="L18" s="1215"/>
      <c r="M18" s="1215"/>
      <c r="N18" s="1215"/>
      <c r="O18" s="1215"/>
      <c r="P18" s="1215"/>
      <c r="Q18" s="1216"/>
      <c r="R18" s="564"/>
      <c r="S18" s="1115"/>
    </row>
    <row r="19" spans="1:19" s="303" customFormat="1">
      <c r="A19" s="578"/>
      <c r="B19" s="574" t="s">
        <v>405</v>
      </c>
      <c r="C19" s="546"/>
      <c r="D19" s="591"/>
      <c r="E19" s="539"/>
      <c r="F19" s="590"/>
      <c r="G19" s="586"/>
      <c r="H19" s="272"/>
      <c r="I19" s="588"/>
      <c r="J19" s="1214"/>
      <c r="K19" s="1215"/>
      <c r="L19" s="1215"/>
      <c r="M19" s="1215"/>
      <c r="N19" s="1215"/>
      <c r="O19" s="1215"/>
      <c r="P19" s="1215"/>
      <c r="Q19" s="1216"/>
      <c r="R19" s="564"/>
      <c r="S19" s="1115"/>
    </row>
    <row r="20" spans="1:19" s="303" customFormat="1">
      <c r="A20" s="578">
        <f>+'Appendix A'!A109</f>
        <v>60</v>
      </c>
      <c r="B20" s="574"/>
      <c r="C20" s="186" t="str">
        <f>+'Appendix A'!C109</f>
        <v xml:space="preserve">     Plus Transmission Lease Payments</v>
      </c>
      <c r="D20" s="591"/>
      <c r="E20" s="583" t="str">
        <f>+'Appendix A'!E109</f>
        <v>(Note A)</v>
      </c>
      <c r="F20" s="668" t="str">
        <f>+'Appendix A'!F109</f>
        <v>p200.4.c</v>
      </c>
      <c r="G20" s="586"/>
      <c r="H20" s="1065">
        <v>1</v>
      </c>
      <c r="I20" s="588"/>
      <c r="J20" s="1214"/>
      <c r="K20" s="1215"/>
      <c r="L20" s="1215"/>
      <c r="M20" s="1215"/>
      <c r="N20" s="1215"/>
      <c r="O20" s="1215"/>
      <c r="P20" s="1215"/>
      <c r="Q20" s="1216"/>
      <c r="R20" s="564"/>
      <c r="S20" s="1115"/>
    </row>
    <row r="21" spans="1:19" s="303" customFormat="1">
      <c r="A21" s="578"/>
      <c r="B21" s="508"/>
      <c r="C21" s="561"/>
      <c r="D21" s="590"/>
      <c r="E21" s="576"/>
      <c r="F21" s="668"/>
      <c r="G21" s="577"/>
      <c r="H21" s="868"/>
      <c r="I21" s="504"/>
      <c r="J21" s="1214"/>
      <c r="K21" s="1215"/>
      <c r="L21" s="1215"/>
      <c r="M21" s="1215"/>
      <c r="N21" s="1215"/>
      <c r="O21" s="1215"/>
      <c r="P21" s="1215"/>
      <c r="Q21" s="1216"/>
      <c r="R21" s="564"/>
      <c r="S21" s="1115"/>
    </row>
    <row r="22" spans="1:19">
      <c r="A22" s="593"/>
      <c r="B22" s="594" t="s">
        <v>386</v>
      </c>
      <c r="C22" s="553"/>
      <c r="D22" s="559"/>
      <c r="E22" s="595"/>
      <c r="F22" s="580"/>
      <c r="G22" s="596"/>
      <c r="H22" s="536"/>
      <c r="I22" s="588"/>
      <c r="J22" s="1237"/>
      <c r="K22" s="1237"/>
      <c r="L22" s="1237"/>
      <c r="M22" s="1237"/>
      <c r="N22" s="1237"/>
      <c r="O22" s="1237"/>
      <c r="P22" s="1237"/>
      <c r="Q22" s="1238"/>
      <c r="R22" s="563"/>
    </row>
    <row r="23" spans="1:19" s="263" customFormat="1" ht="15.75" customHeight="1">
      <c r="A23" s="575">
        <f>+'Appendix A'!A150</f>
        <v>88</v>
      </c>
      <c r="B23" s="597"/>
      <c r="C23" s="186" t="str">
        <f>+'Appendix A'!C150</f>
        <v>Amount of General Depreciation Expense Associated with Acct. 397</v>
      </c>
      <c r="D23" s="591"/>
      <c r="E23" s="576"/>
      <c r="F23" s="1070" t="s">
        <v>819</v>
      </c>
      <c r="G23" s="577"/>
      <c r="H23" s="1053">
        <f>746221093*0.0718</f>
        <v>53578674.477400005</v>
      </c>
      <c r="I23" s="487"/>
      <c r="J23" s="1289" t="s">
        <v>414</v>
      </c>
      <c r="K23" s="1228"/>
      <c r="L23" s="1228"/>
      <c r="M23" s="1228"/>
      <c r="N23" s="1228"/>
      <c r="O23" s="1228"/>
      <c r="P23" s="1228"/>
      <c r="Q23" s="1229"/>
      <c r="R23" s="564"/>
      <c r="S23" s="1115"/>
    </row>
    <row r="24" spans="1:19" s="303" customFormat="1">
      <c r="A24" s="598"/>
      <c r="B24" s="599"/>
      <c r="C24" s="600"/>
      <c r="D24" s="590"/>
      <c r="E24" s="601"/>
      <c r="F24" s="670"/>
      <c r="G24" s="581"/>
      <c r="H24" s="487"/>
      <c r="I24" s="504"/>
      <c r="J24" s="1214"/>
      <c r="K24" s="1215"/>
      <c r="L24" s="1215"/>
      <c r="M24" s="1215"/>
      <c r="N24" s="1215"/>
      <c r="O24" s="1215"/>
      <c r="P24" s="1215"/>
      <c r="Q24" s="1216"/>
      <c r="R24" s="564"/>
      <c r="S24" s="1115"/>
    </row>
    <row r="25" spans="1:19" s="303" customFormat="1">
      <c r="A25" s="598"/>
      <c r="B25" s="599"/>
      <c r="C25" s="600"/>
      <c r="D25" s="590"/>
      <c r="E25" s="601"/>
      <c r="F25" s="670"/>
      <c r="G25" s="581"/>
      <c r="H25" s="487"/>
      <c r="I25" s="504"/>
      <c r="J25" s="1214"/>
      <c r="K25" s="1215"/>
      <c r="L25" s="1215"/>
      <c r="M25" s="1215"/>
      <c r="N25" s="1215"/>
      <c r="O25" s="1215"/>
      <c r="P25" s="1215"/>
      <c r="Q25" s="1216"/>
      <c r="R25" s="564"/>
      <c r="S25" s="1115"/>
    </row>
    <row r="26" spans="1:19" s="303" customFormat="1">
      <c r="A26" s="598"/>
      <c r="B26" s="599"/>
      <c r="C26" s="600"/>
      <c r="D26" s="590"/>
      <c r="E26" s="601"/>
      <c r="F26" s="670"/>
      <c r="G26" s="581"/>
      <c r="H26" s="487"/>
      <c r="I26" s="504"/>
      <c r="J26" s="1214"/>
      <c r="K26" s="1215"/>
      <c r="L26" s="1215"/>
      <c r="M26" s="1215"/>
      <c r="N26" s="1215"/>
      <c r="O26" s="1215"/>
      <c r="P26" s="1215"/>
      <c r="Q26" s="1216"/>
      <c r="R26" s="564"/>
      <c r="S26" s="1115"/>
    </row>
    <row r="27" spans="1:19" s="303" customFormat="1">
      <c r="A27" s="602"/>
      <c r="B27" s="603"/>
      <c r="C27" s="547"/>
      <c r="D27" s="604"/>
      <c r="E27" s="605"/>
      <c r="F27" s="671"/>
      <c r="G27" s="606"/>
      <c r="H27" s="607"/>
      <c r="I27" s="608"/>
      <c r="J27" s="1232"/>
      <c r="K27" s="1232"/>
      <c r="L27" s="1232"/>
      <c r="M27" s="1232"/>
      <c r="N27" s="1232"/>
      <c r="O27" s="1232"/>
      <c r="P27" s="1232"/>
      <c r="Q27" s="1233"/>
      <c r="R27" s="564"/>
      <c r="S27" s="1115"/>
    </row>
    <row r="28" spans="1:19">
      <c r="A28" s="563"/>
      <c r="B28" s="563"/>
      <c r="C28" s="563"/>
      <c r="D28" s="563"/>
      <c r="E28" s="563"/>
      <c r="F28" s="563"/>
      <c r="G28" s="563"/>
      <c r="H28" s="563"/>
      <c r="I28" s="563"/>
      <c r="J28" s="654"/>
      <c r="K28" s="654"/>
      <c r="L28" s="654"/>
      <c r="M28" s="654"/>
      <c r="N28" s="654"/>
      <c r="O28" s="654"/>
      <c r="P28" s="654"/>
      <c r="Q28" s="654"/>
      <c r="R28" s="563"/>
    </row>
    <row r="29" spans="1:19">
      <c r="A29" s="563"/>
      <c r="B29" s="563"/>
      <c r="C29" s="563"/>
      <c r="D29" s="563"/>
      <c r="E29" s="563"/>
      <c r="F29" s="563"/>
      <c r="G29" s="563"/>
      <c r="H29" s="563"/>
      <c r="I29" s="563"/>
      <c r="J29" s="654"/>
      <c r="K29" s="654"/>
      <c r="L29" s="654"/>
      <c r="M29" s="654"/>
      <c r="N29" s="654"/>
      <c r="O29" s="654"/>
      <c r="P29" s="654"/>
      <c r="Q29" s="654"/>
      <c r="R29" s="563"/>
    </row>
    <row r="30" spans="1:19" s="303" customFormat="1" ht="18">
      <c r="A30" s="804" t="s">
        <v>274</v>
      </c>
      <c r="B30" s="806"/>
      <c r="C30" s="806"/>
      <c r="D30" s="806"/>
      <c r="E30" s="806"/>
      <c r="F30" s="806"/>
      <c r="G30" s="806"/>
      <c r="H30" s="806"/>
      <c r="I30" s="806"/>
      <c r="J30" s="815"/>
      <c r="K30" s="815"/>
      <c r="L30" s="815"/>
      <c r="M30" s="815"/>
      <c r="N30" s="815"/>
      <c r="O30" s="815"/>
      <c r="P30" s="815"/>
      <c r="Q30" s="815"/>
      <c r="R30" s="564"/>
      <c r="S30" s="1115"/>
    </row>
    <row r="31" spans="1:19" ht="40.5" customHeight="1">
      <c r="A31" s="1261" t="s">
        <v>595</v>
      </c>
      <c r="B31" s="1262"/>
      <c r="C31" s="1262"/>
      <c r="D31" s="1262"/>
      <c r="E31" s="1262"/>
      <c r="F31" s="1262"/>
      <c r="G31" s="812" t="s">
        <v>142</v>
      </c>
      <c r="H31" s="813" t="s">
        <v>143</v>
      </c>
      <c r="I31" s="813" t="s">
        <v>255</v>
      </c>
      <c r="J31" s="1234" t="s">
        <v>65</v>
      </c>
      <c r="K31" s="1235"/>
      <c r="L31" s="1235"/>
      <c r="M31" s="1235"/>
      <c r="N31" s="1235"/>
      <c r="O31" s="1235"/>
      <c r="P31" s="1235"/>
      <c r="Q31" s="1236"/>
      <c r="R31" s="563"/>
    </row>
    <row r="32" spans="1:19" s="303" customFormat="1" ht="24.75" customHeight="1">
      <c r="A32" s="575">
        <f>+'Appendix A'!A50</f>
        <v>28</v>
      </c>
      <c r="B32" s="583"/>
      <c r="C32" s="582" t="str">
        <f>+'Appendix A'!C50</f>
        <v>Plant Held for Future Use (Including Land)</v>
      </c>
      <c r="D32" s="609"/>
      <c r="E32" s="583" t="str">
        <f>+'Appendix A'!E50</f>
        <v>(Note C)</v>
      </c>
      <c r="F32" s="186" t="s">
        <v>653</v>
      </c>
      <c r="G32" s="1068">
        <v>47790871</v>
      </c>
      <c r="H32" s="1053">
        <v>45781570</v>
      </c>
      <c r="I32" s="1051">
        <f>G32-H32</f>
        <v>2009301</v>
      </c>
      <c r="J32" s="1228"/>
      <c r="K32" s="1228"/>
      <c r="L32" s="1228"/>
      <c r="M32" s="1228"/>
      <c r="N32" s="1228"/>
      <c r="O32" s="1228"/>
      <c r="P32" s="1228"/>
      <c r="Q32" s="1229"/>
      <c r="R32" s="564"/>
      <c r="S32" s="1115"/>
    </row>
    <row r="33" spans="1:19" ht="12.75" customHeight="1">
      <c r="A33" s="578"/>
      <c r="B33" s="599"/>
      <c r="C33" s="561"/>
      <c r="D33" s="590"/>
      <c r="E33" s="576"/>
      <c r="F33" s="561"/>
      <c r="G33" s="596"/>
      <c r="H33" s="522">
        <f>H32</f>
        <v>45781570</v>
      </c>
      <c r="I33" s="536"/>
      <c r="J33" s="1214"/>
      <c r="K33" s="1215"/>
      <c r="L33" s="1215"/>
      <c r="M33" s="1215"/>
      <c r="N33" s="1215"/>
      <c r="O33" s="1215"/>
      <c r="P33" s="1215"/>
      <c r="Q33" s="1216"/>
      <c r="R33" s="563"/>
    </row>
    <row r="34" spans="1:19">
      <c r="A34" s="575"/>
      <c r="B34" s="597"/>
      <c r="C34" s="186"/>
      <c r="D34" s="591"/>
      <c r="E34" s="576"/>
      <c r="F34" s="561"/>
      <c r="G34" s="596"/>
      <c r="H34" s="522"/>
      <c r="I34" s="536"/>
      <c r="J34" s="1214"/>
      <c r="K34" s="1215"/>
      <c r="L34" s="1215"/>
      <c r="M34" s="1215"/>
      <c r="N34" s="1215"/>
      <c r="O34" s="1215"/>
      <c r="P34" s="1215"/>
      <c r="Q34" s="1216"/>
      <c r="R34" s="563"/>
    </row>
    <row r="35" spans="1:19" ht="25.5" customHeight="1">
      <c r="A35" s="575"/>
      <c r="B35" s="597"/>
      <c r="C35" s="186"/>
      <c r="D35" s="591"/>
      <c r="E35" s="576"/>
      <c r="F35" s="561"/>
      <c r="G35" s="596"/>
      <c r="H35" s="522"/>
      <c r="I35" s="536"/>
      <c r="J35" s="1214" t="s">
        <v>580</v>
      </c>
      <c r="K35" s="1215"/>
      <c r="L35" s="1215"/>
      <c r="M35" s="1215"/>
      <c r="N35" s="1215"/>
      <c r="O35" s="1215"/>
      <c r="P35" s="1215"/>
      <c r="Q35" s="1216"/>
      <c r="R35" s="563"/>
    </row>
    <row r="36" spans="1:19">
      <c r="A36" s="575"/>
      <c r="B36" s="597"/>
      <c r="C36" s="186"/>
      <c r="D36" s="591"/>
      <c r="E36" s="576"/>
      <c r="F36" s="561"/>
      <c r="G36" s="596"/>
      <c r="H36" s="522"/>
      <c r="I36" s="536"/>
      <c r="J36" s="1214"/>
      <c r="K36" s="1215"/>
      <c r="L36" s="1215"/>
      <c r="M36" s="1215"/>
      <c r="N36" s="1215"/>
      <c r="O36" s="1215"/>
      <c r="P36" s="1215"/>
      <c r="Q36" s="1216"/>
      <c r="R36" s="563"/>
    </row>
    <row r="37" spans="1:19">
      <c r="A37" s="543"/>
      <c r="B37" s="544"/>
      <c r="C37" s="544"/>
      <c r="D37" s="545"/>
      <c r="E37" s="544"/>
      <c r="F37" s="544"/>
      <c r="G37" s="543"/>
      <c r="H37" s="545"/>
      <c r="I37" s="544"/>
      <c r="J37" s="1225"/>
      <c r="K37" s="1226"/>
      <c r="L37" s="1226"/>
      <c r="M37" s="1226"/>
      <c r="N37" s="1226"/>
      <c r="O37" s="1226"/>
      <c r="P37" s="1226"/>
      <c r="Q37" s="1227"/>
      <c r="R37" s="563"/>
    </row>
    <row r="38" spans="1:19">
      <c r="A38" s="563"/>
      <c r="B38" s="563"/>
      <c r="C38" s="563"/>
      <c r="D38" s="563"/>
      <c r="E38" s="563"/>
      <c r="F38" s="563"/>
      <c r="G38" s="563"/>
      <c r="H38" s="563"/>
      <c r="I38" s="563"/>
      <c r="J38" s="654"/>
      <c r="K38" s="654"/>
      <c r="L38" s="654"/>
      <c r="M38" s="654"/>
      <c r="N38" s="654"/>
      <c r="O38" s="654"/>
      <c r="P38" s="654"/>
      <c r="Q38" s="654"/>
      <c r="R38" s="563"/>
    </row>
    <row r="39" spans="1:19">
      <c r="A39" s="563"/>
      <c r="B39" s="563"/>
      <c r="C39" s="563"/>
      <c r="D39" s="563"/>
      <c r="E39" s="563"/>
      <c r="F39" s="563"/>
      <c r="G39" s="563"/>
      <c r="H39" s="563"/>
      <c r="I39" s="563"/>
      <c r="J39" s="654"/>
      <c r="K39" s="654"/>
      <c r="L39" s="654"/>
      <c r="M39" s="654"/>
      <c r="N39" s="654"/>
      <c r="O39" s="654"/>
      <c r="P39" s="654"/>
      <c r="Q39" s="654"/>
      <c r="R39" s="563"/>
    </row>
    <row r="40" spans="1:19" s="303" customFormat="1" ht="18">
      <c r="A40" s="804" t="s">
        <v>284</v>
      </c>
      <c r="B40" s="806"/>
      <c r="C40" s="806"/>
      <c r="D40" s="806"/>
      <c r="E40" s="806"/>
      <c r="F40" s="806"/>
      <c r="G40" s="806"/>
      <c r="H40" s="806"/>
      <c r="I40" s="806"/>
      <c r="J40" s="815"/>
      <c r="K40" s="815"/>
      <c r="L40" s="815"/>
      <c r="M40" s="815"/>
      <c r="N40" s="815"/>
      <c r="O40" s="815"/>
      <c r="P40" s="815"/>
      <c r="Q40" s="815"/>
      <c r="R40" s="564"/>
      <c r="S40" s="1115"/>
    </row>
    <row r="41" spans="1:19" ht="45.75" customHeight="1">
      <c r="A41" s="1261" t="s">
        <v>595</v>
      </c>
      <c r="B41" s="1262"/>
      <c r="C41" s="1262"/>
      <c r="D41" s="1262"/>
      <c r="E41" s="1262"/>
      <c r="F41" s="1262"/>
      <c r="G41" s="812" t="str">
        <f>+G31</f>
        <v>Form 1 Amount</v>
      </c>
      <c r="H41" s="813" t="s">
        <v>256</v>
      </c>
      <c r="I41" s="813" t="s">
        <v>144</v>
      </c>
      <c r="J41" s="1234" t="s">
        <v>65</v>
      </c>
      <c r="K41" s="1235"/>
      <c r="L41" s="1235"/>
      <c r="M41" s="1235"/>
      <c r="N41" s="1235"/>
      <c r="O41" s="1235"/>
      <c r="P41" s="1235"/>
      <c r="Q41" s="1236"/>
      <c r="R41" s="563"/>
    </row>
    <row r="42" spans="1:19" ht="27.75" customHeight="1">
      <c r="A42" s="558"/>
      <c r="B42" s="574" t="s">
        <v>491</v>
      </c>
      <c r="C42" s="553"/>
      <c r="D42" s="536"/>
      <c r="E42" s="473"/>
      <c r="F42" s="536"/>
      <c r="G42" s="537"/>
      <c r="H42" s="536"/>
      <c r="I42" s="536"/>
      <c r="J42" s="1237"/>
      <c r="K42" s="1228"/>
      <c r="L42" s="1228"/>
      <c r="M42" s="1228"/>
      <c r="N42" s="1228"/>
      <c r="O42" s="1228"/>
      <c r="P42" s="1228"/>
      <c r="Q42" s="1229"/>
      <c r="R42" s="563"/>
    </row>
    <row r="43" spans="1:19" s="303" customFormat="1">
      <c r="A43" s="575">
        <f>+'Appendix A'!A18</f>
        <v>6</v>
      </c>
      <c r="B43" s="536"/>
      <c r="C43" s="186" t="str">
        <f>+'Appendix A'!C18</f>
        <v>Electric Plant in Service</v>
      </c>
      <c r="D43" s="559"/>
      <c r="E43" s="583" t="str">
        <f>+'Appendix A'!E18</f>
        <v>(Note B)</v>
      </c>
      <c r="F43" s="561" t="str">
        <f>+'Appendix A'!F18</f>
        <v>p207.104.g</v>
      </c>
      <c r="G43" s="673"/>
      <c r="H43" s="1082">
        <v>0</v>
      </c>
      <c r="I43" s="504"/>
      <c r="J43" s="1228"/>
      <c r="K43" s="1228"/>
      <c r="L43" s="1228"/>
      <c r="M43" s="1228"/>
      <c r="N43" s="1228"/>
      <c r="O43" s="1228"/>
      <c r="P43" s="1228"/>
      <c r="Q43" s="1229"/>
      <c r="R43" s="564"/>
      <c r="S43" s="1115"/>
    </row>
    <row r="44" spans="1:19" s="303" customFormat="1">
      <c r="A44" s="593"/>
      <c r="B44" s="574" t="s">
        <v>436</v>
      </c>
      <c r="C44" s="553"/>
      <c r="D44" s="559"/>
      <c r="E44" s="592"/>
      <c r="F44" s="650"/>
      <c r="G44" s="674"/>
      <c r="H44" s="272"/>
      <c r="I44" s="588"/>
      <c r="J44" s="1228"/>
      <c r="K44" s="1228"/>
      <c r="L44" s="1228"/>
      <c r="M44" s="1228"/>
      <c r="N44" s="1228"/>
      <c r="O44" s="1228"/>
      <c r="P44" s="1228"/>
      <c r="Q44" s="1229"/>
      <c r="R44" s="564"/>
      <c r="S44" s="1115"/>
    </row>
    <row r="45" spans="1:19" s="303" customFormat="1">
      <c r="A45" s="578">
        <f>+'Appendix A'!A35</f>
        <v>15</v>
      </c>
      <c r="B45" s="579"/>
      <c r="C45" s="561" t="str">
        <f>+'Appendix A'!C35</f>
        <v>Transmission Plant In Service</v>
      </c>
      <c r="D45" s="580"/>
      <c r="E45" s="583" t="str">
        <f>+'Appendix A'!E35</f>
        <v>(Note B)</v>
      </c>
      <c r="F45" s="561" t="str">
        <f>+'Appendix A'!F35</f>
        <v>p207.58.g</v>
      </c>
      <c r="G45" s="673"/>
      <c r="H45" s="1082">
        <v>0</v>
      </c>
      <c r="I45" s="512"/>
      <c r="J45" s="1228"/>
      <c r="K45" s="1228"/>
      <c r="L45" s="1228"/>
      <c r="M45" s="1228"/>
      <c r="N45" s="1228"/>
      <c r="O45" s="1228"/>
      <c r="P45" s="1228"/>
      <c r="Q45" s="1229"/>
      <c r="R45" s="564"/>
      <c r="S45" s="1115"/>
    </row>
    <row r="46" spans="1:19" s="303" customFormat="1">
      <c r="A46" s="593"/>
      <c r="B46" s="588"/>
      <c r="C46" s="610"/>
      <c r="D46" s="588"/>
      <c r="E46" s="595"/>
      <c r="F46" s="610"/>
      <c r="G46" s="673"/>
      <c r="H46" s="1028"/>
      <c r="I46" s="512"/>
      <c r="J46" s="1228"/>
      <c r="K46" s="1228"/>
      <c r="L46" s="1228"/>
      <c r="M46" s="1228"/>
      <c r="N46" s="1228"/>
      <c r="O46" s="1228"/>
      <c r="P46" s="1228"/>
      <c r="Q46" s="1229"/>
      <c r="R46" s="564"/>
      <c r="S46" s="1115"/>
    </row>
    <row r="47" spans="1:19" s="303" customFormat="1">
      <c r="A47" s="578"/>
      <c r="B47" s="574" t="s">
        <v>426</v>
      </c>
      <c r="C47" s="582"/>
      <c r="D47" s="611"/>
      <c r="E47" s="612"/>
      <c r="F47" s="672"/>
      <c r="G47" s="596"/>
      <c r="H47" s="272"/>
      <c r="I47" s="588"/>
      <c r="J47" s="1228"/>
      <c r="K47" s="1228"/>
      <c r="L47" s="1228"/>
      <c r="M47" s="1228"/>
      <c r="N47" s="1228"/>
      <c r="O47" s="1228"/>
      <c r="P47" s="1228"/>
      <c r="Q47" s="658"/>
      <c r="R47" s="564"/>
      <c r="S47" s="1115"/>
    </row>
    <row r="48" spans="1:19" s="303" customFormat="1">
      <c r="A48" s="602">
        <f>+'Appendix A'!A56</f>
        <v>30</v>
      </c>
      <c r="B48" s="613"/>
      <c r="C48" s="547" t="str">
        <f>+'Appendix A'!C56</f>
        <v>Transmission Accumulated Depreciation</v>
      </c>
      <c r="D48" s="614"/>
      <c r="E48" s="617" t="str">
        <f>+'Appendix A'!E56</f>
        <v>(Note J)</v>
      </c>
      <c r="F48" s="547" t="str">
        <f>+'Appendix A'!F56</f>
        <v>p219.25.c</v>
      </c>
      <c r="G48" s="675"/>
      <c r="H48" s="1083">
        <v>0</v>
      </c>
      <c r="I48" s="615"/>
      <c r="J48" s="1232"/>
      <c r="K48" s="1232"/>
      <c r="L48" s="1232"/>
      <c r="M48" s="1232"/>
      <c r="N48" s="1232"/>
      <c r="O48" s="1232"/>
      <c r="P48" s="1232"/>
      <c r="Q48" s="1233"/>
      <c r="R48" s="564"/>
      <c r="S48" s="1115"/>
    </row>
    <row r="49" spans="1:19">
      <c r="A49" s="563"/>
      <c r="B49" s="563"/>
      <c r="C49" s="563"/>
      <c r="D49" s="563"/>
      <c r="E49" s="563"/>
      <c r="F49" s="563"/>
      <c r="G49" s="563"/>
      <c r="H49" s="563"/>
      <c r="I49" s="563"/>
      <c r="J49" s="654"/>
      <c r="K49" s="654"/>
      <c r="L49" s="654"/>
      <c r="M49" s="654"/>
      <c r="N49" s="654"/>
      <c r="O49" s="654"/>
      <c r="P49" s="654"/>
      <c r="Q49" s="654"/>
      <c r="R49" s="563"/>
    </row>
    <row r="50" spans="1:19">
      <c r="A50" s="563"/>
      <c r="B50" s="563"/>
      <c r="C50" s="563"/>
      <c r="D50" s="563"/>
      <c r="E50" s="563"/>
      <c r="F50" s="563"/>
      <c r="G50" s="563"/>
      <c r="H50" s="563"/>
      <c r="I50" s="563"/>
      <c r="J50" s="654"/>
      <c r="K50" s="654"/>
      <c r="L50" s="654"/>
      <c r="M50" s="654"/>
      <c r="N50" s="654"/>
      <c r="O50" s="654"/>
      <c r="P50" s="654"/>
      <c r="Q50" s="654"/>
      <c r="R50" s="563"/>
    </row>
    <row r="51" spans="1:19" s="303" customFormat="1" ht="18">
      <c r="A51" s="804" t="s">
        <v>275</v>
      </c>
      <c r="B51" s="806"/>
      <c r="C51" s="806"/>
      <c r="D51" s="806"/>
      <c r="E51" s="806"/>
      <c r="F51" s="806"/>
      <c r="G51" s="806"/>
      <c r="H51" s="806"/>
      <c r="I51" s="806"/>
      <c r="J51" s="815"/>
      <c r="K51" s="815"/>
      <c r="L51" s="815"/>
      <c r="M51" s="815"/>
      <c r="N51" s="815"/>
      <c r="O51" s="815"/>
      <c r="P51" s="815"/>
      <c r="Q51" s="815"/>
      <c r="R51" s="564"/>
      <c r="S51" s="1115"/>
    </row>
    <row r="52" spans="1:19" ht="36.75" customHeight="1">
      <c r="A52" s="1261" t="s">
        <v>369</v>
      </c>
      <c r="B52" s="1262"/>
      <c r="C52" s="1262"/>
      <c r="D52" s="1262"/>
      <c r="E52" s="1262"/>
      <c r="F52" s="1262"/>
      <c r="G52" s="812" t="str">
        <f>+G41</f>
        <v>Form 1 Amount</v>
      </c>
      <c r="H52" s="813" t="s">
        <v>133</v>
      </c>
      <c r="I52" s="813"/>
      <c r="J52" s="1234" t="s">
        <v>65</v>
      </c>
      <c r="K52" s="1235"/>
      <c r="L52" s="1235"/>
      <c r="M52" s="1235"/>
      <c r="N52" s="1235"/>
      <c r="O52" s="1235"/>
      <c r="P52" s="1235"/>
      <c r="Q52" s="1236"/>
      <c r="R52" s="563"/>
    </row>
    <row r="53" spans="1:19">
      <c r="A53" s="575"/>
      <c r="B53" s="574" t="s">
        <v>405</v>
      </c>
      <c r="C53" s="591"/>
      <c r="D53" s="591"/>
      <c r="E53" s="539"/>
      <c r="F53" s="591"/>
      <c r="G53" s="537"/>
      <c r="H53" s="536"/>
      <c r="I53" s="536"/>
      <c r="J53" s="1237"/>
      <c r="K53" s="1228"/>
      <c r="L53" s="1228"/>
      <c r="M53" s="1228"/>
      <c r="N53" s="1228"/>
      <c r="O53" s="1228"/>
      <c r="P53" s="1228"/>
      <c r="Q53" s="1229"/>
      <c r="R53" s="563"/>
    </row>
    <row r="54" spans="1:19" s="303" customFormat="1" ht="13.5" customHeight="1">
      <c r="A54" s="616">
        <f>+'Appendix A'!A121</f>
        <v>70</v>
      </c>
      <c r="B54" s="617"/>
      <c r="C54" s="618" t="str">
        <f>+'Appendix A'!C121</f>
        <v xml:space="preserve">    Less EPRI Dues</v>
      </c>
      <c r="D54" s="544"/>
      <c r="E54" s="617" t="str">
        <f>+'Appendix A'!E121</f>
        <v>(Note D)</v>
      </c>
      <c r="F54" s="547" t="str">
        <f>+'Appendix A'!F121</f>
        <v>p352 &amp; 353</v>
      </c>
      <c r="G54" s="1071">
        <v>0</v>
      </c>
      <c r="H54" s="615">
        <f>G54</f>
        <v>0</v>
      </c>
      <c r="I54" s="615"/>
      <c r="J54" s="1230" t="s">
        <v>842</v>
      </c>
      <c r="K54" s="1230"/>
      <c r="L54" s="1230"/>
      <c r="M54" s="1230"/>
      <c r="N54" s="1230"/>
      <c r="O54" s="1230"/>
      <c r="P54" s="1230"/>
      <c r="Q54" s="1231"/>
      <c r="R54" s="564"/>
      <c r="S54" s="1115"/>
    </row>
    <row r="55" spans="1:19">
      <c r="A55" s="563"/>
      <c r="B55" s="563"/>
      <c r="C55" s="563"/>
      <c r="D55" s="563"/>
      <c r="E55" s="563"/>
      <c r="F55" s="563"/>
      <c r="G55" s="563"/>
      <c r="H55" s="563"/>
      <c r="I55" s="563"/>
      <c r="J55" s="654"/>
      <c r="K55" s="654"/>
      <c r="L55" s="654"/>
      <c r="M55" s="654"/>
      <c r="N55" s="654"/>
      <c r="O55" s="654"/>
      <c r="P55" s="654"/>
      <c r="Q55" s="654"/>
      <c r="R55" s="563"/>
    </row>
    <row r="56" spans="1:19">
      <c r="A56" s="806"/>
      <c r="B56" s="806"/>
      <c r="C56" s="806"/>
      <c r="D56" s="806"/>
      <c r="E56" s="806"/>
      <c r="F56" s="806"/>
      <c r="G56" s="806"/>
      <c r="H56" s="806"/>
      <c r="I56" s="806"/>
      <c r="J56" s="815"/>
      <c r="K56" s="815"/>
      <c r="L56" s="815"/>
      <c r="M56" s="815"/>
      <c r="N56" s="815"/>
      <c r="O56" s="815"/>
      <c r="P56" s="815"/>
      <c r="Q56" s="815"/>
      <c r="R56" s="563"/>
    </row>
    <row r="57" spans="1:19" s="303" customFormat="1" ht="18">
      <c r="A57" s="804" t="s">
        <v>330</v>
      </c>
      <c r="B57" s="806"/>
      <c r="C57" s="806"/>
      <c r="D57" s="806"/>
      <c r="E57" s="806"/>
      <c r="F57" s="806"/>
      <c r="G57" s="806"/>
      <c r="H57" s="806"/>
      <c r="I57" s="806"/>
      <c r="J57" s="815"/>
      <c r="K57" s="815"/>
      <c r="L57" s="815"/>
      <c r="M57" s="815"/>
      <c r="N57" s="815"/>
      <c r="O57" s="815"/>
      <c r="P57" s="815"/>
      <c r="Q57" s="815"/>
      <c r="R57" s="564"/>
      <c r="S57" s="1115"/>
    </row>
    <row r="58" spans="1:19" ht="39.75" customHeight="1">
      <c r="A58" s="1261" t="s">
        <v>369</v>
      </c>
      <c r="B58" s="1262"/>
      <c r="C58" s="1262"/>
      <c r="D58" s="1262"/>
      <c r="E58" s="1262"/>
      <c r="F58" s="1262"/>
      <c r="G58" s="812" t="s">
        <v>493</v>
      </c>
      <c r="H58" s="813" t="s">
        <v>327</v>
      </c>
      <c r="I58" s="813" t="s">
        <v>328</v>
      </c>
      <c r="J58" s="1234" t="s">
        <v>65</v>
      </c>
      <c r="K58" s="1235"/>
      <c r="L58" s="1235"/>
      <c r="M58" s="1235"/>
      <c r="N58" s="1235"/>
      <c r="O58" s="1235"/>
      <c r="P58" s="1235"/>
      <c r="Q58" s="1236"/>
      <c r="R58" s="563"/>
    </row>
    <row r="59" spans="1:19">
      <c r="A59" s="575"/>
      <c r="B59" s="574" t="s">
        <v>405</v>
      </c>
      <c r="C59" s="591"/>
      <c r="D59" s="591"/>
      <c r="E59" s="539"/>
      <c r="F59" s="591"/>
      <c r="G59" s="537"/>
      <c r="H59" s="473"/>
      <c r="I59" s="536"/>
      <c r="J59" s="1214"/>
      <c r="K59" s="1215"/>
      <c r="L59" s="1215"/>
      <c r="M59" s="1215"/>
      <c r="N59" s="1215"/>
      <c r="O59" s="1215"/>
      <c r="P59" s="1215"/>
      <c r="Q59" s="1216"/>
      <c r="R59" s="563"/>
    </row>
    <row r="60" spans="1:19">
      <c r="A60" s="575"/>
      <c r="B60" s="574"/>
      <c r="C60" s="591"/>
      <c r="D60" s="591"/>
      <c r="E60" s="539"/>
      <c r="F60" s="591"/>
      <c r="G60" s="537"/>
      <c r="H60" s="473"/>
      <c r="I60" s="536"/>
      <c r="J60" s="1214"/>
      <c r="K60" s="1215"/>
      <c r="L60" s="1215"/>
      <c r="M60" s="1215"/>
      <c r="N60" s="1215"/>
      <c r="O60" s="1215"/>
      <c r="P60" s="1215"/>
      <c r="Q60" s="1216"/>
      <c r="R60" s="563"/>
    </row>
    <row r="61" spans="1:19" ht="12.75" customHeight="1">
      <c r="A61" s="575">
        <f>'Appendix A'!A113</f>
        <v>62</v>
      </c>
      <c r="B61" s="574"/>
      <c r="C61" s="186" t="str">
        <f>'Appendix A'!C113</f>
        <v>Total A&amp;G</v>
      </c>
      <c r="D61" s="591"/>
      <c r="E61" s="539"/>
      <c r="F61" s="546" t="s">
        <v>58</v>
      </c>
      <c r="G61" s="1052">
        <v>488643995</v>
      </c>
      <c r="H61" s="1101">
        <v>-13094990</v>
      </c>
      <c r="I61" s="538">
        <f>H61+G61</f>
        <v>475549005</v>
      </c>
      <c r="J61" s="1286"/>
      <c r="K61" s="1286"/>
      <c r="L61" s="1286"/>
      <c r="M61" s="1286"/>
      <c r="N61" s="1286"/>
      <c r="O61" s="1286"/>
      <c r="P61" s="1286"/>
      <c r="Q61" s="1287"/>
      <c r="R61" s="563"/>
    </row>
    <row r="62" spans="1:19">
      <c r="A62" s="575"/>
      <c r="B62" s="574"/>
      <c r="C62" s="186"/>
      <c r="D62" s="591"/>
      <c r="E62" s="539"/>
      <c r="F62" s="546"/>
      <c r="G62" s="1094"/>
      <c r="H62" s="1051"/>
      <c r="I62" s="538"/>
      <c r="J62" s="1286"/>
      <c r="K62" s="1286"/>
      <c r="L62" s="1286"/>
      <c r="M62" s="1286"/>
      <c r="N62" s="1286"/>
      <c r="O62" s="1286"/>
      <c r="P62" s="1286"/>
      <c r="Q62" s="1287"/>
      <c r="R62" s="563"/>
    </row>
    <row r="63" spans="1:19">
      <c r="A63" s="619">
        <f>+'Appendix A'!A114</f>
        <v>63</v>
      </c>
      <c r="B63" s="574"/>
      <c r="C63" s="186" t="s">
        <v>583</v>
      </c>
      <c r="D63" s="591"/>
      <c r="E63" s="539"/>
      <c r="F63" s="186" t="s">
        <v>462</v>
      </c>
      <c r="G63" s="1052">
        <v>-6752430</v>
      </c>
      <c r="H63" s="1095"/>
      <c r="I63" s="538"/>
      <c r="J63" s="1214"/>
      <c r="K63" s="1215"/>
      <c r="L63" s="1215"/>
      <c r="M63" s="1215"/>
      <c r="N63" s="1215"/>
      <c r="O63" s="1215"/>
      <c r="P63" s="1215"/>
      <c r="Q63" s="1216"/>
      <c r="R63" s="563"/>
    </row>
    <row r="64" spans="1:19" ht="12.75" customHeight="1">
      <c r="A64" s="619">
        <f>+'Appendix A'!A115</f>
        <v>64</v>
      </c>
      <c r="B64" s="536"/>
      <c r="C64" s="620" t="s">
        <v>585</v>
      </c>
      <c r="D64" s="536"/>
      <c r="E64" s="536"/>
      <c r="F64" s="186" t="s">
        <v>59</v>
      </c>
      <c r="G64" s="1052">
        <v>-6752430</v>
      </c>
      <c r="H64" s="1096"/>
      <c r="I64" s="536"/>
      <c r="J64" s="1214" t="s">
        <v>250</v>
      </c>
      <c r="K64" s="1215"/>
      <c r="L64" s="1215"/>
      <c r="M64" s="1215"/>
      <c r="N64" s="1215"/>
      <c r="O64" s="1215"/>
      <c r="P64" s="1215"/>
      <c r="Q64" s="1216"/>
      <c r="R64" s="563"/>
    </row>
    <row r="65" spans="1:19" ht="27" customHeight="1">
      <c r="A65" s="619">
        <f>+'Appendix A'!A116</f>
        <v>65</v>
      </c>
      <c r="B65" s="574"/>
      <c r="C65" s="186" t="s">
        <v>584</v>
      </c>
      <c r="D65" s="591"/>
      <c r="E65" s="539"/>
      <c r="F65" s="186" t="s">
        <v>462</v>
      </c>
      <c r="G65" s="1052">
        <v>17019039</v>
      </c>
      <c r="H65" s="1096"/>
      <c r="I65" s="538"/>
      <c r="J65" s="1285" t="s">
        <v>841</v>
      </c>
      <c r="K65" s="1215"/>
      <c r="L65" s="1215"/>
      <c r="M65" s="1215"/>
      <c r="N65" s="1215"/>
      <c r="O65" s="1215"/>
      <c r="P65" s="1215"/>
      <c r="Q65" s="1216"/>
      <c r="R65" s="563"/>
    </row>
    <row r="66" spans="1:19" ht="12.75" customHeight="1">
      <c r="A66" s="619">
        <f>+'Appendix A'!A117</f>
        <v>66</v>
      </c>
      <c r="B66" s="536"/>
      <c r="C66" s="620" t="s">
        <v>567</v>
      </c>
      <c r="D66" s="272"/>
      <c r="E66" s="272"/>
      <c r="F66" s="186" t="s">
        <v>59</v>
      </c>
      <c r="G66" s="1052">
        <v>532127</v>
      </c>
      <c r="H66" s="1096"/>
      <c r="I66" s="272"/>
      <c r="J66" s="1214"/>
      <c r="K66" s="1215"/>
      <c r="L66" s="1215"/>
      <c r="M66" s="1215"/>
      <c r="N66" s="1215"/>
      <c r="O66" s="1215"/>
      <c r="P66" s="1215"/>
      <c r="Q66" s="1216"/>
      <c r="R66" s="563"/>
    </row>
    <row r="67" spans="1:19">
      <c r="A67" s="616"/>
      <c r="B67" s="617"/>
      <c r="C67" s="618"/>
      <c r="D67" s="545"/>
      <c r="E67" s="605"/>
      <c r="F67" s="547"/>
      <c r="G67" s="621"/>
      <c r="H67" s="548"/>
      <c r="I67" s="622"/>
      <c r="J67" s="1225"/>
      <c r="K67" s="1226"/>
      <c r="L67" s="1226"/>
      <c r="M67" s="1226"/>
      <c r="N67" s="1226"/>
      <c r="O67" s="1226"/>
      <c r="P67" s="1226"/>
      <c r="Q67" s="1227"/>
      <c r="R67" s="563"/>
    </row>
    <row r="68" spans="1:19">
      <c r="A68" s="563"/>
      <c r="B68" s="563"/>
      <c r="C68" s="563"/>
      <c r="D68" s="563"/>
      <c r="E68" s="563"/>
      <c r="F68" s="563"/>
      <c r="G68" s="563"/>
      <c r="H68" s="563"/>
      <c r="I68" s="563"/>
      <c r="J68" s="654"/>
      <c r="K68" s="654"/>
      <c r="L68" s="654"/>
      <c r="M68" s="654"/>
      <c r="N68" s="654"/>
      <c r="O68" s="654"/>
      <c r="P68" s="654"/>
      <c r="Q68" s="654"/>
      <c r="R68" s="563"/>
    </row>
    <row r="69" spans="1:19">
      <c r="A69" s="563"/>
      <c r="B69" s="563"/>
      <c r="C69" s="563"/>
      <c r="D69" s="563"/>
      <c r="E69" s="563"/>
      <c r="F69" s="563"/>
      <c r="G69" s="563"/>
      <c r="H69" s="563"/>
      <c r="I69" s="563"/>
      <c r="J69" s="654"/>
      <c r="K69" s="654"/>
      <c r="L69" s="654"/>
      <c r="M69" s="654"/>
      <c r="N69" s="654"/>
      <c r="O69" s="654"/>
      <c r="P69" s="654"/>
      <c r="Q69" s="654"/>
      <c r="R69" s="563"/>
    </row>
    <row r="70" spans="1:19" s="303" customFormat="1" ht="18">
      <c r="A70" s="804" t="s">
        <v>277</v>
      </c>
      <c r="B70" s="806"/>
      <c r="C70" s="806"/>
      <c r="D70" s="806"/>
      <c r="E70" s="806"/>
      <c r="F70" s="806"/>
      <c r="G70" s="806"/>
      <c r="H70" s="806"/>
      <c r="I70" s="806"/>
      <c r="J70" s="815"/>
      <c r="K70" s="815"/>
      <c r="L70" s="815"/>
      <c r="M70" s="815"/>
      <c r="N70" s="815"/>
      <c r="O70" s="815"/>
      <c r="P70" s="815"/>
      <c r="Q70" s="815"/>
      <c r="R70" s="564"/>
      <c r="S70" s="1115"/>
    </row>
    <row r="71" spans="1:19" ht="48" customHeight="1">
      <c r="A71" s="1261" t="s">
        <v>595</v>
      </c>
      <c r="B71" s="1262"/>
      <c r="C71" s="1262"/>
      <c r="D71" s="1262"/>
      <c r="E71" s="1262"/>
      <c r="F71" s="1262"/>
      <c r="G71" s="812" t="s">
        <v>142</v>
      </c>
      <c r="H71" s="813" t="s">
        <v>143</v>
      </c>
      <c r="I71" s="813" t="s">
        <v>255</v>
      </c>
      <c r="J71" s="1234" t="s">
        <v>65</v>
      </c>
      <c r="K71" s="1235"/>
      <c r="L71" s="1235"/>
      <c r="M71" s="1235"/>
      <c r="N71" s="1235"/>
      <c r="O71" s="1235"/>
      <c r="P71" s="1235"/>
      <c r="Q71" s="1236"/>
      <c r="R71" s="563"/>
    </row>
    <row r="72" spans="1:19">
      <c r="A72" s="575"/>
      <c r="B72" s="574" t="s">
        <v>404</v>
      </c>
      <c r="C72" s="546"/>
      <c r="D72" s="591"/>
      <c r="E72" s="612"/>
      <c r="F72" s="610"/>
      <c r="G72" s="550"/>
      <c r="H72" s="511"/>
      <c r="I72" s="500"/>
      <c r="J72" s="1214"/>
      <c r="K72" s="1215"/>
      <c r="L72" s="1215"/>
      <c r="M72" s="1215"/>
      <c r="N72" s="1215"/>
      <c r="O72" s="1215"/>
      <c r="P72" s="1215"/>
      <c r="Q72" s="1216"/>
      <c r="R72" s="563"/>
    </row>
    <row r="73" spans="1:19" s="303" customFormat="1" ht="29.25" customHeight="1">
      <c r="A73" s="616">
        <f>+'Appendix A'!A127</f>
        <v>74</v>
      </c>
      <c r="B73" s="623"/>
      <c r="C73" s="618" t="str">
        <f>+'Appendix A'!C127</f>
        <v>Regulatory Commission Exp Account 928</v>
      </c>
      <c r="D73" s="624"/>
      <c r="E73" s="617" t="str">
        <f>+'Appendix A'!E127</f>
        <v>(Note G)</v>
      </c>
      <c r="F73" s="1049" t="s">
        <v>411</v>
      </c>
      <c r="G73" s="1078">
        <v>2389788</v>
      </c>
      <c r="H73" s="1150">
        <v>17249</v>
      </c>
      <c r="I73" s="607">
        <f>G73-H73</f>
        <v>2372539</v>
      </c>
      <c r="J73" s="1225" t="s">
        <v>551</v>
      </c>
      <c r="K73" s="1226"/>
      <c r="L73" s="1226"/>
      <c r="M73" s="1226"/>
      <c r="N73" s="1226"/>
      <c r="O73" s="1226"/>
      <c r="P73" s="1226"/>
      <c r="Q73" s="1227"/>
      <c r="R73" s="564"/>
      <c r="S73" s="1115"/>
    </row>
    <row r="74" spans="1:19">
      <c r="A74" s="563"/>
      <c r="B74" s="563"/>
      <c r="C74" s="563"/>
      <c r="D74" s="563"/>
      <c r="E74" s="563"/>
      <c r="F74" s="563"/>
      <c r="G74" s="563"/>
      <c r="H74" s="563"/>
      <c r="I74" s="563"/>
      <c r="J74" s="654"/>
      <c r="K74" s="654"/>
      <c r="L74" s="654"/>
      <c r="M74" s="654"/>
      <c r="N74" s="654"/>
      <c r="O74" s="654"/>
      <c r="P74" s="654"/>
      <c r="Q74" s="654"/>
      <c r="R74" s="563"/>
    </row>
    <row r="75" spans="1:19">
      <c r="A75" s="563"/>
      <c r="B75" s="563"/>
      <c r="C75" s="563"/>
      <c r="D75" s="563"/>
      <c r="E75" s="563"/>
      <c r="F75" s="563"/>
      <c r="G75" s="563"/>
      <c r="H75" s="654"/>
      <c r="I75" s="563"/>
      <c r="J75" s="679"/>
      <c r="K75" s="654"/>
      <c r="L75" s="654"/>
      <c r="M75" s="654"/>
      <c r="N75" s="654"/>
      <c r="O75" s="654"/>
      <c r="P75" s="654"/>
      <c r="Q75" s="654"/>
      <c r="R75" s="563"/>
    </row>
    <row r="76" spans="1:19" s="303" customFormat="1" ht="18">
      <c r="A76" s="804" t="s">
        <v>278</v>
      </c>
      <c r="B76" s="806"/>
      <c r="C76" s="806"/>
      <c r="D76" s="806"/>
      <c r="E76" s="806"/>
      <c r="F76" s="806"/>
      <c r="G76" s="806"/>
      <c r="H76" s="806"/>
      <c r="I76" s="806"/>
      <c r="J76" s="815"/>
      <c r="K76" s="815"/>
      <c r="L76" s="815"/>
      <c r="M76" s="815"/>
      <c r="N76" s="815"/>
      <c r="O76" s="815"/>
      <c r="P76" s="815"/>
      <c r="Q76" s="815"/>
      <c r="R76" s="564"/>
      <c r="S76" s="1115"/>
    </row>
    <row r="77" spans="1:19" ht="31.5" customHeight="1">
      <c r="A77" s="1261" t="s">
        <v>595</v>
      </c>
      <c r="B77" s="1262"/>
      <c r="C77" s="1262"/>
      <c r="D77" s="1262"/>
      <c r="E77" s="1262"/>
      <c r="F77" s="1262"/>
      <c r="G77" s="812" t="s">
        <v>142</v>
      </c>
      <c r="H77" s="813" t="s">
        <v>145</v>
      </c>
      <c r="I77" s="813" t="s">
        <v>257</v>
      </c>
      <c r="J77" s="1234" t="s">
        <v>65</v>
      </c>
      <c r="K77" s="1235"/>
      <c r="L77" s="1235"/>
      <c r="M77" s="1235"/>
      <c r="N77" s="1235"/>
      <c r="O77" s="1235"/>
      <c r="P77" s="1235"/>
      <c r="Q77" s="1236"/>
      <c r="R77" s="563"/>
    </row>
    <row r="78" spans="1:19">
      <c r="A78" s="575"/>
      <c r="B78" s="574" t="s">
        <v>404</v>
      </c>
      <c r="C78" s="272"/>
      <c r="D78" s="591"/>
      <c r="E78" s="511"/>
      <c r="F78" s="559"/>
      <c r="G78" s="537"/>
      <c r="H78" s="536"/>
      <c r="I78" s="536"/>
      <c r="J78" s="1214"/>
      <c r="K78" s="1215"/>
      <c r="L78" s="1215"/>
      <c r="M78" s="1215"/>
      <c r="N78" s="1215"/>
      <c r="O78" s="1215"/>
      <c r="P78" s="1215"/>
      <c r="Q78" s="1216"/>
      <c r="R78" s="563"/>
    </row>
    <row r="79" spans="1:19" s="303" customFormat="1">
      <c r="A79" s="625">
        <f>+'Appendix A'!A132</f>
        <v>78</v>
      </c>
      <c r="B79" s="623"/>
      <c r="C79" s="626" t="str">
        <f>+'Appendix A'!C132</f>
        <v>General Advertising Exp Account 930.1</v>
      </c>
      <c r="D79" s="627"/>
      <c r="E79" s="617" t="str">
        <f>+'Appendix A'!E132</f>
        <v>(Note F)</v>
      </c>
      <c r="F79" s="618" t="str">
        <f>'Appendix A'!F120</f>
        <v>p323.191.b</v>
      </c>
      <c r="G79" s="662">
        <f>'Appendix A'!H120</f>
        <v>5727838</v>
      </c>
      <c r="H79" s="1150">
        <v>0</v>
      </c>
      <c r="I79" s="628">
        <f>G79</f>
        <v>5727838</v>
      </c>
      <c r="J79" s="1223"/>
      <c r="K79" s="1223"/>
      <c r="L79" s="1223"/>
      <c r="M79" s="1223"/>
      <c r="N79" s="1223"/>
      <c r="O79" s="1223"/>
      <c r="P79" s="1223"/>
      <c r="Q79" s="1224"/>
      <c r="R79" s="564"/>
      <c r="S79" s="1115"/>
    </row>
    <row r="80" spans="1:19">
      <c r="A80" s="563"/>
      <c r="B80" s="563"/>
      <c r="C80" s="563"/>
      <c r="D80" s="563"/>
      <c r="E80" s="563"/>
      <c r="F80" s="563"/>
      <c r="G80" s="563"/>
      <c r="H80" s="563"/>
      <c r="I80" s="563"/>
      <c r="J80" s="654"/>
      <c r="K80" s="654"/>
      <c r="L80" s="654"/>
      <c r="M80" s="654"/>
      <c r="N80" s="654"/>
      <c r="O80" s="654"/>
      <c r="P80" s="654"/>
      <c r="Q80" s="654"/>
      <c r="R80" s="563"/>
    </row>
    <row r="81" spans="1:19">
      <c r="A81" s="563"/>
      <c r="B81" s="563"/>
      <c r="C81" s="563"/>
      <c r="D81" s="563"/>
      <c r="E81" s="563"/>
      <c r="F81" s="563"/>
      <c r="G81" s="563"/>
      <c r="H81" s="563"/>
      <c r="I81" s="563"/>
      <c r="J81" s="654"/>
      <c r="K81" s="654"/>
      <c r="L81" s="654"/>
      <c r="M81" s="654"/>
      <c r="N81" s="654"/>
      <c r="O81" s="654"/>
      <c r="P81" s="654"/>
      <c r="Q81" s="654"/>
      <c r="R81" s="563"/>
    </row>
    <row r="82" spans="1:19" s="303" customFormat="1" ht="18">
      <c r="A82" s="804" t="s">
        <v>141</v>
      </c>
      <c r="B82" s="806"/>
      <c r="C82" s="806"/>
      <c r="D82" s="806"/>
      <c r="E82" s="806"/>
      <c r="F82" s="806"/>
      <c r="G82" s="806"/>
      <c r="H82" s="806"/>
      <c r="I82" s="806"/>
      <c r="J82" s="815"/>
      <c r="K82" s="815"/>
      <c r="L82" s="815"/>
      <c r="M82" s="815"/>
      <c r="N82" s="815"/>
      <c r="O82" s="815"/>
      <c r="P82" s="815"/>
      <c r="Q82" s="815"/>
      <c r="R82" s="564"/>
      <c r="S82" s="1115"/>
    </row>
    <row r="83" spans="1:19">
      <c r="A83" s="1261" t="s">
        <v>595</v>
      </c>
      <c r="B83" s="1262"/>
      <c r="C83" s="1262"/>
      <c r="D83" s="1262"/>
      <c r="E83" s="1262"/>
      <c r="F83" s="1262"/>
      <c r="G83" s="812" t="s">
        <v>146</v>
      </c>
      <c r="H83" s="813" t="s">
        <v>147</v>
      </c>
      <c r="I83" s="813" t="s">
        <v>148</v>
      </c>
      <c r="J83" s="816" t="s">
        <v>149</v>
      </c>
      <c r="K83" s="816" t="s">
        <v>150</v>
      </c>
      <c r="L83" s="1234" t="s">
        <v>65</v>
      </c>
      <c r="M83" s="1235"/>
      <c r="N83" s="1235"/>
      <c r="O83" s="1235"/>
      <c r="P83" s="1235"/>
      <c r="Q83" s="1236"/>
      <c r="R83" s="563"/>
    </row>
    <row r="84" spans="1:19">
      <c r="A84" s="630" t="s">
        <v>391</v>
      </c>
      <c r="B84" s="631" t="s">
        <v>470</v>
      </c>
      <c r="C84" s="559"/>
      <c r="D84" s="559"/>
      <c r="E84" s="511"/>
      <c r="F84" s="663"/>
      <c r="G84" s="537"/>
      <c r="H84" s="536"/>
      <c r="I84" s="536"/>
      <c r="J84" s="553"/>
      <c r="K84" s="553"/>
      <c r="L84" s="1241"/>
      <c r="M84" s="1241"/>
      <c r="N84" s="1241"/>
      <c r="O84" s="1241"/>
      <c r="P84" s="1241"/>
      <c r="Q84" s="1242"/>
      <c r="R84" s="563"/>
    </row>
    <row r="85" spans="1:19">
      <c r="A85" s="630"/>
      <c r="B85" s="631"/>
      <c r="C85" s="559"/>
      <c r="D85" s="559"/>
      <c r="E85" s="511"/>
      <c r="F85" s="663"/>
      <c r="G85" s="550" t="s">
        <v>659</v>
      </c>
      <c r="H85" s="500"/>
      <c r="I85" s="500"/>
      <c r="J85" s="641"/>
      <c r="K85" s="641"/>
      <c r="L85" s="1237"/>
      <c r="M85" s="1237"/>
      <c r="N85" s="1237"/>
      <c r="O85" s="1237"/>
      <c r="P85" s="1237"/>
      <c r="Q85" s="1238"/>
      <c r="R85" s="563"/>
    </row>
    <row r="86" spans="1:19" s="303" customFormat="1">
      <c r="A86" s="625">
        <f>+'Appendix A'!A214</f>
        <v>129</v>
      </c>
      <c r="B86" s="632"/>
      <c r="C86" s="626" t="str">
        <f>+'Appendix A'!C214</f>
        <v>SIT=State Income Tax Rate or Composite</v>
      </c>
      <c r="D86" s="633"/>
      <c r="E86" s="617" t="str">
        <f>'Appendix A'!E213</f>
        <v>(Note I)</v>
      </c>
      <c r="F86" s="664"/>
      <c r="G86" s="757">
        <f>'Appendix A'!H214</f>
        <v>7.7499999999999999E-2</v>
      </c>
      <c r="H86" s="634"/>
      <c r="I86" s="615"/>
      <c r="J86" s="659"/>
      <c r="K86" s="659"/>
      <c r="L86" s="1217"/>
      <c r="M86" s="1217"/>
      <c r="N86" s="1217"/>
      <c r="O86" s="1217"/>
      <c r="P86" s="1217"/>
      <c r="Q86" s="1218"/>
      <c r="R86" s="564"/>
      <c r="S86" s="1115"/>
    </row>
    <row r="87" spans="1:19">
      <c r="A87" s="563"/>
      <c r="B87" s="563"/>
      <c r="C87" s="563"/>
      <c r="D87" s="563"/>
      <c r="E87" s="563"/>
      <c r="F87" s="563"/>
      <c r="G87" s="563"/>
      <c r="H87" s="563"/>
      <c r="I87" s="563"/>
      <c r="J87" s="654"/>
      <c r="K87" s="654"/>
      <c r="L87" s="654"/>
      <c r="M87" s="654"/>
      <c r="N87" s="654"/>
      <c r="O87" s="654"/>
      <c r="P87" s="654"/>
      <c r="Q87" s="654"/>
      <c r="R87" s="563"/>
    </row>
    <row r="88" spans="1:19">
      <c r="A88" s="563"/>
      <c r="B88" s="563"/>
      <c r="C88" s="563"/>
      <c r="D88" s="563"/>
      <c r="E88" s="563"/>
      <c r="F88" s="563"/>
      <c r="G88" s="563"/>
      <c r="H88" s="563"/>
      <c r="I88" s="563"/>
      <c r="J88" s="654"/>
      <c r="K88" s="654"/>
      <c r="L88" s="654"/>
      <c r="M88" s="654"/>
      <c r="N88" s="654"/>
      <c r="O88" s="654"/>
      <c r="P88" s="654"/>
      <c r="Q88" s="654"/>
      <c r="R88" s="563"/>
    </row>
    <row r="89" spans="1:19" s="303" customFormat="1" ht="18">
      <c r="A89" s="804" t="s">
        <v>279</v>
      </c>
      <c r="B89" s="806"/>
      <c r="C89" s="806"/>
      <c r="D89" s="806"/>
      <c r="E89" s="806"/>
      <c r="F89" s="806"/>
      <c r="G89" s="806"/>
      <c r="H89" s="806"/>
      <c r="I89" s="806"/>
      <c r="J89" s="815"/>
      <c r="K89" s="815"/>
      <c r="L89" s="815"/>
      <c r="M89" s="815"/>
      <c r="N89" s="815"/>
      <c r="O89" s="815"/>
      <c r="P89" s="815"/>
      <c r="Q89" s="815"/>
      <c r="R89" s="564"/>
      <c r="S89" s="1115"/>
    </row>
    <row r="90" spans="1:19" ht="33.75" customHeight="1">
      <c r="A90" s="1261" t="s">
        <v>595</v>
      </c>
      <c r="B90" s="1262"/>
      <c r="C90" s="1262"/>
      <c r="D90" s="1262"/>
      <c r="E90" s="1262"/>
      <c r="F90" s="1262"/>
      <c r="G90" s="812" t="s">
        <v>142</v>
      </c>
      <c r="H90" s="813" t="s">
        <v>151</v>
      </c>
      <c r="I90" s="813" t="s">
        <v>152</v>
      </c>
      <c r="J90" s="1234" t="s">
        <v>65</v>
      </c>
      <c r="K90" s="1235"/>
      <c r="L90" s="1235"/>
      <c r="M90" s="1235"/>
      <c r="N90" s="1235"/>
      <c r="O90" s="1235"/>
      <c r="P90" s="1235"/>
      <c r="Q90" s="1236"/>
      <c r="R90" s="563"/>
    </row>
    <row r="91" spans="1:19">
      <c r="A91" s="575"/>
      <c r="B91" s="574" t="s">
        <v>404</v>
      </c>
      <c r="C91" s="272"/>
      <c r="D91" s="591"/>
      <c r="E91" s="511"/>
      <c r="F91" s="559"/>
      <c r="G91" s="537"/>
      <c r="H91" s="536"/>
      <c r="I91" s="536"/>
      <c r="J91" s="1239"/>
      <c r="K91" s="1239"/>
      <c r="L91" s="1239"/>
      <c r="M91" s="1239"/>
      <c r="N91" s="1239"/>
      <c r="O91" s="1239"/>
      <c r="P91" s="1239"/>
      <c r="Q91" s="1240"/>
      <c r="R91" s="563"/>
    </row>
    <row r="92" spans="1:19" s="303" customFormat="1">
      <c r="A92" s="625">
        <f>+'Appendix A'!A128</f>
        <v>75</v>
      </c>
      <c r="B92" s="623"/>
      <c r="C92" s="626" t="str">
        <f>+'Appendix A'!C128</f>
        <v>General Advertising Exp Account 930.1</v>
      </c>
      <c r="D92" s="635"/>
      <c r="E92" s="617" t="str">
        <f>+'Appendix A'!E128</f>
        <v>(Note K)</v>
      </c>
      <c r="F92" s="547" t="str">
        <f>'Appendix A'!F120</f>
        <v>p323.191.b</v>
      </c>
      <c r="G92" s="676">
        <f>+G79</f>
        <v>5727838</v>
      </c>
      <c r="H92" s="1150">
        <v>88574</v>
      </c>
      <c r="I92" s="636">
        <f>G92-H92</f>
        <v>5639264</v>
      </c>
      <c r="J92" s="1223"/>
      <c r="K92" s="1223"/>
      <c r="L92" s="1223"/>
      <c r="M92" s="1223"/>
      <c r="N92" s="1223"/>
      <c r="O92" s="1223"/>
      <c r="P92" s="1223"/>
      <c r="Q92" s="1224"/>
      <c r="R92" s="564"/>
      <c r="S92" s="1115"/>
    </row>
    <row r="93" spans="1:19">
      <c r="A93" s="563"/>
      <c r="B93" s="563"/>
      <c r="C93" s="563"/>
      <c r="D93" s="563"/>
      <c r="E93" s="563"/>
      <c r="F93" s="563"/>
      <c r="G93" s="563"/>
      <c r="H93" s="563"/>
      <c r="I93" s="563"/>
      <c r="J93" s="654"/>
      <c r="K93" s="654"/>
      <c r="L93" s="654"/>
      <c r="M93" s="654"/>
      <c r="N93" s="654"/>
      <c r="O93" s="654"/>
      <c r="P93" s="654"/>
      <c r="Q93" s="654"/>
      <c r="R93" s="563"/>
    </row>
    <row r="94" spans="1:19">
      <c r="A94" s="563"/>
      <c r="B94" s="563"/>
      <c r="C94" s="563"/>
      <c r="D94" s="563"/>
      <c r="E94" s="563"/>
      <c r="F94" s="563"/>
      <c r="G94" s="563"/>
      <c r="H94" s="563"/>
      <c r="I94" s="563"/>
      <c r="J94" s="654"/>
      <c r="K94" s="654"/>
      <c r="L94" s="654"/>
      <c r="M94" s="654"/>
      <c r="N94" s="654"/>
      <c r="O94" s="654"/>
      <c r="P94" s="654"/>
      <c r="Q94" s="654"/>
      <c r="R94" s="563"/>
    </row>
    <row r="95" spans="1:19" s="303" customFormat="1" ht="18">
      <c r="A95" s="804" t="s">
        <v>281</v>
      </c>
      <c r="B95" s="806"/>
      <c r="C95" s="806"/>
      <c r="D95" s="806"/>
      <c r="E95" s="806"/>
      <c r="F95" s="806"/>
      <c r="G95" s="806"/>
      <c r="H95" s="806"/>
      <c r="I95" s="806"/>
      <c r="J95" s="815"/>
      <c r="K95" s="815"/>
      <c r="L95" s="815"/>
      <c r="M95" s="815"/>
      <c r="N95" s="815"/>
      <c r="O95" s="815"/>
      <c r="P95" s="815"/>
      <c r="Q95" s="815"/>
      <c r="R95" s="564"/>
      <c r="S95" s="1115"/>
    </row>
    <row r="96" spans="1:19" ht="43.5" customHeight="1">
      <c r="A96" s="1261" t="s">
        <v>595</v>
      </c>
      <c r="B96" s="1262"/>
      <c r="C96" s="1262"/>
      <c r="D96" s="1262"/>
      <c r="E96" s="1262"/>
      <c r="F96" s="1262"/>
      <c r="G96" s="812" t="str">
        <f>+C98</f>
        <v>Excluded Transmission Facilities</v>
      </c>
      <c r="H96" s="1211" t="s">
        <v>154</v>
      </c>
      <c r="I96" s="1212"/>
      <c r="J96" s="1212"/>
      <c r="K96" s="1212"/>
      <c r="L96" s="1212"/>
      <c r="M96" s="1212"/>
      <c r="N96" s="1212"/>
      <c r="O96" s="1212"/>
      <c r="P96" s="1212"/>
      <c r="Q96" s="1213"/>
      <c r="R96" s="563"/>
    </row>
    <row r="97" spans="1:19" ht="25.5" customHeight="1">
      <c r="A97" s="637"/>
      <c r="B97" s="574" t="s">
        <v>407</v>
      </c>
      <c r="C97" s="574"/>
      <c r="D97" s="638"/>
      <c r="E97" s="521"/>
      <c r="F97" s="639"/>
      <c r="G97" s="537"/>
      <c r="H97" s="536"/>
      <c r="I97" s="536"/>
      <c r="J97" s="553"/>
      <c r="K97" s="553"/>
      <c r="L97" s="553"/>
      <c r="M97" s="553"/>
      <c r="N97" s="553"/>
      <c r="O97" s="553"/>
      <c r="P97" s="553"/>
      <c r="Q97" s="554"/>
      <c r="R97" s="563"/>
    </row>
    <row r="98" spans="1:19" ht="12.95" customHeight="1">
      <c r="A98" s="575">
        <f>+'Appendix A'!A247</f>
        <v>149</v>
      </c>
      <c r="B98" s="583"/>
      <c r="C98" s="186" t="str">
        <f>+'Appendix A'!C247</f>
        <v>Excluded Transmission Facilities</v>
      </c>
      <c r="D98" s="638"/>
      <c r="E98" s="583" t="str">
        <f>+'Appendix A'!E247</f>
        <v>(Note M)</v>
      </c>
      <c r="F98" s="561"/>
      <c r="G98" s="549"/>
      <c r="H98" s="1243" t="s">
        <v>165</v>
      </c>
      <c r="I98" s="1243"/>
      <c r="J98" s="1243"/>
      <c r="K98" s="1243"/>
      <c r="L98" s="1243"/>
      <c r="M98" s="1243"/>
      <c r="N98" s="1243"/>
      <c r="O98" s="1243"/>
      <c r="P98" s="1243"/>
      <c r="Q98" s="1244"/>
      <c r="R98" s="563"/>
    </row>
    <row r="99" spans="1:19">
      <c r="A99" s="575"/>
      <c r="B99" s="583"/>
      <c r="C99" s="620"/>
      <c r="D99" s="638"/>
      <c r="E99" s="592"/>
      <c r="F99" s="640"/>
      <c r="G99" s="596"/>
      <c r="H99" s="588"/>
      <c r="I99" s="588"/>
      <c r="J99" s="610"/>
      <c r="K99" s="610"/>
      <c r="L99" s="610"/>
      <c r="M99" s="610"/>
      <c r="N99" s="610"/>
      <c r="O99" s="641"/>
      <c r="P99" s="553"/>
      <c r="Q99" s="554"/>
      <c r="R99" s="563"/>
    </row>
    <row r="100" spans="1:19">
      <c r="A100" s="575"/>
      <c r="B100" s="583"/>
      <c r="C100" s="620" t="s">
        <v>358</v>
      </c>
      <c r="D100" s="638"/>
      <c r="E100" s="592"/>
      <c r="F100" s="640"/>
      <c r="G100" s="550" t="s">
        <v>153</v>
      </c>
      <c r="H100" s="1243"/>
      <c r="I100" s="1243"/>
      <c r="J100" s="1243"/>
      <c r="K100" s="1243"/>
      <c r="L100" s="1243"/>
      <c r="M100" s="1243"/>
      <c r="N100" s="1243"/>
      <c r="O100" s="1243"/>
      <c r="P100" s="1243"/>
      <c r="Q100" s="1244"/>
      <c r="R100" s="563"/>
    </row>
    <row r="101" spans="1:19">
      <c r="A101" s="575"/>
      <c r="B101" s="583">
        <v>1</v>
      </c>
      <c r="C101" s="620" t="s">
        <v>546</v>
      </c>
      <c r="D101" s="638"/>
      <c r="E101" s="592"/>
      <c r="F101" s="640"/>
      <c r="G101" s="982">
        <v>0</v>
      </c>
      <c r="H101" s="1243"/>
      <c r="I101" s="1243"/>
      <c r="J101" s="1243"/>
      <c r="K101" s="1243"/>
      <c r="L101" s="1243"/>
      <c r="M101" s="1243"/>
      <c r="N101" s="1243"/>
      <c r="O101" s="1243"/>
      <c r="P101" s="1243"/>
      <c r="Q101" s="1244"/>
      <c r="R101" s="563"/>
    </row>
    <row r="102" spans="1:19">
      <c r="A102" s="575"/>
      <c r="B102" s="583"/>
      <c r="C102" s="620" t="s">
        <v>547</v>
      </c>
      <c r="D102" s="638"/>
      <c r="E102" s="592"/>
      <c r="F102" s="640"/>
      <c r="G102" s="758"/>
      <c r="H102" s="370"/>
      <c r="I102" s="371"/>
      <c r="J102" s="541"/>
      <c r="K102" s="541"/>
      <c r="L102" s="541"/>
      <c r="M102" s="541"/>
      <c r="N102" s="541"/>
      <c r="O102" s="541"/>
      <c r="P102" s="541"/>
      <c r="Q102" s="542"/>
      <c r="R102" s="563"/>
    </row>
    <row r="103" spans="1:19">
      <c r="A103" s="575"/>
      <c r="B103" s="583">
        <v>2</v>
      </c>
      <c r="C103" s="620" t="s">
        <v>359</v>
      </c>
      <c r="D103" s="638"/>
      <c r="E103" s="592"/>
      <c r="F103" s="640"/>
      <c r="G103" s="550" t="s">
        <v>360</v>
      </c>
      <c r="H103" s="1243"/>
      <c r="I103" s="1243"/>
      <c r="J103" s="1243"/>
      <c r="K103" s="1243"/>
      <c r="L103" s="1243"/>
      <c r="M103" s="1243"/>
      <c r="N103" s="1243"/>
      <c r="O103" s="1243"/>
      <c r="P103" s="1243"/>
      <c r="Q103" s="1244"/>
      <c r="R103" s="563"/>
    </row>
    <row r="104" spans="1:19">
      <c r="A104" s="575"/>
      <c r="B104" s="583"/>
      <c r="C104" s="620" t="s">
        <v>361</v>
      </c>
      <c r="D104" s="372" t="s">
        <v>362</v>
      </c>
      <c r="E104" s="592"/>
      <c r="F104" s="640"/>
      <c r="G104" s="550" t="str">
        <f>+G100</f>
        <v>Enter $</v>
      </c>
      <c r="H104" s="1243"/>
      <c r="I104" s="1243"/>
      <c r="J104" s="1243"/>
      <c r="K104" s="1243"/>
      <c r="L104" s="1243"/>
      <c r="M104" s="1243"/>
      <c r="N104" s="1243"/>
      <c r="O104" s="1243"/>
      <c r="P104" s="1243"/>
      <c r="Q104" s="1244"/>
      <c r="R104" s="563"/>
    </row>
    <row r="105" spans="1:19">
      <c r="A105" s="540"/>
      <c r="B105" s="551" t="s">
        <v>393</v>
      </c>
      <c r="C105" s="620" t="s">
        <v>363</v>
      </c>
      <c r="D105" s="552">
        <v>1000000</v>
      </c>
      <c r="E105" s="272"/>
      <c r="F105" s="272"/>
      <c r="G105" s="983"/>
      <c r="H105" s="1243"/>
      <c r="I105" s="1243"/>
      <c r="J105" s="1243"/>
      <c r="K105" s="1243"/>
      <c r="L105" s="1243"/>
      <c r="M105" s="1243"/>
      <c r="N105" s="1243"/>
      <c r="O105" s="1243"/>
      <c r="P105" s="1243"/>
      <c r="Q105" s="1244"/>
      <c r="R105" s="563"/>
    </row>
    <row r="106" spans="1:19">
      <c r="A106" s="540"/>
      <c r="B106" s="551" t="s">
        <v>494</v>
      </c>
      <c r="C106" s="620" t="s">
        <v>364</v>
      </c>
      <c r="D106" s="552">
        <v>500000</v>
      </c>
      <c r="E106" s="272"/>
      <c r="F106" s="272"/>
      <c r="G106" s="983"/>
      <c r="H106" s="1243"/>
      <c r="I106" s="1243"/>
      <c r="J106" s="1243"/>
      <c r="K106" s="1243"/>
      <c r="L106" s="1243"/>
      <c r="M106" s="1243"/>
      <c r="N106" s="1243"/>
      <c r="O106" s="1243"/>
      <c r="P106" s="1243"/>
      <c r="Q106" s="1244"/>
      <c r="R106" s="563"/>
    </row>
    <row r="107" spans="1:19">
      <c r="A107" s="540"/>
      <c r="B107" s="551" t="s">
        <v>377</v>
      </c>
      <c r="C107" s="620" t="s">
        <v>365</v>
      </c>
      <c r="D107" s="552">
        <v>400000</v>
      </c>
      <c r="E107" s="272"/>
      <c r="F107" s="272"/>
      <c r="G107" s="983"/>
      <c r="H107" s="1243"/>
      <c r="I107" s="1243"/>
      <c r="J107" s="1243"/>
      <c r="K107" s="1243"/>
      <c r="L107" s="1243"/>
      <c r="M107" s="1243"/>
      <c r="N107" s="1243"/>
      <c r="O107" s="1243"/>
      <c r="P107" s="1243"/>
      <c r="Q107" s="1244"/>
      <c r="R107" s="563"/>
    </row>
    <row r="108" spans="1:19">
      <c r="A108" s="540"/>
      <c r="B108" s="551" t="s">
        <v>394</v>
      </c>
      <c r="C108" s="620" t="s">
        <v>366</v>
      </c>
      <c r="D108" s="552">
        <f>+D105*(D107/(D106+D107))</f>
        <v>444444.44444444444</v>
      </c>
      <c r="E108" s="272"/>
      <c r="F108" s="272"/>
      <c r="G108" s="983"/>
      <c r="H108" s="1243"/>
      <c r="I108" s="1243"/>
      <c r="J108" s="1243"/>
      <c r="K108" s="1243"/>
      <c r="L108" s="1243"/>
      <c r="M108" s="1243"/>
      <c r="N108" s="1243"/>
      <c r="O108" s="1243"/>
      <c r="P108" s="1243"/>
      <c r="Q108" s="1244"/>
      <c r="R108" s="563"/>
    </row>
    <row r="109" spans="1:19">
      <c r="A109" s="543"/>
      <c r="B109" s="544"/>
      <c r="C109" s="544"/>
      <c r="D109" s="544"/>
      <c r="E109" s="544"/>
      <c r="F109" s="544"/>
      <c r="G109" s="873"/>
      <c r="H109" s="544"/>
      <c r="I109" s="544"/>
      <c r="J109" s="656"/>
      <c r="K109" s="660" t="s">
        <v>164</v>
      </c>
      <c r="L109" s="656"/>
      <c r="M109" s="656"/>
      <c r="N109" s="656"/>
      <c r="O109" s="656"/>
      <c r="P109" s="656"/>
      <c r="Q109" s="657"/>
      <c r="R109" s="563"/>
    </row>
    <row r="110" spans="1:19">
      <c r="A110" s="563"/>
      <c r="B110" s="563"/>
      <c r="C110" s="563"/>
      <c r="D110" s="563"/>
      <c r="E110" s="563"/>
      <c r="F110" s="563"/>
      <c r="G110" s="563"/>
      <c r="H110" s="563"/>
      <c r="I110" s="563"/>
      <c r="J110" s="654"/>
      <c r="K110" s="654"/>
      <c r="L110" s="654"/>
      <c r="M110" s="654"/>
      <c r="N110" s="654"/>
      <c r="O110" s="654"/>
      <c r="P110" s="654"/>
      <c r="Q110" s="654"/>
      <c r="R110" s="563"/>
    </row>
    <row r="111" spans="1:19">
      <c r="A111" s="563"/>
      <c r="B111" s="563"/>
      <c r="C111" s="563"/>
      <c r="D111" s="563"/>
      <c r="E111" s="563"/>
      <c r="F111" s="563"/>
      <c r="G111" s="563"/>
      <c r="H111" s="563"/>
      <c r="I111" s="563"/>
      <c r="J111" s="654"/>
      <c r="K111" s="654"/>
      <c r="L111" s="654"/>
      <c r="M111" s="654"/>
      <c r="N111" s="654"/>
      <c r="O111" s="654"/>
      <c r="P111" s="654"/>
      <c r="Q111" s="654"/>
      <c r="R111" s="563"/>
    </row>
    <row r="112" spans="1:19" s="303" customFormat="1" ht="18">
      <c r="A112" s="804" t="s">
        <v>321</v>
      </c>
      <c r="B112" s="806"/>
      <c r="C112" s="806"/>
      <c r="D112" s="806"/>
      <c r="E112" s="806"/>
      <c r="F112" s="806"/>
      <c r="G112" s="806"/>
      <c r="H112" s="806"/>
      <c r="I112" s="806"/>
      <c r="J112" s="815"/>
      <c r="K112" s="815"/>
      <c r="L112" s="815"/>
      <c r="M112" s="815"/>
      <c r="N112" s="815"/>
      <c r="O112" s="815"/>
      <c r="P112" s="815"/>
      <c r="Q112" s="815"/>
      <c r="R112" s="564"/>
      <c r="S112" s="1115"/>
    </row>
    <row r="113" spans="1:19" ht="12.75" customHeight="1">
      <c r="A113" s="1261" t="s">
        <v>595</v>
      </c>
      <c r="B113" s="1262"/>
      <c r="C113" s="1262"/>
      <c r="D113" s="1262"/>
      <c r="E113" s="1262"/>
      <c r="F113" s="1269"/>
      <c r="G113" s="1263" t="s">
        <v>367</v>
      </c>
      <c r="H113" s="1264"/>
      <c r="I113" s="1264"/>
      <c r="J113" s="1264"/>
      <c r="K113" s="1264"/>
      <c r="L113" s="1264"/>
      <c r="M113" s="1264"/>
      <c r="N113" s="1264"/>
      <c r="O113" s="1264"/>
      <c r="P113" s="1264"/>
      <c r="Q113" s="1265"/>
      <c r="R113" s="563"/>
    </row>
    <row r="114" spans="1:19">
      <c r="A114" s="540">
        <f>+'Appendix A'!A81</f>
        <v>44</v>
      </c>
      <c r="B114" s="582" t="s">
        <v>427</v>
      </c>
      <c r="C114" s="556"/>
      <c r="D114" s="641"/>
      <c r="E114" s="511" t="s">
        <v>323</v>
      </c>
      <c r="F114" s="642"/>
      <c r="G114" s="1266"/>
      <c r="H114" s="1267"/>
      <c r="I114" s="1267"/>
      <c r="J114" s="1267"/>
      <c r="K114" s="1267"/>
      <c r="L114" s="1267"/>
      <c r="M114" s="1267"/>
      <c r="N114" s="1267"/>
      <c r="O114" s="1267"/>
      <c r="P114" s="1267"/>
      <c r="Q114" s="1268"/>
      <c r="R114" s="563"/>
    </row>
    <row r="115" spans="1:19" ht="12.6" customHeight="1">
      <c r="A115" s="575"/>
      <c r="B115" s="583"/>
      <c r="C115" s="272" t="s">
        <v>351</v>
      </c>
      <c r="D115" s="1069">
        <v>15494438</v>
      </c>
      <c r="E115" s="1006">
        <f>+'Appendix A'!H15</f>
        <v>0.13134730519136981</v>
      </c>
      <c r="F115" s="643">
        <f>+D115*E115</f>
        <v>2035152.6767547575</v>
      </c>
      <c r="G115" s="1270" t="s">
        <v>671</v>
      </c>
      <c r="H115" s="1271"/>
      <c r="I115" s="1271"/>
      <c r="J115" s="1271"/>
      <c r="K115" s="1271"/>
      <c r="L115" s="1271"/>
      <c r="M115" s="1271"/>
      <c r="N115" s="1271"/>
      <c r="O115" s="1271"/>
      <c r="P115" s="1271"/>
      <c r="Q115" s="1272"/>
      <c r="R115" s="563"/>
    </row>
    <row r="116" spans="1:19">
      <c r="A116" s="575"/>
      <c r="B116" s="583"/>
      <c r="C116" s="272"/>
      <c r="D116" s="552"/>
      <c r="E116" s="644"/>
      <c r="F116" s="643"/>
      <c r="G116" s="1270"/>
      <c r="H116" s="1271"/>
      <c r="I116" s="1271"/>
      <c r="J116" s="1271"/>
      <c r="K116" s="1271"/>
      <c r="L116" s="1271"/>
      <c r="M116" s="1271"/>
      <c r="N116" s="1271"/>
      <c r="O116" s="1271"/>
      <c r="P116" s="1271"/>
      <c r="Q116" s="1272"/>
      <c r="R116" s="563"/>
    </row>
    <row r="117" spans="1:19">
      <c r="A117" s="540">
        <f>+'Appendix A'!A138</f>
        <v>82</v>
      </c>
      <c r="B117" s="582" t="s">
        <v>322</v>
      </c>
      <c r="C117" s="272"/>
      <c r="D117" s="552"/>
      <c r="E117" s="644"/>
      <c r="F117" s="643"/>
      <c r="G117" s="1270"/>
      <c r="H117" s="1271"/>
      <c r="I117" s="1271"/>
      <c r="J117" s="1271"/>
      <c r="K117" s="1271"/>
      <c r="L117" s="1271"/>
      <c r="M117" s="1271"/>
      <c r="N117" s="1271"/>
      <c r="O117" s="1271"/>
      <c r="P117" s="1271"/>
      <c r="Q117" s="1272"/>
      <c r="R117" s="563"/>
    </row>
    <row r="118" spans="1:19" ht="27" customHeight="1">
      <c r="A118" s="575"/>
      <c r="B118" s="583"/>
      <c r="C118" s="645" t="s">
        <v>204</v>
      </c>
      <c r="D118" s="1069">
        <v>1343152617</v>
      </c>
      <c r="E118" s="644"/>
      <c r="F118" s="643"/>
      <c r="G118" s="1270" t="s">
        <v>821</v>
      </c>
      <c r="H118" s="1271"/>
      <c r="I118" s="1271"/>
      <c r="J118" s="1271"/>
      <c r="K118" s="1271"/>
      <c r="L118" s="1271"/>
      <c r="M118" s="1271"/>
      <c r="N118" s="1271"/>
      <c r="O118" s="1271"/>
      <c r="P118" s="1271"/>
      <c r="Q118" s="1272"/>
      <c r="R118" s="563"/>
    </row>
    <row r="119" spans="1:19">
      <c r="A119" s="575"/>
      <c r="B119" s="583"/>
      <c r="C119" s="272" t="s">
        <v>205</v>
      </c>
      <c r="D119" s="926">
        <f>'1 - ADIT'!D146</f>
        <v>-377415651</v>
      </c>
      <c r="E119" s="646"/>
      <c r="F119" s="647"/>
      <c r="G119" s="1270"/>
      <c r="H119" s="1271"/>
      <c r="I119" s="1271"/>
      <c r="J119" s="1271"/>
      <c r="K119" s="1271"/>
      <c r="L119" s="1271"/>
      <c r="M119" s="1271"/>
      <c r="N119" s="1271"/>
      <c r="O119" s="1271"/>
      <c r="P119" s="1271"/>
      <c r="Q119" s="1272"/>
      <c r="R119" s="563"/>
    </row>
    <row r="120" spans="1:19">
      <c r="A120" s="616"/>
      <c r="B120" s="617"/>
      <c r="C120" s="618" t="s">
        <v>206</v>
      </c>
      <c r="D120" s="927">
        <f>D118+D119</f>
        <v>965736966</v>
      </c>
      <c r="E120" s="1007">
        <f>E115</f>
        <v>0.13134730519136981</v>
      </c>
      <c r="F120" s="648">
        <f>D120*E120</f>
        <v>126846948.00778952</v>
      </c>
      <c r="G120" s="1275"/>
      <c r="H120" s="1276"/>
      <c r="I120" s="1276"/>
      <c r="J120" s="1276"/>
      <c r="K120" s="1276"/>
      <c r="L120" s="1276"/>
      <c r="M120" s="1276"/>
      <c r="N120" s="1276"/>
      <c r="O120" s="1276"/>
      <c r="P120" s="1276"/>
      <c r="Q120" s="1277"/>
      <c r="R120" s="563"/>
    </row>
    <row r="121" spans="1:19">
      <c r="A121" s="563"/>
      <c r="B121" s="563"/>
      <c r="C121" s="563"/>
      <c r="D121" s="563"/>
      <c r="E121" s="563"/>
      <c r="F121" s="563"/>
      <c r="G121" s="563"/>
      <c r="H121" s="563"/>
      <c r="I121" s="563"/>
      <c r="J121" s="654"/>
      <c r="K121" s="654"/>
      <c r="L121" s="654"/>
      <c r="M121" s="654"/>
      <c r="N121" s="654"/>
      <c r="O121" s="654"/>
      <c r="P121" s="654"/>
      <c r="Q121" s="654"/>
      <c r="R121" s="563"/>
    </row>
    <row r="122" spans="1:19">
      <c r="A122" s="563"/>
      <c r="B122" s="563"/>
      <c r="C122" s="563"/>
      <c r="D122" s="563"/>
      <c r="E122" s="563"/>
      <c r="F122" s="563"/>
      <c r="G122" s="563"/>
      <c r="H122" s="563"/>
      <c r="I122" s="563"/>
      <c r="J122" s="654"/>
      <c r="K122" s="654"/>
      <c r="L122" s="654"/>
      <c r="M122" s="654"/>
      <c r="N122" s="654"/>
      <c r="O122" s="654"/>
      <c r="P122" s="654"/>
      <c r="Q122" s="654"/>
      <c r="R122" s="563"/>
    </row>
    <row r="123" spans="1:19" s="303" customFormat="1" ht="18">
      <c r="A123" s="804" t="s">
        <v>282</v>
      </c>
      <c r="B123" s="806"/>
      <c r="C123" s="806"/>
      <c r="D123" s="806"/>
      <c r="E123" s="806"/>
      <c r="F123" s="806"/>
      <c r="G123" s="806"/>
      <c r="H123" s="806"/>
      <c r="I123" s="806"/>
      <c r="J123" s="815"/>
      <c r="K123" s="815"/>
      <c r="L123" s="815"/>
      <c r="M123" s="815"/>
      <c r="N123" s="815"/>
      <c r="O123" s="815"/>
      <c r="P123" s="815"/>
      <c r="Q123" s="815"/>
      <c r="R123" s="564"/>
      <c r="S123" s="1115"/>
    </row>
    <row r="124" spans="1:19" ht="38.25">
      <c r="A124" s="1261" t="s">
        <v>595</v>
      </c>
      <c r="B124" s="1262"/>
      <c r="C124" s="1262"/>
      <c r="D124" s="1262"/>
      <c r="E124" s="1262"/>
      <c r="F124" s="1262"/>
      <c r="G124" s="812" t="str">
        <f>+C126</f>
        <v>Outstanding Network Credits</v>
      </c>
      <c r="H124" s="1211" t="s">
        <v>166</v>
      </c>
      <c r="I124" s="1212"/>
      <c r="J124" s="1212"/>
      <c r="K124" s="1212"/>
      <c r="L124" s="1212"/>
      <c r="M124" s="1212"/>
      <c r="N124" s="1212"/>
      <c r="O124" s="1212"/>
      <c r="P124" s="1212"/>
      <c r="Q124" s="1213"/>
      <c r="R124" s="563"/>
    </row>
    <row r="125" spans="1:19">
      <c r="A125" s="549"/>
      <c r="B125" s="582" t="s">
        <v>121</v>
      </c>
      <c r="C125" s="556"/>
      <c r="D125" s="641"/>
      <c r="E125" s="612"/>
      <c r="F125" s="665"/>
      <c r="G125" s="550" t="s">
        <v>153</v>
      </c>
      <c r="H125" s="536"/>
      <c r="I125" s="536"/>
      <c r="J125" s="553"/>
      <c r="K125" s="553"/>
      <c r="L125" s="553"/>
      <c r="M125" s="553"/>
      <c r="N125" s="553"/>
      <c r="O125" s="553"/>
      <c r="P125" s="553"/>
      <c r="Q125" s="554"/>
      <c r="R125" s="563"/>
    </row>
    <row r="126" spans="1:19" ht="12.75" customHeight="1">
      <c r="A126" s="575">
        <f>+'Appendix A'!A96</f>
        <v>53</v>
      </c>
      <c r="B126" s="583"/>
      <c r="C126" s="186" t="str">
        <f>+'Appendix A'!C96</f>
        <v>Outstanding Network Credits</v>
      </c>
      <c r="D126" s="583"/>
      <c r="E126" s="536"/>
      <c r="F126" s="583" t="str">
        <f>+'Appendix A'!E96</f>
        <v>(Note N)</v>
      </c>
      <c r="G126" s="1085">
        <v>0</v>
      </c>
      <c r="H126" s="1228"/>
      <c r="I126" s="1228"/>
      <c r="J126" s="1228"/>
      <c r="K126" s="1228"/>
      <c r="L126" s="1228"/>
      <c r="M126" s="1228"/>
      <c r="N126" s="1228"/>
      <c r="O126" s="1228"/>
      <c r="P126" s="1228"/>
      <c r="Q126" s="1229"/>
      <c r="R126" s="563"/>
    </row>
    <row r="127" spans="1:19">
      <c r="A127" s="575"/>
      <c r="B127" s="583"/>
      <c r="C127" s="186"/>
      <c r="D127" s="583"/>
      <c r="E127" s="536"/>
      <c r="F127" s="576"/>
      <c r="G127" s="1086"/>
      <c r="H127" s="272"/>
      <c r="I127" s="272"/>
      <c r="J127" s="546"/>
      <c r="K127" s="546"/>
      <c r="L127" s="546"/>
      <c r="M127" s="546"/>
      <c r="N127" s="546"/>
      <c r="O127" s="546"/>
      <c r="P127" s="546"/>
      <c r="Q127" s="555"/>
      <c r="R127" s="563"/>
    </row>
    <row r="128" spans="1:19">
      <c r="A128" s="575"/>
      <c r="B128" s="583"/>
      <c r="C128" s="186"/>
      <c r="D128" s="583"/>
      <c r="E128" s="536"/>
      <c r="F128" s="576"/>
      <c r="G128" s="1087">
        <f>SUM(G126:G127)</f>
        <v>0</v>
      </c>
      <c r="H128" s="1228" t="s">
        <v>493</v>
      </c>
      <c r="I128" s="1228"/>
      <c r="J128" s="1228"/>
      <c r="K128" s="1228"/>
      <c r="L128" s="1228"/>
      <c r="M128" s="1228"/>
      <c r="N128" s="1228"/>
      <c r="O128" s="1228"/>
      <c r="P128" s="1228"/>
      <c r="Q128" s="1229"/>
      <c r="R128" s="563"/>
    </row>
    <row r="129" spans="1:244">
      <c r="A129" s="616"/>
      <c r="B129" s="617"/>
      <c r="C129" s="617"/>
      <c r="D129" s="617"/>
      <c r="E129" s="605"/>
      <c r="F129" s="651"/>
      <c r="G129" s="649"/>
      <c r="H129" s="557"/>
      <c r="I129" s="557"/>
      <c r="J129" s="659"/>
      <c r="K129" s="660" t="s">
        <v>164</v>
      </c>
      <c r="L129" s="656"/>
      <c r="M129" s="656"/>
      <c r="N129" s="656"/>
      <c r="O129" s="656"/>
      <c r="P129" s="656"/>
      <c r="Q129" s="657"/>
      <c r="R129" s="563"/>
    </row>
    <row r="130" spans="1:244">
      <c r="A130" s="563"/>
      <c r="B130" s="563"/>
      <c r="C130" s="563"/>
      <c r="D130" s="563"/>
      <c r="E130" s="563"/>
      <c r="F130" s="563"/>
      <c r="G130" s="563"/>
      <c r="H130" s="563"/>
      <c r="I130" s="563"/>
      <c r="J130" s="654"/>
      <c r="K130" s="654"/>
      <c r="L130" s="654"/>
      <c r="M130" s="654"/>
      <c r="N130" s="654"/>
      <c r="O130" s="654"/>
      <c r="P130" s="654"/>
      <c r="Q130" s="654"/>
      <c r="R130" s="563"/>
    </row>
    <row r="131" spans="1:244">
      <c r="A131" s="563"/>
      <c r="B131" s="563"/>
      <c r="C131" s="563"/>
      <c r="D131" s="563"/>
      <c r="E131" s="563"/>
      <c r="F131" s="563"/>
      <c r="G131" s="563"/>
      <c r="H131" s="563"/>
      <c r="I131" s="563"/>
      <c r="J131" s="654"/>
      <c r="K131" s="654"/>
      <c r="L131" s="654"/>
      <c r="M131" s="654"/>
      <c r="N131" s="654"/>
      <c r="O131" s="654"/>
      <c r="P131" s="654"/>
      <c r="Q131" s="654"/>
      <c r="R131" s="563"/>
    </row>
    <row r="132" spans="1:244" s="303" customFormat="1" ht="18">
      <c r="A132" s="804" t="s">
        <v>594</v>
      </c>
      <c r="B132" s="806"/>
      <c r="C132" s="806"/>
      <c r="D132" s="806"/>
      <c r="E132" s="806"/>
      <c r="F132" s="806"/>
      <c r="G132" s="806"/>
      <c r="H132" s="806"/>
      <c r="I132" s="806"/>
      <c r="J132" s="815"/>
      <c r="K132" s="815"/>
      <c r="L132" s="815"/>
      <c r="M132" s="815"/>
      <c r="N132" s="815"/>
      <c r="O132" s="815"/>
      <c r="P132" s="815"/>
      <c r="Q132" s="815"/>
      <c r="R132" s="564"/>
      <c r="S132" s="1115"/>
    </row>
    <row r="133" spans="1:244" ht="27" customHeight="1">
      <c r="A133" s="1261" t="s">
        <v>595</v>
      </c>
      <c r="B133" s="1262"/>
      <c r="C133" s="1262"/>
      <c r="D133" s="1262"/>
      <c r="E133" s="1262"/>
      <c r="F133" s="1262"/>
      <c r="G133" s="812" t="s">
        <v>493</v>
      </c>
      <c r="H133" s="813" t="s">
        <v>334</v>
      </c>
      <c r="I133" s="813" t="s">
        <v>143</v>
      </c>
      <c r="J133" s="1234" t="s">
        <v>65</v>
      </c>
      <c r="K133" s="1235"/>
      <c r="L133" s="1235"/>
      <c r="M133" s="1235"/>
      <c r="N133" s="1235"/>
      <c r="O133" s="1235"/>
      <c r="P133" s="1235"/>
      <c r="Q133" s="1236"/>
      <c r="R133" s="563"/>
      <c r="S133" s="1151"/>
      <c r="T133" s="583"/>
      <c r="U133" s="186"/>
      <c r="V133" s="583"/>
      <c r="W133" s="583"/>
      <c r="X133" s="583"/>
      <c r="Y133" s="583"/>
      <c r="Z133" s="583"/>
      <c r="AA133" s="186"/>
      <c r="AB133" s="583"/>
      <c r="AC133" s="583"/>
      <c r="AD133" s="583"/>
      <c r="AE133" s="583"/>
      <c r="AF133" s="583"/>
      <c r="AG133" s="186"/>
      <c r="AH133" s="583"/>
      <c r="AI133" s="583"/>
      <c r="AJ133" s="583"/>
      <c r="AK133" s="583"/>
      <c r="AL133" s="583"/>
      <c r="AM133" s="186"/>
      <c r="AN133" s="583"/>
      <c r="AO133" s="583"/>
      <c r="AP133" s="583"/>
      <c r="AQ133" s="583"/>
      <c r="AR133" s="583"/>
      <c r="AS133" s="186"/>
      <c r="AT133" s="583"/>
      <c r="AU133" s="583"/>
      <c r="AV133" s="583"/>
      <c r="AW133" s="583"/>
      <c r="AX133" s="583"/>
      <c r="AY133" s="186"/>
      <c r="AZ133" s="583"/>
      <c r="BA133" s="583"/>
      <c r="BB133" s="583"/>
      <c r="BC133" s="583"/>
      <c r="BD133" s="583"/>
      <c r="BE133" s="186"/>
      <c r="BF133" s="583"/>
      <c r="BG133" s="583"/>
      <c r="BH133" s="583"/>
      <c r="BI133" s="583"/>
      <c r="BJ133" s="583"/>
      <c r="BK133" s="186"/>
      <c r="BL133" s="583"/>
      <c r="BM133" s="583"/>
      <c r="BN133" s="583"/>
      <c r="BO133" s="583"/>
      <c r="BP133" s="583"/>
      <c r="BQ133" s="186"/>
      <c r="BR133" s="583"/>
      <c r="BS133" s="583"/>
      <c r="BT133" s="583"/>
      <c r="BU133" s="583"/>
      <c r="BV133" s="583"/>
      <c r="BW133" s="186"/>
      <c r="BX133" s="583"/>
      <c r="BY133" s="583"/>
      <c r="BZ133" s="583"/>
      <c r="CA133" s="583"/>
      <c r="CB133" s="583"/>
      <c r="CC133" s="186"/>
      <c r="CD133" s="583"/>
      <c r="CE133" s="583"/>
      <c r="CF133" s="583"/>
      <c r="CG133" s="583"/>
      <c r="CH133" s="583"/>
      <c r="CI133" s="186"/>
      <c r="CJ133" s="583"/>
      <c r="CK133" s="583"/>
      <c r="CL133" s="583"/>
      <c r="CM133" s="583"/>
      <c r="CN133" s="583"/>
      <c r="CO133" s="186"/>
      <c r="CP133" s="583"/>
      <c r="CQ133" s="583"/>
      <c r="CR133" s="583"/>
      <c r="CS133" s="583"/>
      <c r="CT133" s="583"/>
      <c r="CU133" s="186"/>
      <c r="CV133" s="583"/>
      <c r="CW133" s="583"/>
      <c r="CX133" s="583"/>
      <c r="CY133" s="583"/>
      <c r="CZ133" s="583"/>
      <c r="DA133" s="186"/>
      <c r="DB133" s="583"/>
      <c r="DC133" s="583"/>
      <c r="DD133" s="583"/>
      <c r="DE133" s="583"/>
      <c r="DF133" s="583"/>
      <c r="DG133" s="186"/>
      <c r="DH133" s="583"/>
      <c r="DI133" s="583"/>
      <c r="DJ133" s="583"/>
      <c r="DK133" s="583"/>
      <c r="DL133" s="583"/>
      <c r="DM133" s="186"/>
      <c r="DN133" s="583"/>
      <c r="DO133" s="583"/>
      <c r="DP133" s="583"/>
      <c r="DQ133" s="583"/>
      <c r="DR133" s="583"/>
      <c r="DS133" s="186"/>
      <c r="DT133" s="583"/>
      <c r="DU133" s="583"/>
      <c r="DV133" s="583"/>
      <c r="DW133" s="583"/>
      <c r="DX133" s="583"/>
      <c r="DY133" s="186"/>
      <c r="DZ133" s="583"/>
      <c r="EA133" s="583"/>
      <c r="EB133" s="583"/>
      <c r="EC133" s="583"/>
      <c r="ED133" s="583"/>
      <c r="EE133" s="186"/>
      <c r="EF133" s="583"/>
      <c r="EG133" s="583"/>
      <c r="EH133" s="583"/>
      <c r="EI133" s="583"/>
      <c r="EJ133" s="583"/>
      <c r="EK133" s="186"/>
      <c r="EL133" s="583"/>
      <c r="EM133" s="583"/>
      <c r="EN133" s="583"/>
      <c r="EO133" s="583"/>
      <c r="EP133" s="583"/>
      <c r="EQ133" s="186"/>
      <c r="ER133" s="583"/>
      <c r="ES133" s="583"/>
      <c r="ET133" s="583"/>
      <c r="EU133" s="583"/>
      <c r="EV133" s="583"/>
      <c r="EW133" s="186"/>
      <c r="EX133" s="583"/>
      <c r="EY133" s="583"/>
      <c r="EZ133" s="583"/>
      <c r="FA133" s="583"/>
      <c r="FB133" s="583"/>
      <c r="FC133" s="186"/>
      <c r="FD133" s="583"/>
      <c r="FE133" s="583"/>
      <c r="FF133" s="583"/>
      <c r="FG133" s="583"/>
      <c r="FH133" s="583"/>
      <c r="FI133" s="186"/>
      <c r="FJ133" s="583"/>
      <c r="FK133" s="583"/>
      <c r="FL133" s="583"/>
      <c r="FM133" s="583"/>
      <c r="FN133" s="583"/>
      <c r="FO133" s="186"/>
      <c r="FP133" s="583"/>
      <c r="FQ133" s="583"/>
      <c r="FR133" s="583"/>
      <c r="FS133" s="583"/>
      <c r="FT133" s="583"/>
      <c r="FU133" s="186"/>
      <c r="FV133" s="583"/>
      <c r="FW133" s="583"/>
      <c r="FX133" s="583"/>
      <c r="FY133" s="583"/>
      <c r="FZ133" s="583"/>
      <c r="GA133" s="186"/>
      <c r="GB133" s="583"/>
      <c r="GC133" s="583"/>
      <c r="GD133" s="583"/>
      <c r="GE133" s="583"/>
      <c r="GF133" s="583"/>
      <c r="GG133" s="186"/>
      <c r="GH133" s="583"/>
      <c r="GI133" s="583"/>
      <c r="GJ133" s="583"/>
      <c r="GK133" s="583"/>
      <c r="GL133" s="583"/>
      <c r="GM133" s="186"/>
      <c r="GN133" s="583"/>
      <c r="GO133" s="583"/>
      <c r="GP133" s="583"/>
      <c r="GQ133" s="583"/>
      <c r="GR133" s="583"/>
      <c r="GS133" s="186"/>
      <c r="GT133" s="583"/>
      <c r="GU133" s="583"/>
      <c r="GV133" s="583"/>
      <c r="GW133" s="583"/>
      <c r="GX133" s="583"/>
      <c r="GY133" s="186"/>
      <c r="GZ133" s="583"/>
      <c r="HA133" s="583"/>
      <c r="HB133" s="583"/>
      <c r="HC133" s="583"/>
      <c r="HD133" s="583"/>
      <c r="HE133" s="186"/>
      <c r="HF133" s="583"/>
      <c r="HG133" s="583"/>
      <c r="HH133" s="583"/>
      <c r="HI133" s="583"/>
      <c r="HJ133" s="583"/>
      <c r="HK133" s="186"/>
      <c r="HL133" s="583"/>
      <c r="HM133" s="583"/>
      <c r="HN133" s="583"/>
      <c r="HO133" s="583"/>
      <c r="HP133" s="583"/>
      <c r="HQ133" s="186"/>
      <c r="HR133" s="583"/>
      <c r="HS133" s="583"/>
      <c r="HT133" s="583"/>
      <c r="HU133" s="583"/>
      <c r="HV133" s="583"/>
      <c r="HW133" s="186"/>
      <c r="HX133" s="583"/>
      <c r="HY133" s="583"/>
      <c r="HZ133" s="583"/>
      <c r="IA133" s="583"/>
      <c r="IB133" s="583"/>
      <c r="IC133" s="186"/>
      <c r="ID133" s="583"/>
      <c r="IE133" s="583"/>
      <c r="IF133" s="583"/>
      <c r="IG133" s="583"/>
      <c r="IH133" s="583"/>
      <c r="II133" s="186"/>
      <c r="IJ133" s="583"/>
    </row>
    <row r="134" spans="1:244">
      <c r="A134" s="575"/>
      <c r="B134" s="583"/>
      <c r="C134" s="186"/>
      <c r="D134" s="583"/>
      <c r="E134" s="583"/>
      <c r="F134" s="583"/>
      <c r="G134" s="575"/>
      <c r="H134" s="583"/>
      <c r="I134" s="186"/>
      <c r="J134" s="1219"/>
      <c r="K134" s="1219"/>
      <c r="L134" s="1219"/>
      <c r="M134" s="1219"/>
      <c r="N134" s="1219"/>
      <c r="O134" s="1219"/>
      <c r="P134" s="1219"/>
      <c r="Q134" s="1220"/>
      <c r="R134" s="569"/>
      <c r="S134" s="1151"/>
      <c r="T134" s="583"/>
      <c r="U134" s="186"/>
      <c r="V134" s="583"/>
      <c r="W134" s="583"/>
      <c r="X134" s="583"/>
      <c r="Y134" s="583"/>
      <c r="Z134" s="583"/>
      <c r="AA134" s="186"/>
      <c r="AB134" s="583"/>
      <c r="AC134" s="583"/>
      <c r="AD134" s="583"/>
      <c r="AE134" s="583"/>
      <c r="AF134" s="583"/>
      <c r="AG134" s="186"/>
      <c r="AH134" s="583"/>
      <c r="AI134" s="583"/>
      <c r="AJ134" s="583"/>
      <c r="AK134" s="583"/>
      <c r="AL134" s="583"/>
      <c r="AM134" s="186"/>
      <c r="AN134" s="583"/>
      <c r="AO134" s="583"/>
      <c r="AP134" s="583"/>
      <c r="AQ134" s="583"/>
      <c r="AR134" s="583"/>
      <c r="AS134" s="186"/>
      <c r="AT134" s="583"/>
      <c r="AU134" s="583"/>
      <c r="AV134" s="583"/>
      <c r="AW134" s="583"/>
      <c r="AX134" s="583"/>
      <c r="AY134" s="186"/>
      <c r="AZ134" s="583"/>
      <c r="BA134" s="583"/>
      <c r="BB134" s="583"/>
      <c r="BC134" s="583"/>
      <c r="BD134" s="583"/>
      <c r="BE134" s="186"/>
      <c r="BF134" s="583"/>
      <c r="BG134" s="583"/>
      <c r="BH134" s="583"/>
      <c r="BI134" s="583"/>
      <c r="BJ134" s="583"/>
      <c r="BK134" s="186"/>
      <c r="BL134" s="583"/>
      <c r="BM134" s="583"/>
      <c r="BN134" s="583"/>
      <c r="BO134" s="583"/>
      <c r="BP134" s="583"/>
      <c r="BQ134" s="186"/>
      <c r="BR134" s="583"/>
      <c r="BS134" s="583"/>
      <c r="BT134" s="583"/>
      <c r="BU134" s="583"/>
      <c r="BV134" s="583"/>
      <c r="BW134" s="186"/>
      <c r="BX134" s="583"/>
      <c r="BY134" s="583"/>
      <c r="BZ134" s="583"/>
      <c r="CA134" s="583"/>
      <c r="CB134" s="583"/>
      <c r="CC134" s="186"/>
      <c r="CD134" s="583"/>
      <c r="CE134" s="583"/>
      <c r="CF134" s="583"/>
      <c r="CG134" s="583"/>
      <c r="CH134" s="583"/>
      <c r="CI134" s="186"/>
      <c r="CJ134" s="583"/>
      <c r="CK134" s="583"/>
      <c r="CL134" s="583"/>
      <c r="CM134" s="583"/>
      <c r="CN134" s="583"/>
      <c r="CO134" s="186"/>
      <c r="CP134" s="583"/>
      <c r="CQ134" s="583"/>
      <c r="CR134" s="583"/>
      <c r="CS134" s="583"/>
      <c r="CT134" s="583"/>
      <c r="CU134" s="186"/>
      <c r="CV134" s="583"/>
      <c r="CW134" s="583"/>
      <c r="CX134" s="583"/>
      <c r="CY134" s="583"/>
      <c r="CZ134" s="583"/>
      <c r="DA134" s="186"/>
      <c r="DB134" s="583"/>
      <c r="DC134" s="583"/>
      <c r="DD134" s="583"/>
      <c r="DE134" s="583"/>
      <c r="DF134" s="583"/>
      <c r="DG134" s="186"/>
      <c r="DH134" s="583"/>
      <c r="DI134" s="583"/>
      <c r="DJ134" s="583"/>
      <c r="DK134" s="583"/>
      <c r="DL134" s="583"/>
      <c r="DM134" s="186"/>
      <c r="DN134" s="583"/>
      <c r="DO134" s="583"/>
      <c r="DP134" s="583"/>
      <c r="DQ134" s="583"/>
      <c r="DR134" s="583"/>
      <c r="DS134" s="186"/>
      <c r="DT134" s="583"/>
      <c r="DU134" s="583"/>
      <c r="DV134" s="583"/>
      <c r="DW134" s="583"/>
      <c r="DX134" s="583"/>
      <c r="DY134" s="186"/>
      <c r="DZ134" s="583"/>
      <c r="EA134" s="583"/>
      <c r="EB134" s="583"/>
      <c r="EC134" s="583"/>
      <c r="ED134" s="583"/>
      <c r="EE134" s="186"/>
      <c r="EF134" s="583"/>
      <c r="EG134" s="583"/>
      <c r="EH134" s="583"/>
      <c r="EI134" s="583"/>
      <c r="EJ134" s="583"/>
      <c r="EK134" s="186"/>
      <c r="EL134" s="583"/>
      <c r="EM134" s="583"/>
      <c r="EN134" s="583"/>
      <c r="EO134" s="583"/>
      <c r="EP134" s="583"/>
      <c r="EQ134" s="186"/>
      <c r="ER134" s="583"/>
      <c r="ES134" s="583"/>
      <c r="ET134" s="583"/>
      <c r="EU134" s="583"/>
      <c r="EV134" s="583"/>
      <c r="EW134" s="186"/>
      <c r="EX134" s="583"/>
      <c r="EY134" s="583"/>
      <c r="EZ134" s="583"/>
      <c r="FA134" s="583"/>
      <c r="FB134" s="583"/>
      <c r="FC134" s="186"/>
      <c r="FD134" s="583"/>
      <c r="FE134" s="583"/>
      <c r="FF134" s="583"/>
      <c r="FG134" s="583"/>
      <c r="FH134" s="583"/>
      <c r="FI134" s="186"/>
      <c r="FJ134" s="583"/>
      <c r="FK134" s="583"/>
      <c r="FL134" s="583"/>
      <c r="FM134" s="583"/>
      <c r="FN134" s="583"/>
      <c r="FO134" s="186"/>
      <c r="FP134" s="583"/>
      <c r="FQ134" s="583"/>
      <c r="FR134" s="583"/>
      <c r="FS134" s="583"/>
      <c r="FT134" s="583"/>
      <c r="FU134" s="186"/>
      <c r="FV134" s="583"/>
      <c r="FW134" s="583"/>
      <c r="FX134" s="583"/>
      <c r="FY134" s="583"/>
      <c r="FZ134" s="583"/>
      <c r="GA134" s="186"/>
      <c r="GB134" s="583"/>
      <c r="GC134" s="583"/>
      <c r="GD134" s="583"/>
      <c r="GE134" s="583"/>
      <c r="GF134" s="583"/>
      <c r="GG134" s="186"/>
      <c r="GH134" s="583"/>
      <c r="GI134" s="583"/>
      <c r="GJ134" s="583"/>
      <c r="GK134" s="583"/>
      <c r="GL134" s="583"/>
      <c r="GM134" s="186"/>
      <c r="GN134" s="583"/>
      <c r="GO134" s="583"/>
      <c r="GP134" s="583"/>
      <c r="GQ134" s="583"/>
      <c r="GR134" s="583"/>
      <c r="GS134" s="186"/>
      <c r="GT134" s="583"/>
      <c r="GU134" s="583"/>
      <c r="GV134" s="583"/>
      <c r="GW134" s="583"/>
      <c r="GX134" s="583"/>
      <c r="GY134" s="186"/>
      <c r="GZ134" s="583"/>
      <c r="HA134" s="583"/>
      <c r="HB134" s="583"/>
      <c r="HC134" s="583"/>
      <c r="HD134" s="583"/>
      <c r="HE134" s="186"/>
      <c r="HF134" s="583"/>
      <c r="HG134" s="583"/>
      <c r="HH134" s="583"/>
      <c r="HI134" s="583"/>
      <c r="HJ134" s="583"/>
      <c r="HK134" s="186"/>
      <c r="HL134" s="583"/>
      <c r="HM134" s="583"/>
      <c r="HN134" s="583"/>
      <c r="HO134" s="583"/>
      <c r="HP134" s="583"/>
      <c r="HQ134" s="186"/>
      <c r="HR134" s="583"/>
      <c r="HS134" s="583"/>
      <c r="HT134" s="583"/>
      <c r="HU134" s="583"/>
      <c r="HV134" s="583"/>
      <c r="HW134" s="186"/>
      <c r="HX134" s="583"/>
      <c r="HY134" s="583"/>
      <c r="HZ134" s="583"/>
      <c r="IA134" s="583"/>
      <c r="IB134" s="583"/>
      <c r="IC134" s="186"/>
      <c r="ID134" s="583"/>
      <c r="IE134" s="583"/>
      <c r="IF134" s="583"/>
      <c r="IG134" s="583"/>
      <c r="IH134" s="583"/>
      <c r="II134" s="186"/>
      <c r="IJ134" s="583"/>
    </row>
    <row r="135" spans="1:244" s="303" customFormat="1">
      <c r="A135" s="575">
        <f>'Appendix A'!A105</f>
        <v>56</v>
      </c>
      <c r="B135" s="583"/>
      <c r="C135" s="186" t="str">
        <f>'Appendix A'!C105</f>
        <v>Transmission O&amp;M</v>
      </c>
      <c r="D135" s="583"/>
      <c r="E135" s="576"/>
      <c r="F135" s="869" t="s">
        <v>94</v>
      </c>
      <c r="G135" s="1075">
        <v>369632499</v>
      </c>
      <c r="H135" s="1079">
        <f>-229780416-26639804+2540312</f>
        <v>-253879908</v>
      </c>
      <c r="I135" s="585">
        <f>G135+H135</f>
        <v>115752591</v>
      </c>
      <c r="J135" s="1219" t="s">
        <v>335</v>
      </c>
      <c r="K135" s="1219"/>
      <c r="L135" s="1219"/>
      <c r="M135" s="1219"/>
      <c r="N135" s="1219"/>
      <c r="O135" s="1219"/>
      <c r="P135" s="1219"/>
      <c r="Q135" s="1220"/>
      <c r="R135" s="629"/>
      <c r="S135" s="1151"/>
      <c r="T135" s="508"/>
      <c r="U135" s="561"/>
      <c r="V135" s="508"/>
      <c r="W135" s="508"/>
      <c r="X135" s="508"/>
      <c r="Y135" s="508"/>
      <c r="Z135" s="508"/>
      <c r="AA135" s="561"/>
      <c r="AB135" s="508"/>
      <c r="AC135" s="508"/>
      <c r="AD135" s="508"/>
      <c r="AE135" s="508"/>
      <c r="AF135" s="508"/>
      <c r="AG135" s="561"/>
      <c r="AH135" s="508"/>
      <c r="AI135" s="508"/>
      <c r="AJ135" s="508"/>
      <c r="AK135" s="508"/>
      <c r="AL135" s="508"/>
      <c r="AM135" s="561"/>
      <c r="AN135" s="508"/>
      <c r="AO135" s="508"/>
      <c r="AP135" s="508"/>
      <c r="AQ135" s="508"/>
      <c r="AR135" s="508"/>
      <c r="AS135" s="561"/>
      <c r="AT135" s="508"/>
      <c r="AU135" s="508"/>
      <c r="AV135" s="508"/>
      <c r="AW135" s="508"/>
      <c r="AX135" s="508"/>
      <c r="AY135" s="561"/>
      <c r="AZ135" s="508"/>
      <c r="BA135" s="508"/>
      <c r="BB135" s="508"/>
      <c r="BC135" s="508"/>
      <c r="BD135" s="508"/>
      <c r="BE135" s="561"/>
      <c r="BF135" s="508"/>
      <c r="BG135" s="508"/>
      <c r="BH135" s="508"/>
      <c r="BI135" s="508"/>
      <c r="BJ135" s="508"/>
      <c r="BK135" s="561"/>
      <c r="BL135" s="508"/>
      <c r="BM135" s="508"/>
      <c r="BN135" s="508"/>
      <c r="BO135" s="508"/>
      <c r="BP135" s="508"/>
      <c r="BQ135" s="561"/>
      <c r="BR135" s="508"/>
      <c r="BS135" s="508"/>
      <c r="BT135" s="508"/>
      <c r="BU135" s="508"/>
      <c r="BV135" s="508"/>
      <c r="BW135" s="561"/>
      <c r="BX135" s="508"/>
      <c r="BY135" s="508"/>
      <c r="BZ135" s="508"/>
      <c r="CA135" s="508"/>
      <c r="CB135" s="508"/>
      <c r="CC135" s="561"/>
      <c r="CD135" s="508"/>
      <c r="CE135" s="508"/>
      <c r="CF135" s="508"/>
      <c r="CG135" s="508"/>
      <c r="CH135" s="508"/>
      <c r="CI135" s="561"/>
      <c r="CJ135" s="508"/>
      <c r="CK135" s="508"/>
      <c r="CL135" s="508"/>
      <c r="CM135" s="508"/>
      <c r="CN135" s="508"/>
      <c r="CO135" s="561"/>
      <c r="CP135" s="508"/>
      <c r="CQ135" s="508"/>
      <c r="CR135" s="508"/>
      <c r="CS135" s="508"/>
      <c r="CT135" s="508"/>
      <c r="CU135" s="561"/>
      <c r="CV135" s="508"/>
      <c r="CW135" s="508"/>
      <c r="CX135" s="508"/>
      <c r="CY135" s="508"/>
      <c r="CZ135" s="508"/>
      <c r="DA135" s="561"/>
      <c r="DB135" s="508"/>
      <c r="DC135" s="508"/>
      <c r="DD135" s="508"/>
      <c r="DE135" s="508"/>
      <c r="DF135" s="508"/>
      <c r="DG135" s="561"/>
      <c r="DH135" s="508"/>
      <c r="DI135" s="508"/>
      <c r="DJ135" s="508"/>
      <c r="DK135" s="508"/>
      <c r="DL135" s="508"/>
      <c r="DM135" s="561"/>
      <c r="DN135" s="508"/>
      <c r="DO135" s="508"/>
      <c r="DP135" s="508"/>
      <c r="DQ135" s="508"/>
      <c r="DR135" s="508"/>
      <c r="DS135" s="561"/>
      <c r="DT135" s="508"/>
      <c r="DU135" s="508"/>
      <c r="DV135" s="508"/>
      <c r="DW135" s="508"/>
      <c r="DX135" s="508"/>
      <c r="DY135" s="561"/>
      <c r="DZ135" s="508"/>
      <c r="EA135" s="508"/>
      <c r="EB135" s="508"/>
      <c r="EC135" s="508"/>
      <c r="ED135" s="508"/>
      <c r="EE135" s="561"/>
      <c r="EF135" s="508"/>
      <c r="EG135" s="508"/>
      <c r="EH135" s="508"/>
      <c r="EI135" s="508"/>
      <c r="EJ135" s="508"/>
      <c r="EK135" s="561"/>
      <c r="EL135" s="508"/>
      <c r="EM135" s="508"/>
      <c r="EN135" s="508"/>
      <c r="EO135" s="508"/>
      <c r="EP135" s="508"/>
      <c r="EQ135" s="561"/>
      <c r="ER135" s="508"/>
      <c r="ES135" s="508"/>
      <c r="ET135" s="508"/>
      <c r="EU135" s="508"/>
      <c r="EV135" s="508"/>
      <c r="EW135" s="561"/>
      <c r="EX135" s="508"/>
      <c r="EY135" s="508"/>
      <c r="EZ135" s="508"/>
      <c r="FA135" s="508"/>
      <c r="FB135" s="508"/>
      <c r="FC135" s="561"/>
      <c r="FD135" s="508"/>
      <c r="FE135" s="508"/>
      <c r="FF135" s="508"/>
      <c r="FG135" s="508"/>
      <c r="FH135" s="508"/>
      <c r="FI135" s="561"/>
      <c r="FJ135" s="508"/>
      <c r="FK135" s="508"/>
      <c r="FL135" s="508"/>
      <c r="FM135" s="508"/>
      <c r="FN135" s="508"/>
      <c r="FO135" s="561"/>
      <c r="FP135" s="508"/>
      <c r="FQ135" s="508"/>
      <c r="FR135" s="508"/>
      <c r="FS135" s="508"/>
      <c r="FT135" s="508"/>
      <c r="FU135" s="561"/>
      <c r="FV135" s="508"/>
      <c r="FW135" s="508"/>
      <c r="FX135" s="508"/>
      <c r="FY135" s="508"/>
      <c r="FZ135" s="508"/>
      <c r="GA135" s="561"/>
      <c r="GB135" s="508"/>
      <c r="GC135" s="508"/>
      <c r="GD135" s="508"/>
      <c r="GE135" s="508"/>
      <c r="GF135" s="508"/>
      <c r="GG135" s="561"/>
      <c r="GH135" s="508"/>
      <c r="GI135" s="508"/>
      <c r="GJ135" s="508"/>
      <c r="GK135" s="508"/>
      <c r="GL135" s="508"/>
      <c r="GM135" s="561"/>
      <c r="GN135" s="508"/>
      <c r="GO135" s="508"/>
      <c r="GP135" s="508"/>
      <c r="GQ135" s="508"/>
      <c r="GR135" s="508"/>
      <c r="GS135" s="561"/>
      <c r="GT135" s="508"/>
      <c r="GU135" s="508"/>
      <c r="GV135" s="508"/>
      <c r="GW135" s="508"/>
      <c r="GX135" s="508"/>
      <c r="GY135" s="561"/>
      <c r="GZ135" s="508"/>
      <c r="HA135" s="508"/>
      <c r="HB135" s="508"/>
      <c r="HC135" s="508"/>
      <c r="HD135" s="508"/>
      <c r="HE135" s="561"/>
      <c r="HF135" s="508"/>
      <c r="HG135" s="508"/>
      <c r="HH135" s="508"/>
      <c r="HI135" s="508"/>
      <c r="HJ135" s="508"/>
      <c r="HK135" s="561"/>
      <c r="HL135" s="508"/>
      <c r="HM135" s="508"/>
      <c r="HN135" s="508"/>
      <c r="HO135" s="508"/>
      <c r="HP135" s="508"/>
      <c r="HQ135" s="561"/>
      <c r="HR135" s="508"/>
      <c r="HS135" s="508"/>
      <c r="HT135" s="508"/>
      <c r="HU135" s="508"/>
      <c r="HV135" s="508"/>
      <c r="HW135" s="561"/>
      <c r="HX135" s="508"/>
      <c r="HY135" s="508"/>
      <c r="HZ135" s="508"/>
      <c r="IA135" s="508"/>
      <c r="IB135" s="508"/>
      <c r="IC135" s="561"/>
      <c r="ID135" s="508"/>
      <c r="IE135" s="508"/>
      <c r="IF135" s="508"/>
      <c r="IG135" s="508"/>
      <c r="IH135" s="508"/>
      <c r="II135" s="561"/>
      <c r="IJ135" s="508"/>
    </row>
    <row r="136" spans="1:244" s="303" customFormat="1">
      <c r="A136" s="578"/>
      <c r="B136" s="508"/>
      <c r="C136" s="561"/>
      <c r="D136" s="508"/>
      <c r="E136" s="576"/>
      <c r="F136" s="869"/>
      <c r="G136" s="788"/>
      <c r="H136" s="539"/>
      <c r="I136" s="585"/>
      <c r="J136" s="1219" t="s">
        <v>336</v>
      </c>
      <c r="K136" s="1219"/>
      <c r="L136" s="1219"/>
      <c r="M136" s="1219"/>
      <c r="N136" s="1219"/>
      <c r="O136" s="1219"/>
      <c r="P136" s="1219"/>
      <c r="Q136" s="1220"/>
      <c r="R136" s="629"/>
      <c r="S136" s="1151"/>
      <c r="T136" s="508"/>
      <c r="U136" s="561"/>
      <c r="V136" s="508"/>
      <c r="W136" s="508"/>
      <c r="X136" s="508"/>
      <c r="Y136" s="508"/>
      <c r="Z136" s="508"/>
      <c r="AA136" s="561"/>
      <c r="AB136" s="508"/>
      <c r="AC136" s="508"/>
      <c r="AD136" s="508"/>
      <c r="AE136" s="508"/>
      <c r="AF136" s="508"/>
      <c r="AG136" s="561"/>
      <c r="AH136" s="508"/>
      <c r="AI136" s="508"/>
      <c r="AJ136" s="508"/>
      <c r="AK136" s="508"/>
      <c r="AL136" s="508"/>
      <c r="AM136" s="561"/>
      <c r="AN136" s="508"/>
      <c r="AO136" s="508"/>
      <c r="AP136" s="508"/>
      <c r="AQ136" s="508"/>
      <c r="AR136" s="508"/>
      <c r="AS136" s="561"/>
      <c r="AT136" s="508"/>
      <c r="AU136" s="508"/>
      <c r="AV136" s="508"/>
      <c r="AW136" s="508"/>
      <c r="AX136" s="508"/>
      <c r="AY136" s="561"/>
      <c r="AZ136" s="508"/>
      <c r="BA136" s="508"/>
      <c r="BB136" s="508"/>
      <c r="BC136" s="508"/>
      <c r="BD136" s="508"/>
      <c r="BE136" s="561"/>
      <c r="BF136" s="508"/>
      <c r="BG136" s="508"/>
      <c r="BH136" s="508"/>
      <c r="BI136" s="508"/>
      <c r="BJ136" s="508"/>
      <c r="BK136" s="561"/>
      <c r="BL136" s="508"/>
      <c r="BM136" s="508"/>
      <c r="BN136" s="508"/>
      <c r="BO136" s="508"/>
      <c r="BP136" s="508"/>
      <c r="BQ136" s="561"/>
      <c r="BR136" s="508"/>
      <c r="BS136" s="508"/>
      <c r="BT136" s="508"/>
      <c r="BU136" s="508"/>
      <c r="BV136" s="508"/>
      <c r="BW136" s="561"/>
      <c r="BX136" s="508"/>
      <c r="BY136" s="508"/>
      <c r="BZ136" s="508"/>
      <c r="CA136" s="508"/>
      <c r="CB136" s="508"/>
      <c r="CC136" s="561"/>
      <c r="CD136" s="508"/>
      <c r="CE136" s="508"/>
      <c r="CF136" s="508"/>
      <c r="CG136" s="508"/>
      <c r="CH136" s="508"/>
      <c r="CI136" s="561"/>
      <c r="CJ136" s="508"/>
      <c r="CK136" s="508"/>
      <c r="CL136" s="508"/>
      <c r="CM136" s="508"/>
      <c r="CN136" s="508"/>
      <c r="CO136" s="561"/>
      <c r="CP136" s="508"/>
      <c r="CQ136" s="508"/>
      <c r="CR136" s="508"/>
      <c r="CS136" s="508"/>
      <c r="CT136" s="508"/>
      <c r="CU136" s="561"/>
      <c r="CV136" s="508"/>
      <c r="CW136" s="508"/>
      <c r="CX136" s="508"/>
      <c r="CY136" s="508"/>
      <c r="CZ136" s="508"/>
      <c r="DA136" s="561"/>
      <c r="DB136" s="508"/>
      <c r="DC136" s="508"/>
      <c r="DD136" s="508"/>
      <c r="DE136" s="508"/>
      <c r="DF136" s="508"/>
      <c r="DG136" s="561"/>
      <c r="DH136" s="508"/>
      <c r="DI136" s="508"/>
      <c r="DJ136" s="508"/>
      <c r="DK136" s="508"/>
      <c r="DL136" s="508"/>
      <c r="DM136" s="561"/>
      <c r="DN136" s="508"/>
      <c r="DO136" s="508"/>
      <c r="DP136" s="508"/>
      <c r="DQ136" s="508"/>
      <c r="DR136" s="508"/>
      <c r="DS136" s="561"/>
      <c r="DT136" s="508"/>
      <c r="DU136" s="508"/>
      <c r="DV136" s="508"/>
      <c r="DW136" s="508"/>
      <c r="DX136" s="508"/>
      <c r="DY136" s="561"/>
      <c r="DZ136" s="508"/>
      <c r="EA136" s="508"/>
      <c r="EB136" s="508"/>
      <c r="EC136" s="508"/>
      <c r="ED136" s="508"/>
      <c r="EE136" s="561"/>
      <c r="EF136" s="508"/>
      <c r="EG136" s="508"/>
      <c r="EH136" s="508"/>
      <c r="EI136" s="508"/>
      <c r="EJ136" s="508"/>
      <c r="EK136" s="561"/>
      <c r="EL136" s="508"/>
      <c r="EM136" s="508"/>
      <c r="EN136" s="508"/>
      <c r="EO136" s="508"/>
      <c r="EP136" s="508"/>
      <c r="EQ136" s="561"/>
      <c r="ER136" s="508"/>
      <c r="ES136" s="508"/>
      <c r="ET136" s="508"/>
      <c r="EU136" s="508"/>
      <c r="EV136" s="508"/>
      <c r="EW136" s="561"/>
      <c r="EX136" s="508"/>
      <c r="EY136" s="508"/>
      <c r="EZ136" s="508"/>
      <c r="FA136" s="508"/>
      <c r="FB136" s="508"/>
      <c r="FC136" s="561"/>
      <c r="FD136" s="508"/>
      <c r="FE136" s="508"/>
      <c r="FF136" s="508"/>
      <c r="FG136" s="508"/>
      <c r="FH136" s="508"/>
      <c r="FI136" s="561"/>
      <c r="FJ136" s="508"/>
      <c r="FK136" s="508"/>
      <c r="FL136" s="508"/>
      <c r="FM136" s="508"/>
      <c r="FN136" s="508"/>
      <c r="FO136" s="561"/>
      <c r="FP136" s="508"/>
      <c r="FQ136" s="508"/>
      <c r="FR136" s="508"/>
      <c r="FS136" s="508"/>
      <c r="FT136" s="508"/>
      <c r="FU136" s="561"/>
      <c r="FV136" s="508"/>
      <c r="FW136" s="508"/>
      <c r="FX136" s="508"/>
      <c r="FY136" s="508"/>
      <c r="FZ136" s="508"/>
      <c r="GA136" s="561"/>
      <c r="GB136" s="508"/>
      <c r="GC136" s="508"/>
      <c r="GD136" s="508"/>
      <c r="GE136" s="508"/>
      <c r="GF136" s="508"/>
      <c r="GG136" s="561"/>
      <c r="GH136" s="508"/>
      <c r="GI136" s="508"/>
      <c r="GJ136" s="508"/>
      <c r="GK136" s="508"/>
      <c r="GL136" s="508"/>
      <c r="GM136" s="561"/>
      <c r="GN136" s="508"/>
      <c r="GO136" s="508"/>
      <c r="GP136" s="508"/>
      <c r="GQ136" s="508"/>
      <c r="GR136" s="508"/>
      <c r="GS136" s="561"/>
      <c r="GT136" s="508"/>
      <c r="GU136" s="508"/>
      <c r="GV136" s="508"/>
      <c r="GW136" s="508"/>
      <c r="GX136" s="508"/>
      <c r="GY136" s="561"/>
      <c r="GZ136" s="508"/>
      <c r="HA136" s="508"/>
      <c r="HB136" s="508"/>
      <c r="HC136" s="508"/>
      <c r="HD136" s="508"/>
      <c r="HE136" s="561"/>
      <c r="HF136" s="508"/>
      <c r="HG136" s="508"/>
      <c r="HH136" s="508"/>
      <c r="HI136" s="508"/>
      <c r="HJ136" s="508"/>
      <c r="HK136" s="561"/>
      <c r="HL136" s="508"/>
      <c r="HM136" s="508"/>
      <c r="HN136" s="508"/>
      <c r="HO136" s="508"/>
      <c r="HP136" s="508"/>
      <c r="HQ136" s="561"/>
      <c r="HR136" s="508"/>
      <c r="HS136" s="508"/>
      <c r="HT136" s="508"/>
      <c r="HU136" s="508"/>
      <c r="HV136" s="508"/>
      <c r="HW136" s="561"/>
      <c r="HX136" s="508"/>
      <c r="HY136" s="508"/>
      <c r="HZ136" s="508"/>
      <c r="IA136" s="508"/>
      <c r="IB136" s="508"/>
      <c r="IC136" s="561"/>
      <c r="ID136" s="508"/>
      <c r="IE136" s="508"/>
      <c r="IF136" s="508"/>
      <c r="IG136" s="508"/>
      <c r="IH136" s="508"/>
      <c r="II136" s="561"/>
      <c r="IJ136" s="508"/>
    </row>
    <row r="137" spans="1:244" s="303" customFormat="1" ht="13.5" customHeight="1">
      <c r="A137" s="578"/>
      <c r="B137" s="508"/>
      <c r="C137" s="561"/>
      <c r="D137" s="508"/>
      <c r="E137" s="576"/>
      <c r="F137" s="539"/>
      <c r="G137" s="788"/>
      <c r="H137" s="539"/>
      <c r="I137" s="650"/>
      <c r="J137" s="1219" t="s">
        <v>89</v>
      </c>
      <c r="K137" s="1219"/>
      <c r="L137" s="1219"/>
      <c r="M137" s="1219"/>
      <c r="N137" s="1219"/>
      <c r="O137" s="1219"/>
      <c r="P137" s="1219"/>
      <c r="Q137" s="1220"/>
      <c r="R137" s="629"/>
      <c r="S137" s="1151"/>
      <c r="T137" s="508"/>
      <c r="U137" s="561"/>
      <c r="V137" s="508"/>
      <c r="W137" s="508"/>
      <c r="X137" s="508"/>
      <c r="Y137" s="508"/>
      <c r="Z137" s="508"/>
      <c r="AA137" s="561"/>
      <c r="AB137" s="508"/>
      <c r="AC137" s="508"/>
      <c r="AD137" s="508"/>
      <c r="AE137" s="508"/>
      <c r="AF137" s="508"/>
      <c r="AG137" s="561"/>
      <c r="AH137" s="508"/>
      <c r="AI137" s="508"/>
      <c r="AJ137" s="508"/>
      <c r="AK137" s="508"/>
      <c r="AL137" s="508"/>
      <c r="AM137" s="561"/>
      <c r="AN137" s="508"/>
      <c r="AO137" s="508"/>
      <c r="AP137" s="508"/>
      <c r="AQ137" s="508"/>
      <c r="AR137" s="508"/>
      <c r="AS137" s="561"/>
      <c r="AT137" s="508"/>
      <c r="AU137" s="508"/>
      <c r="AV137" s="508"/>
      <c r="AW137" s="508"/>
      <c r="AX137" s="508"/>
      <c r="AY137" s="561"/>
      <c r="AZ137" s="508"/>
      <c r="BA137" s="508"/>
      <c r="BB137" s="508"/>
      <c r="BC137" s="508"/>
      <c r="BD137" s="508"/>
      <c r="BE137" s="561"/>
      <c r="BF137" s="508"/>
      <c r="BG137" s="508"/>
      <c r="BH137" s="508"/>
      <c r="BI137" s="508"/>
      <c r="BJ137" s="508"/>
      <c r="BK137" s="561"/>
      <c r="BL137" s="508"/>
      <c r="BM137" s="508"/>
      <c r="BN137" s="508"/>
      <c r="BO137" s="508"/>
      <c r="BP137" s="508"/>
      <c r="BQ137" s="561"/>
      <c r="BR137" s="508"/>
      <c r="BS137" s="508"/>
      <c r="BT137" s="508"/>
      <c r="BU137" s="508"/>
      <c r="BV137" s="508"/>
      <c r="BW137" s="561"/>
      <c r="BX137" s="508"/>
      <c r="BY137" s="508"/>
      <c r="BZ137" s="508"/>
      <c r="CA137" s="508"/>
      <c r="CB137" s="508"/>
      <c r="CC137" s="561"/>
      <c r="CD137" s="508"/>
      <c r="CE137" s="508"/>
      <c r="CF137" s="508"/>
      <c r="CG137" s="508"/>
      <c r="CH137" s="508"/>
      <c r="CI137" s="561"/>
      <c r="CJ137" s="508"/>
      <c r="CK137" s="508"/>
      <c r="CL137" s="508"/>
      <c r="CM137" s="508"/>
      <c r="CN137" s="508"/>
      <c r="CO137" s="561"/>
      <c r="CP137" s="508"/>
      <c r="CQ137" s="508"/>
      <c r="CR137" s="508"/>
      <c r="CS137" s="508"/>
      <c r="CT137" s="508"/>
      <c r="CU137" s="561"/>
      <c r="CV137" s="508"/>
      <c r="CW137" s="508"/>
      <c r="CX137" s="508"/>
      <c r="CY137" s="508"/>
      <c r="CZ137" s="508"/>
      <c r="DA137" s="561"/>
      <c r="DB137" s="508"/>
      <c r="DC137" s="508"/>
      <c r="DD137" s="508"/>
      <c r="DE137" s="508"/>
      <c r="DF137" s="508"/>
      <c r="DG137" s="561"/>
      <c r="DH137" s="508"/>
      <c r="DI137" s="508"/>
      <c r="DJ137" s="508"/>
      <c r="DK137" s="508"/>
      <c r="DL137" s="508"/>
      <c r="DM137" s="561"/>
      <c r="DN137" s="508"/>
      <c r="DO137" s="508"/>
      <c r="DP137" s="508"/>
      <c r="DQ137" s="508"/>
      <c r="DR137" s="508"/>
      <c r="DS137" s="561"/>
      <c r="DT137" s="508"/>
      <c r="DU137" s="508"/>
      <c r="DV137" s="508"/>
      <c r="DW137" s="508"/>
      <c r="DX137" s="508"/>
      <c r="DY137" s="561"/>
      <c r="DZ137" s="508"/>
      <c r="EA137" s="508"/>
      <c r="EB137" s="508"/>
      <c r="EC137" s="508"/>
      <c r="ED137" s="508"/>
      <c r="EE137" s="561"/>
      <c r="EF137" s="508"/>
      <c r="EG137" s="508"/>
      <c r="EH137" s="508"/>
      <c r="EI137" s="508"/>
      <c r="EJ137" s="508"/>
      <c r="EK137" s="561"/>
      <c r="EL137" s="508"/>
      <c r="EM137" s="508"/>
      <c r="EN137" s="508"/>
      <c r="EO137" s="508"/>
      <c r="EP137" s="508"/>
      <c r="EQ137" s="561"/>
      <c r="ER137" s="508"/>
      <c r="ES137" s="508"/>
      <c r="ET137" s="508"/>
      <c r="EU137" s="508"/>
      <c r="EV137" s="508"/>
      <c r="EW137" s="561"/>
      <c r="EX137" s="508"/>
      <c r="EY137" s="508"/>
      <c r="EZ137" s="508"/>
      <c r="FA137" s="508"/>
      <c r="FB137" s="508"/>
      <c r="FC137" s="561"/>
      <c r="FD137" s="508"/>
      <c r="FE137" s="508"/>
      <c r="FF137" s="508"/>
      <c r="FG137" s="508"/>
      <c r="FH137" s="508"/>
      <c r="FI137" s="561"/>
      <c r="FJ137" s="508"/>
      <c r="FK137" s="508"/>
      <c r="FL137" s="508"/>
      <c r="FM137" s="508"/>
      <c r="FN137" s="508"/>
      <c r="FO137" s="561"/>
      <c r="FP137" s="508"/>
      <c r="FQ137" s="508"/>
      <c r="FR137" s="508"/>
      <c r="FS137" s="508"/>
      <c r="FT137" s="508"/>
      <c r="FU137" s="561"/>
      <c r="FV137" s="508"/>
      <c r="FW137" s="508"/>
      <c r="FX137" s="508"/>
      <c r="FY137" s="508"/>
      <c r="FZ137" s="508"/>
      <c r="GA137" s="561"/>
      <c r="GB137" s="508"/>
      <c r="GC137" s="508"/>
      <c r="GD137" s="508"/>
      <c r="GE137" s="508"/>
      <c r="GF137" s="508"/>
      <c r="GG137" s="561"/>
      <c r="GH137" s="508"/>
      <c r="GI137" s="508"/>
      <c r="GJ137" s="508"/>
      <c r="GK137" s="508"/>
      <c r="GL137" s="508"/>
      <c r="GM137" s="561"/>
      <c r="GN137" s="508"/>
      <c r="GO137" s="508"/>
      <c r="GP137" s="508"/>
      <c r="GQ137" s="508"/>
      <c r="GR137" s="508"/>
      <c r="GS137" s="561"/>
      <c r="GT137" s="508"/>
      <c r="GU137" s="508"/>
      <c r="GV137" s="508"/>
      <c r="GW137" s="508"/>
      <c r="GX137" s="508"/>
      <c r="GY137" s="561"/>
      <c r="GZ137" s="508"/>
      <c r="HA137" s="508"/>
      <c r="HB137" s="508"/>
      <c r="HC137" s="508"/>
      <c r="HD137" s="508"/>
      <c r="HE137" s="561"/>
      <c r="HF137" s="508"/>
      <c r="HG137" s="508"/>
      <c r="HH137" s="508"/>
      <c r="HI137" s="508"/>
      <c r="HJ137" s="508"/>
      <c r="HK137" s="561"/>
      <c r="HL137" s="508"/>
      <c r="HM137" s="508"/>
      <c r="HN137" s="508"/>
      <c r="HO137" s="508"/>
      <c r="HP137" s="508"/>
      <c r="HQ137" s="561"/>
      <c r="HR137" s="508"/>
      <c r="HS137" s="508"/>
      <c r="HT137" s="508"/>
      <c r="HU137" s="508"/>
      <c r="HV137" s="508"/>
      <c r="HW137" s="561"/>
      <c r="HX137" s="508"/>
      <c r="HY137" s="508"/>
      <c r="HZ137" s="508"/>
      <c r="IA137" s="508"/>
      <c r="IB137" s="508"/>
      <c r="IC137" s="561"/>
      <c r="ID137" s="508"/>
      <c r="IE137" s="508"/>
      <c r="IF137" s="508"/>
      <c r="IG137" s="508"/>
      <c r="IH137" s="508"/>
      <c r="II137" s="561"/>
      <c r="IJ137" s="508"/>
    </row>
    <row r="138" spans="1:244" s="303" customFormat="1" ht="13.5" customHeight="1">
      <c r="A138" s="578">
        <f>'Appendix A'!A106</f>
        <v>57</v>
      </c>
      <c r="B138" s="508"/>
      <c r="C138" s="561" t="str">
        <f>'Appendix A'!C106</f>
        <v xml:space="preserve">     Less Account 565</v>
      </c>
      <c r="D138" s="508"/>
      <c r="E138" s="576"/>
      <c r="F138" s="186" t="s">
        <v>95</v>
      </c>
      <c r="G138" s="1075">
        <v>7092445</v>
      </c>
      <c r="H138" s="1088">
        <v>0</v>
      </c>
      <c r="I138" s="585">
        <f>G138+H138</f>
        <v>7092445</v>
      </c>
      <c r="J138" s="1219" t="s">
        <v>96</v>
      </c>
      <c r="K138" s="1219"/>
      <c r="L138" s="1219"/>
      <c r="M138" s="1219"/>
      <c r="N138" s="1219"/>
      <c r="O138" s="1219"/>
      <c r="P138" s="1219"/>
      <c r="Q138" s="1220"/>
      <c r="R138" s="629"/>
      <c r="S138" s="1151"/>
      <c r="T138" s="508"/>
      <c r="U138" s="561"/>
      <c r="V138" s="508"/>
      <c r="W138" s="508"/>
      <c r="X138" s="508"/>
      <c r="Y138" s="508"/>
      <c r="Z138" s="508"/>
      <c r="AA138" s="561"/>
      <c r="AB138" s="508"/>
      <c r="AC138" s="508"/>
      <c r="AD138" s="508"/>
      <c r="AE138" s="508"/>
      <c r="AF138" s="508"/>
      <c r="AG138" s="561"/>
      <c r="AH138" s="508"/>
      <c r="AI138" s="508"/>
      <c r="AJ138" s="508"/>
      <c r="AK138" s="508"/>
      <c r="AL138" s="508"/>
      <c r="AM138" s="561"/>
      <c r="AN138" s="508"/>
      <c r="AO138" s="508"/>
      <c r="AP138" s="508"/>
      <c r="AQ138" s="508"/>
      <c r="AR138" s="508"/>
      <c r="AS138" s="561"/>
      <c r="AT138" s="508"/>
      <c r="AU138" s="508"/>
      <c r="AV138" s="508"/>
      <c r="AW138" s="508"/>
      <c r="AX138" s="508"/>
      <c r="AY138" s="561"/>
      <c r="AZ138" s="508"/>
      <c r="BA138" s="508"/>
      <c r="BB138" s="508"/>
      <c r="BC138" s="508"/>
      <c r="BD138" s="508"/>
      <c r="BE138" s="561"/>
      <c r="BF138" s="508"/>
      <c r="BG138" s="508"/>
      <c r="BH138" s="508"/>
      <c r="BI138" s="508"/>
      <c r="BJ138" s="508"/>
      <c r="BK138" s="561"/>
      <c r="BL138" s="508"/>
      <c r="BM138" s="508"/>
      <c r="BN138" s="508"/>
      <c r="BO138" s="508"/>
      <c r="BP138" s="508"/>
      <c r="BQ138" s="561"/>
      <c r="BR138" s="508"/>
      <c r="BS138" s="508"/>
      <c r="BT138" s="508"/>
      <c r="BU138" s="508"/>
      <c r="BV138" s="508"/>
      <c r="BW138" s="561"/>
      <c r="BX138" s="508"/>
      <c r="BY138" s="508"/>
      <c r="BZ138" s="508"/>
      <c r="CA138" s="508"/>
      <c r="CB138" s="508"/>
      <c r="CC138" s="561"/>
      <c r="CD138" s="508"/>
      <c r="CE138" s="508"/>
      <c r="CF138" s="508"/>
      <c r="CG138" s="508"/>
      <c r="CH138" s="508"/>
      <c r="CI138" s="561"/>
      <c r="CJ138" s="508"/>
      <c r="CK138" s="508"/>
      <c r="CL138" s="508"/>
      <c r="CM138" s="508"/>
      <c r="CN138" s="508"/>
      <c r="CO138" s="561"/>
      <c r="CP138" s="508"/>
      <c r="CQ138" s="508"/>
      <c r="CR138" s="508"/>
      <c r="CS138" s="508"/>
      <c r="CT138" s="508"/>
      <c r="CU138" s="561"/>
      <c r="CV138" s="508"/>
      <c r="CW138" s="508"/>
      <c r="CX138" s="508"/>
      <c r="CY138" s="508"/>
      <c r="CZ138" s="508"/>
      <c r="DA138" s="561"/>
      <c r="DB138" s="508"/>
      <c r="DC138" s="508"/>
      <c r="DD138" s="508"/>
      <c r="DE138" s="508"/>
      <c r="DF138" s="508"/>
      <c r="DG138" s="561"/>
      <c r="DH138" s="508"/>
      <c r="DI138" s="508"/>
      <c r="DJ138" s="508"/>
      <c r="DK138" s="508"/>
      <c r="DL138" s="508"/>
      <c r="DM138" s="561"/>
      <c r="DN138" s="508"/>
      <c r="DO138" s="508"/>
      <c r="DP138" s="508"/>
      <c r="DQ138" s="508"/>
      <c r="DR138" s="508"/>
      <c r="DS138" s="561"/>
      <c r="DT138" s="508"/>
      <c r="DU138" s="508"/>
      <c r="DV138" s="508"/>
      <c r="DW138" s="508"/>
      <c r="DX138" s="508"/>
      <c r="DY138" s="561"/>
      <c r="DZ138" s="508"/>
      <c r="EA138" s="508"/>
      <c r="EB138" s="508"/>
      <c r="EC138" s="508"/>
      <c r="ED138" s="508"/>
      <c r="EE138" s="561"/>
      <c r="EF138" s="508"/>
      <c r="EG138" s="508"/>
      <c r="EH138" s="508"/>
      <c r="EI138" s="508"/>
      <c r="EJ138" s="508"/>
      <c r="EK138" s="561"/>
      <c r="EL138" s="508"/>
      <c r="EM138" s="508"/>
      <c r="EN138" s="508"/>
      <c r="EO138" s="508"/>
      <c r="EP138" s="508"/>
      <c r="EQ138" s="561"/>
      <c r="ER138" s="508"/>
      <c r="ES138" s="508"/>
      <c r="ET138" s="508"/>
      <c r="EU138" s="508"/>
      <c r="EV138" s="508"/>
      <c r="EW138" s="561"/>
      <c r="EX138" s="508"/>
      <c r="EY138" s="508"/>
      <c r="EZ138" s="508"/>
      <c r="FA138" s="508"/>
      <c r="FB138" s="508"/>
      <c r="FC138" s="561"/>
      <c r="FD138" s="508"/>
      <c r="FE138" s="508"/>
      <c r="FF138" s="508"/>
      <c r="FG138" s="508"/>
      <c r="FH138" s="508"/>
      <c r="FI138" s="561"/>
      <c r="FJ138" s="508"/>
      <c r="FK138" s="508"/>
      <c r="FL138" s="508"/>
      <c r="FM138" s="508"/>
      <c r="FN138" s="508"/>
      <c r="FO138" s="561"/>
      <c r="FP138" s="508"/>
      <c r="FQ138" s="508"/>
      <c r="FR138" s="508"/>
      <c r="FS138" s="508"/>
      <c r="FT138" s="508"/>
      <c r="FU138" s="561"/>
      <c r="FV138" s="508"/>
      <c r="FW138" s="508"/>
      <c r="FX138" s="508"/>
      <c r="FY138" s="508"/>
      <c r="FZ138" s="508"/>
      <c r="GA138" s="561"/>
      <c r="GB138" s="508"/>
      <c r="GC138" s="508"/>
      <c r="GD138" s="508"/>
      <c r="GE138" s="508"/>
      <c r="GF138" s="508"/>
      <c r="GG138" s="561"/>
      <c r="GH138" s="508"/>
      <c r="GI138" s="508"/>
      <c r="GJ138" s="508"/>
      <c r="GK138" s="508"/>
      <c r="GL138" s="508"/>
      <c r="GM138" s="561"/>
      <c r="GN138" s="508"/>
      <c r="GO138" s="508"/>
      <c r="GP138" s="508"/>
      <c r="GQ138" s="508"/>
      <c r="GR138" s="508"/>
      <c r="GS138" s="561"/>
      <c r="GT138" s="508"/>
      <c r="GU138" s="508"/>
      <c r="GV138" s="508"/>
      <c r="GW138" s="508"/>
      <c r="GX138" s="508"/>
      <c r="GY138" s="561"/>
      <c r="GZ138" s="508"/>
      <c r="HA138" s="508"/>
      <c r="HB138" s="508"/>
      <c r="HC138" s="508"/>
      <c r="HD138" s="508"/>
      <c r="HE138" s="561"/>
      <c r="HF138" s="508"/>
      <c r="HG138" s="508"/>
      <c r="HH138" s="508"/>
      <c r="HI138" s="508"/>
      <c r="HJ138" s="508"/>
      <c r="HK138" s="561"/>
      <c r="HL138" s="508"/>
      <c r="HM138" s="508"/>
      <c r="HN138" s="508"/>
      <c r="HO138" s="508"/>
      <c r="HP138" s="508"/>
      <c r="HQ138" s="561"/>
      <c r="HR138" s="508"/>
      <c r="HS138" s="508"/>
      <c r="HT138" s="508"/>
      <c r="HU138" s="508"/>
      <c r="HV138" s="508"/>
      <c r="HW138" s="561"/>
      <c r="HX138" s="508"/>
      <c r="HY138" s="508"/>
      <c r="HZ138" s="508"/>
      <c r="IA138" s="508"/>
      <c r="IB138" s="508"/>
      <c r="IC138" s="561"/>
      <c r="ID138" s="508"/>
      <c r="IE138" s="508"/>
      <c r="IF138" s="508"/>
      <c r="IG138" s="508"/>
      <c r="IH138" s="508"/>
      <c r="II138" s="561"/>
      <c r="IJ138" s="508"/>
    </row>
    <row r="139" spans="1:244">
      <c r="A139" s="602"/>
      <c r="B139" s="651"/>
      <c r="C139" s="651"/>
      <c r="D139" s="651"/>
      <c r="E139" s="605"/>
      <c r="F139" s="651"/>
      <c r="G139" s="666"/>
      <c r="H139" s="652"/>
      <c r="I139" s="652"/>
      <c r="J139" s="1221"/>
      <c r="K139" s="1221"/>
      <c r="L139" s="1221"/>
      <c r="M139" s="1221"/>
      <c r="N139" s="1221"/>
      <c r="O139" s="1221"/>
      <c r="P139" s="1221"/>
      <c r="Q139" s="1222"/>
      <c r="R139" s="569"/>
      <c r="S139" s="1151"/>
      <c r="T139" s="583"/>
      <c r="U139" s="186"/>
      <c r="V139" s="583"/>
      <c r="W139" s="583"/>
      <c r="X139" s="583"/>
      <c r="Y139" s="583"/>
      <c r="Z139" s="583"/>
      <c r="AA139" s="186"/>
      <c r="AB139" s="583"/>
      <c r="AC139" s="583"/>
      <c r="AD139" s="583"/>
      <c r="AE139" s="583"/>
      <c r="AF139" s="583"/>
      <c r="AG139" s="186"/>
      <c r="AH139" s="583"/>
      <c r="AI139" s="583"/>
      <c r="AJ139" s="583"/>
      <c r="AK139" s="583"/>
      <c r="AL139" s="583"/>
      <c r="AM139" s="186"/>
      <c r="AN139" s="583"/>
      <c r="AO139" s="583"/>
      <c r="AP139" s="583"/>
      <c r="AQ139" s="583"/>
      <c r="AR139" s="583"/>
      <c r="AS139" s="186"/>
      <c r="AT139" s="583"/>
      <c r="AU139" s="583"/>
      <c r="AV139" s="583"/>
      <c r="AW139" s="583"/>
      <c r="AX139" s="583"/>
      <c r="AY139" s="186"/>
      <c r="AZ139" s="583"/>
      <c r="BA139" s="583"/>
      <c r="BB139" s="583"/>
      <c r="BC139" s="583"/>
      <c r="BD139" s="583"/>
      <c r="BE139" s="186"/>
      <c r="BF139" s="583"/>
      <c r="BG139" s="583"/>
      <c r="BH139" s="583"/>
      <c r="BI139" s="583"/>
      <c r="BJ139" s="583"/>
      <c r="BK139" s="186"/>
      <c r="BL139" s="583"/>
      <c r="BM139" s="583"/>
      <c r="BN139" s="583"/>
      <c r="BO139" s="583"/>
      <c r="BP139" s="583"/>
      <c r="BQ139" s="186"/>
      <c r="BR139" s="583"/>
      <c r="BS139" s="583"/>
      <c r="BT139" s="583"/>
      <c r="BU139" s="583"/>
      <c r="BV139" s="583"/>
      <c r="BW139" s="186"/>
      <c r="BX139" s="583"/>
      <c r="BY139" s="583"/>
      <c r="BZ139" s="583"/>
      <c r="CA139" s="583"/>
      <c r="CB139" s="583"/>
      <c r="CC139" s="186"/>
      <c r="CD139" s="583"/>
      <c r="CE139" s="583"/>
      <c r="CF139" s="583"/>
      <c r="CG139" s="583"/>
      <c r="CH139" s="583"/>
      <c r="CI139" s="186"/>
      <c r="CJ139" s="583"/>
      <c r="CK139" s="583"/>
      <c r="CL139" s="583"/>
      <c r="CM139" s="583"/>
      <c r="CN139" s="583"/>
      <c r="CO139" s="186"/>
      <c r="CP139" s="583"/>
      <c r="CQ139" s="583"/>
      <c r="CR139" s="583"/>
      <c r="CS139" s="583"/>
      <c r="CT139" s="583"/>
      <c r="CU139" s="186"/>
      <c r="CV139" s="583"/>
      <c r="CW139" s="583"/>
      <c r="CX139" s="583"/>
      <c r="CY139" s="583"/>
      <c r="CZ139" s="583"/>
      <c r="DA139" s="186"/>
      <c r="DB139" s="583"/>
      <c r="DC139" s="583"/>
      <c r="DD139" s="583"/>
      <c r="DE139" s="583"/>
      <c r="DF139" s="583"/>
      <c r="DG139" s="186"/>
      <c r="DH139" s="583"/>
      <c r="DI139" s="583"/>
      <c r="DJ139" s="583"/>
      <c r="DK139" s="583"/>
      <c r="DL139" s="583"/>
      <c r="DM139" s="186"/>
      <c r="DN139" s="583"/>
      <c r="DO139" s="583"/>
      <c r="DP139" s="583"/>
      <c r="DQ139" s="583"/>
      <c r="DR139" s="583"/>
      <c r="DS139" s="186"/>
      <c r="DT139" s="583"/>
      <c r="DU139" s="583"/>
      <c r="DV139" s="583"/>
      <c r="DW139" s="583"/>
      <c r="DX139" s="583"/>
      <c r="DY139" s="186"/>
      <c r="DZ139" s="583"/>
      <c r="EA139" s="583"/>
      <c r="EB139" s="583"/>
      <c r="EC139" s="583"/>
      <c r="ED139" s="583"/>
      <c r="EE139" s="186"/>
      <c r="EF139" s="583"/>
      <c r="EG139" s="583"/>
      <c r="EH139" s="583"/>
      <c r="EI139" s="583"/>
      <c r="EJ139" s="583"/>
      <c r="EK139" s="186"/>
      <c r="EL139" s="583"/>
      <c r="EM139" s="583"/>
      <c r="EN139" s="583"/>
      <c r="EO139" s="583"/>
      <c r="EP139" s="583"/>
      <c r="EQ139" s="186"/>
      <c r="ER139" s="583"/>
      <c r="ES139" s="583"/>
      <c r="ET139" s="583"/>
      <c r="EU139" s="583"/>
      <c r="EV139" s="583"/>
      <c r="EW139" s="186"/>
      <c r="EX139" s="583"/>
      <c r="EY139" s="583"/>
      <c r="EZ139" s="583"/>
      <c r="FA139" s="583"/>
      <c r="FB139" s="583"/>
      <c r="FC139" s="186"/>
      <c r="FD139" s="583"/>
      <c r="FE139" s="583"/>
      <c r="FF139" s="583"/>
      <c r="FG139" s="583"/>
      <c r="FH139" s="583"/>
      <c r="FI139" s="186"/>
      <c r="FJ139" s="583"/>
      <c r="FK139" s="583"/>
      <c r="FL139" s="583"/>
      <c r="FM139" s="583"/>
      <c r="FN139" s="583"/>
      <c r="FO139" s="186"/>
      <c r="FP139" s="583"/>
      <c r="FQ139" s="583"/>
      <c r="FR139" s="583"/>
      <c r="FS139" s="583"/>
      <c r="FT139" s="583"/>
      <c r="FU139" s="186"/>
      <c r="FV139" s="583"/>
      <c r="FW139" s="583"/>
      <c r="FX139" s="583"/>
      <c r="FY139" s="583"/>
      <c r="FZ139" s="583"/>
      <c r="GA139" s="186"/>
      <c r="GB139" s="583"/>
      <c r="GC139" s="583"/>
      <c r="GD139" s="583"/>
      <c r="GE139" s="583"/>
      <c r="GF139" s="583"/>
      <c r="GG139" s="186"/>
      <c r="GH139" s="583"/>
      <c r="GI139" s="583"/>
      <c r="GJ139" s="583"/>
      <c r="GK139" s="583"/>
      <c r="GL139" s="583"/>
      <c r="GM139" s="186"/>
      <c r="GN139" s="583"/>
      <c r="GO139" s="583"/>
      <c r="GP139" s="583"/>
      <c r="GQ139" s="583"/>
      <c r="GR139" s="583"/>
      <c r="GS139" s="186"/>
      <c r="GT139" s="583"/>
      <c r="GU139" s="583"/>
      <c r="GV139" s="583"/>
      <c r="GW139" s="583"/>
      <c r="GX139" s="583"/>
      <c r="GY139" s="186"/>
      <c r="GZ139" s="583"/>
      <c r="HA139" s="583"/>
      <c r="HB139" s="583"/>
      <c r="HC139" s="583"/>
      <c r="HD139" s="583"/>
      <c r="HE139" s="186"/>
      <c r="HF139" s="583"/>
      <c r="HG139" s="583"/>
      <c r="HH139" s="583"/>
      <c r="HI139" s="583"/>
      <c r="HJ139" s="583"/>
      <c r="HK139" s="186"/>
      <c r="HL139" s="583"/>
      <c r="HM139" s="583"/>
      <c r="HN139" s="583"/>
      <c r="HO139" s="583"/>
      <c r="HP139" s="583"/>
      <c r="HQ139" s="186"/>
      <c r="HR139" s="583"/>
      <c r="HS139" s="583"/>
      <c r="HT139" s="583"/>
      <c r="HU139" s="583"/>
      <c r="HV139" s="583"/>
      <c r="HW139" s="186"/>
      <c r="HX139" s="583"/>
      <c r="HY139" s="583"/>
      <c r="HZ139" s="583"/>
      <c r="IA139" s="583"/>
      <c r="IB139" s="583"/>
      <c r="IC139" s="186"/>
      <c r="ID139" s="583"/>
      <c r="IE139" s="583"/>
      <c r="IF139" s="583"/>
      <c r="IG139" s="583"/>
      <c r="IH139" s="583"/>
      <c r="II139" s="186"/>
      <c r="IJ139" s="583"/>
    </row>
    <row r="140" spans="1:244">
      <c r="A140" s="563"/>
      <c r="B140" s="563"/>
      <c r="C140" s="563"/>
      <c r="D140" s="563"/>
      <c r="E140" s="563"/>
      <c r="F140" s="563"/>
      <c r="G140" s="563"/>
      <c r="H140" s="563"/>
      <c r="I140" s="563"/>
      <c r="J140" s="654"/>
      <c r="K140" s="654"/>
      <c r="L140" s="654"/>
      <c r="M140" s="654"/>
      <c r="N140" s="654"/>
      <c r="O140" s="654"/>
      <c r="P140" s="654"/>
      <c r="Q140" s="654"/>
      <c r="R140" s="563"/>
    </row>
    <row r="141" spans="1:244">
      <c r="A141" s="563"/>
      <c r="B141" s="563"/>
      <c r="C141" s="563"/>
      <c r="D141" s="563"/>
      <c r="E141" s="563"/>
      <c r="F141" s="563"/>
      <c r="G141" s="563"/>
      <c r="H141" s="563"/>
      <c r="I141" s="563"/>
      <c r="J141" s="654"/>
      <c r="K141" s="654"/>
      <c r="L141" s="654"/>
      <c r="M141" s="654"/>
      <c r="N141" s="654"/>
      <c r="O141" s="654"/>
      <c r="P141" s="654"/>
      <c r="Q141" s="654"/>
      <c r="R141" s="563"/>
    </row>
    <row r="142" spans="1:244" s="303" customFormat="1" ht="18">
      <c r="A142" s="804" t="s">
        <v>550</v>
      </c>
      <c r="B142" s="806"/>
      <c r="C142" s="806"/>
      <c r="D142" s="806"/>
      <c r="E142" s="806"/>
      <c r="F142" s="806"/>
      <c r="G142" s="806"/>
      <c r="H142" s="806"/>
      <c r="I142" s="806"/>
      <c r="J142" s="815"/>
      <c r="K142" s="815"/>
      <c r="L142" s="815"/>
      <c r="M142" s="815"/>
      <c r="N142" s="815"/>
      <c r="O142" s="815"/>
      <c r="P142" s="815"/>
      <c r="Q142" s="815"/>
      <c r="R142" s="564"/>
      <c r="S142" s="1115"/>
    </row>
    <row r="143" spans="1:244" ht="48.75" customHeight="1">
      <c r="A143" s="1261" t="s">
        <v>595</v>
      </c>
      <c r="B143" s="1262"/>
      <c r="C143" s="1262"/>
      <c r="D143" s="1262"/>
      <c r="E143" s="1262"/>
      <c r="F143" s="1262"/>
      <c r="G143" s="812" t="s">
        <v>553</v>
      </c>
      <c r="H143" s="813" t="s">
        <v>654</v>
      </c>
      <c r="I143" s="813" t="s">
        <v>554</v>
      </c>
      <c r="J143" s="1234" t="s">
        <v>65</v>
      </c>
      <c r="K143" s="1235"/>
      <c r="L143" s="1235"/>
      <c r="M143" s="1235"/>
      <c r="N143" s="1235"/>
      <c r="O143" s="1235"/>
      <c r="P143" s="1235"/>
      <c r="Q143" s="1236"/>
      <c r="R143" s="569"/>
      <c r="S143" s="1151"/>
      <c r="T143" s="583"/>
      <c r="U143" s="186"/>
      <c r="V143" s="583"/>
      <c r="W143" s="583"/>
      <c r="X143" s="583"/>
      <c r="Y143" s="583"/>
      <c r="Z143" s="583"/>
      <c r="AA143" s="186"/>
      <c r="AB143" s="583"/>
      <c r="AC143" s="583"/>
      <c r="AD143" s="583"/>
      <c r="AE143" s="583"/>
      <c r="AF143" s="583"/>
      <c r="AG143" s="186"/>
      <c r="AH143" s="583"/>
      <c r="AI143" s="583"/>
      <c r="AJ143" s="583"/>
      <c r="AK143" s="583"/>
      <c r="AL143" s="583"/>
      <c r="AM143" s="186"/>
      <c r="AN143" s="583"/>
      <c r="AO143" s="583"/>
      <c r="AP143" s="583"/>
      <c r="AQ143" s="583"/>
      <c r="AR143" s="583"/>
      <c r="AS143" s="186"/>
      <c r="AT143" s="583"/>
      <c r="AU143" s="583"/>
      <c r="AV143" s="583"/>
      <c r="AW143" s="583"/>
      <c r="AX143" s="583"/>
      <c r="AY143" s="186"/>
      <c r="AZ143" s="583"/>
      <c r="BA143" s="583"/>
      <c r="BB143" s="583"/>
      <c r="BC143" s="583"/>
      <c r="BD143" s="583"/>
      <c r="BE143" s="186"/>
      <c r="BF143" s="583"/>
      <c r="BG143" s="583"/>
      <c r="BH143" s="583"/>
      <c r="BI143" s="583"/>
      <c r="BJ143" s="583"/>
      <c r="BK143" s="186"/>
      <c r="BL143" s="583"/>
      <c r="BM143" s="583"/>
      <c r="BN143" s="583"/>
      <c r="BO143" s="583"/>
      <c r="BP143" s="583"/>
      <c r="BQ143" s="186"/>
      <c r="BR143" s="583"/>
      <c r="BS143" s="583"/>
      <c r="BT143" s="583"/>
      <c r="BU143" s="583"/>
      <c r="BV143" s="583"/>
      <c r="BW143" s="186"/>
      <c r="BX143" s="583"/>
      <c r="BY143" s="583"/>
      <c r="BZ143" s="583"/>
      <c r="CA143" s="583"/>
      <c r="CB143" s="583"/>
      <c r="CC143" s="186"/>
      <c r="CD143" s="583"/>
      <c r="CE143" s="583"/>
      <c r="CF143" s="583"/>
      <c r="CG143" s="583"/>
      <c r="CH143" s="583"/>
      <c r="CI143" s="186"/>
      <c r="CJ143" s="583"/>
      <c r="CK143" s="583"/>
      <c r="CL143" s="583"/>
      <c r="CM143" s="583"/>
      <c r="CN143" s="583"/>
      <c r="CO143" s="186"/>
      <c r="CP143" s="583"/>
      <c r="CQ143" s="583"/>
      <c r="CR143" s="583"/>
      <c r="CS143" s="583"/>
      <c r="CT143" s="583"/>
      <c r="CU143" s="186"/>
      <c r="CV143" s="583"/>
      <c r="CW143" s="583"/>
      <c r="CX143" s="583"/>
      <c r="CY143" s="583"/>
      <c r="CZ143" s="583"/>
      <c r="DA143" s="186"/>
      <c r="DB143" s="583"/>
      <c r="DC143" s="583"/>
      <c r="DD143" s="583"/>
      <c r="DE143" s="583"/>
      <c r="DF143" s="583"/>
      <c r="DG143" s="186"/>
      <c r="DH143" s="583"/>
      <c r="DI143" s="583"/>
      <c r="DJ143" s="583"/>
      <c r="DK143" s="583"/>
      <c r="DL143" s="583"/>
      <c r="DM143" s="186"/>
      <c r="DN143" s="583"/>
      <c r="DO143" s="583"/>
      <c r="DP143" s="583"/>
      <c r="DQ143" s="583"/>
      <c r="DR143" s="583"/>
      <c r="DS143" s="186"/>
      <c r="DT143" s="583"/>
      <c r="DU143" s="583"/>
      <c r="DV143" s="583"/>
      <c r="DW143" s="583"/>
      <c r="DX143" s="583"/>
      <c r="DY143" s="186"/>
      <c r="DZ143" s="583"/>
      <c r="EA143" s="583"/>
      <c r="EB143" s="583"/>
      <c r="EC143" s="583"/>
      <c r="ED143" s="583"/>
      <c r="EE143" s="186"/>
      <c r="EF143" s="583"/>
      <c r="EG143" s="583"/>
      <c r="EH143" s="583"/>
      <c r="EI143" s="583"/>
      <c r="EJ143" s="583"/>
      <c r="EK143" s="186"/>
      <c r="EL143" s="583"/>
      <c r="EM143" s="583"/>
      <c r="EN143" s="583"/>
      <c r="EO143" s="583"/>
      <c r="EP143" s="583"/>
      <c r="EQ143" s="186"/>
      <c r="ER143" s="583"/>
      <c r="ES143" s="583"/>
      <c r="ET143" s="583"/>
      <c r="EU143" s="583"/>
      <c r="EV143" s="583"/>
      <c r="EW143" s="186"/>
      <c r="EX143" s="583"/>
      <c r="EY143" s="583"/>
      <c r="EZ143" s="583"/>
      <c r="FA143" s="583"/>
      <c r="FB143" s="583"/>
      <c r="FC143" s="186"/>
      <c r="FD143" s="583"/>
      <c r="FE143" s="583"/>
      <c r="FF143" s="583"/>
      <c r="FG143" s="583"/>
      <c r="FH143" s="583"/>
      <c r="FI143" s="186"/>
      <c r="FJ143" s="583"/>
      <c r="FK143" s="583"/>
      <c r="FL143" s="583"/>
      <c r="FM143" s="583"/>
      <c r="FN143" s="583"/>
      <c r="FO143" s="186"/>
      <c r="FP143" s="583"/>
      <c r="FQ143" s="583"/>
      <c r="FR143" s="583"/>
      <c r="FS143" s="583"/>
      <c r="FT143" s="583"/>
      <c r="FU143" s="186"/>
      <c r="FV143" s="583"/>
      <c r="FW143" s="583"/>
      <c r="FX143" s="583"/>
      <c r="FY143" s="583"/>
      <c r="FZ143" s="583"/>
      <c r="GA143" s="186"/>
      <c r="GB143" s="583"/>
      <c r="GC143" s="583"/>
      <c r="GD143" s="583"/>
      <c r="GE143" s="583"/>
      <c r="GF143" s="583"/>
      <c r="GG143" s="186"/>
      <c r="GH143" s="583"/>
      <c r="GI143" s="583"/>
      <c r="GJ143" s="583"/>
      <c r="GK143" s="583"/>
      <c r="GL143" s="583"/>
      <c r="GM143" s="186"/>
      <c r="GN143" s="583"/>
      <c r="GO143" s="583"/>
      <c r="GP143" s="583"/>
      <c r="GQ143" s="583"/>
      <c r="GR143" s="583"/>
      <c r="GS143" s="186"/>
      <c r="GT143" s="583"/>
      <c r="GU143" s="583"/>
      <c r="GV143" s="583"/>
      <c r="GW143" s="583"/>
      <c r="GX143" s="583"/>
      <c r="GY143" s="186"/>
      <c r="GZ143" s="583"/>
      <c r="HA143" s="583"/>
      <c r="HB143" s="583"/>
      <c r="HC143" s="583"/>
      <c r="HD143" s="583"/>
      <c r="HE143" s="186"/>
      <c r="HF143" s="583"/>
      <c r="HG143" s="583"/>
      <c r="HH143" s="583"/>
      <c r="HI143" s="583"/>
      <c r="HJ143" s="583"/>
      <c r="HK143" s="186"/>
      <c r="HL143" s="583"/>
      <c r="HM143" s="583"/>
      <c r="HN143" s="583"/>
      <c r="HO143" s="583"/>
      <c r="HP143" s="583"/>
      <c r="HQ143" s="186"/>
      <c r="HR143" s="583"/>
      <c r="HS143" s="583"/>
      <c r="HT143" s="583"/>
      <c r="HU143" s="583"/>
      <c r="HV143" s="583"/>
      <c r="HW143" s="186"/>
      <c r="HX143" s="583"/>
      <c r="HY143" s="583"/>
      <c r="HZ143" s="583"/>
      <c r="IA143" s="583"/>
      <c r="IB143" s="583"/>
      <c r="IC143" s="186"/>
      <c r="ID143" s="583"/>
      <c r="IE143" s="583"/>
      <c r="IF143" s="583"/>
      <c r="IG143" s="583"/>
      <c r="IH143" s="583"/>
      <c r="II143" s="186"/>
      <c r="IJ143" s="583"/>
    </row>
    <row r="144" spans="1:244">
      <c r="A144" s="575"/>
      <c r="B144" s="582" t="s">
        <v>552</v>
      </c>
      <c r="C144" s="583"/>
      <c r="D144" s="583"/>
      <c r="E144" s="583"/>
      <c r="F144" s="583"/>
      <c r="G144" s="537"/>
      <c r="H144" s="536"/>
      <c r="I144" s="536"/>
      <c r="J144" s="1219"/>
      <c r="K144" s="1219"/>
      <c r="L144" s="1219"/>
      <c r="M144" s="1219"/>
      <c r="N144" s="1219"/>
      <c r="O144" s="1219"/>
      <c r="P144" s="1219"/>
      <c r="Q144" s="1220"/>
      <c r="R144" s="569"/>
      <c r="S144" s="1151"/>
      <c r="T144" s="583"/>
      <c r="U144" s="186"/>
      <c r="V144" s="583"/>
      <c r="W144" s="583"/>
      <c r="X144" s="583"/>
      <c r="Y144" s="583"/>
      <c r="Z144" s="583"/>
      <c r="AA144" s="186"/>
      <c r="AB144" s="583"/>
      <c r="AC144" s="583"/>
      <c r="AD144" s="583"/>
      <c r="AE144" s="583"/>
      <c r="AF144" s="583"/>
      <c r="AG144" s="186"/>
      <c r="AH144" s="583"/>
      <c r="AI144" s="583"/>
      <c r="AJ144" s="583"/>
      <c r="AK144" s="583"/>
      <c r="AL144" s="583"/>
      <c r="AM144" s="186"/>
      <c r="AN144" s="583"/>
      <c r="AO144" s="583"/>
      <c r="AP144" s="583"/>
      <c r="AQ144" s="583"/>
      <c r="AR144" s="583"/>
      <c r="AS144" s="186"/>
      <c r="AT144" s="583"/>
      <c r="AU144" s="583"/>
      <c r="AV144" s="583"/>
      <c r="AW144" s="583"/>
      <c r="AX144" s="583"/>
      <c r="AY144" s="186"/>
      <c r="AZ144" s="583"/>
      <c r="BA144" s="583"/>
      <c r="BB144" s="583"/>
      <c r="BC144" s="583"/>
      <c r="BD144" s="583"/>
      <c r="BE144" s="186"/>
      <c r="BF144" s="583"/>
      <c r="BG144" s="583"/>
      <c r="BH144" s="583"/>
      <c r="BI144" s="583"/>
      <c r="BJ144" s="583"/>
      <c r="BK144" s="186"/>
      <c r="BL144" s="583"/>
      <c r="BM144" s="583"/>
      <c r="BN144" s="583"/>
      <c r="BO144" s="583"/>
      <c r="BP144" s="583"/>
      <c r="BQ144" s="186"/>
      <c r="BR144" s="583"/>
      <c r="BS144" s="583"/>
      <c r="BT144" s="583"/>
      <c r="BU144" s="583"/>
      <c r="BV144" s="583"/>
      <c r="BW144" s="186"/>
      <c r="BX144" s="583"/>
      <c r="BY144" s="583"/>
      <c r="BZ144" s="583"/>
      <c r="CA144" s="583"/>
      <c r="CB144" s="583"/>
      <c r="CC144" s="186"/>
      <c r="CD144" s="583"/>
      <c r="CE144" s="583"/>
      <c r="CF144" s="583"/>
      <c r="CG144" s="583"/>
      <c r="CH144" s="583"/>
      <c r="CI144" s="186"/>
      <c r="CJ144" s="583"/>
      <c r="CK144" s="583"/>
      <c r="CL144" s="583"/>
      <c r="CM144" s="583"/>
      <c r="CN144" s="583"/>
      <c r="CO144" s="186"/>
      <c r="CP144" s="583"/>
      <c r="CQ144" s="583"/>
      <c r="CR144" s="583"/>
      <c r="CS144" s="583"/>
      <c r="CT144" s="583"/>
      <c r="CU144" s="186"/>
      <c r="CV144" s="583"/>
      <c r="CW144" s="583"/>
      <c r="CX144" s="583"/>
      <c r="CY144" s="583"/>
      <c r="CZ144" s="583"/>
      <c r="DA144" s="186"/>
      <c r="DB144" s="583"/>
      <c r="DC144" s="583"/>
      <c r="DD144" s="583"/>
      <c r="DE144" s="583"/>
      <c r="DF144" s="583"/>
      <c r="DG144" s="186"/>
      <c r="DH144" s="583"/>
      <c r="DI144" s="583"/>
      <c r="DJ144" s="583"/>
      <c r="DK144" s="583"/>
      <c r="DL144" s="583"/>
      <c r="DM144" s="186"/>
      <c r="DN144" s="583"/>
      <c r="DO144" s="583"/>
      <c r="DP144" s="583"/>
      <c r="DQ144" s="583"/>
      <c r="DR144" s="583"/>
      <c r="DS144" s="186"/>
      <c r="DT144" s="583"/>
      <c r="DU144" s="583"/>
      <c r="DV144" s="583"/>
      <c r="DW144" s="583"/>
      <c r="DX144" s="583"/>
      <c r="DY144" s="186"/>
      <c r="DZ144" s="583"/>
      <c r="EA144" s="583"/>
      <c r="EB144" s="583"/>
      <c r="EC144" s="583"/>
      <c r="ED144" s="583"/>
      <c r="EE144" s="186"/>
      <c r="EF144" s="583"/>
      <c r="EG144" s="583"/>
      <c r="EH144" s="583"/>
      <c r="EI144" s="583"/>
      <c r="EJ144" s="583"/>
      <c r="EK144" s="186"/>
      <c r="EL144" s="583"/>
      <c r="EM144" s="583"/>
      <c r="EN144" s="583"/>
      <c r="EO144" s="583"/>
      <c r="EP144" s="583"/>
      <c r="EQ144" s="186"/>
      <c r="ER144" s="583"/>
      <c r="ES144" s="583"/>
      <c r="ET144" s="583"/>
      <c r="EU144" s="583"/>
      <c r="EV144" s="583"/>
      <c r="EW144" s="186"/>
      <c r="EX144" s="583"/>
      <c r="EY144" s="583"/>
      <c r="EZ144" s="583"/>
      <c r="FA144" s="583"/>
      <c r="FB144" s="583"/>
      <c r="FC144" s="186"/>
      <c r="FD144" s="583"/>
      <c r="FE144" s="583"/>
      <c r="FF144" s="583"/>
      <c r="FG144" s="583"/>
      <c r="FH144" s="583"/>
      <c r="FI144" s="186"/>
      <c r="FJ144" s="583"/>
      <c r="FK144" s="583"/>
      <c r="FL144" s="583"/>
      <c r="FM144" s="583"/>
      <c r="FN144" s="583"/>
      <c r="FO144" s="186"/>
      <c r="FP144" s="583"/>
      <c r="FQ144" s="583"/>
      <c r="FR144" s="583"/>
      <c r="FS144" s="583"/>
      <c r="FT144" s="583"/>
      <c r="FU144" s="186"/>
      <c r="FV144" s="583"/>
      <c r="FW144" s="583"/>
      <c r="FX144" s="583"/>
      <c r="FY144" s="583"/>
      <c r="FZ144" s="583"/>
      <c r="GA144" s="186"/>
      <c r="GB144" s="583"/>
      <c r="GC144" s="583"/>
      <c r="GD144" s="583"/>
      <c r="GE144" s="583"/>
      <c r="GF144" s="583"/>
      <c r="GG144" s="186"/>
      <c r="GH144" s="583"/>
      <c r="GI144" s="583"/>
      <c r="GJ144" s="583"/>
      <c r="GK144" s="583"/>
      <c r="GL144" s="583"/>
      <c r="GM144" s="186"/>
      <c r="GN144" s="583"/>
      <c r="GO144" s="583"/>
      <c r="GP144" s="583"/>
      <c r="GQ144" s="583"/>
      <c r="GR144" s="583"/>
      <c r="GS144" s="186"/>
      <c r="GT144" s="583"/>
      <c r="GU144" s="583"/>
      <c r="GV144" s="583"/>
      <c r="GW144" s="583"/>
      <c r="GX144" s="583"/>
      <c r="GY144" s="186"/>
      <c r="GZ144" s="583"/>
      <c r="HA144" s="583"/>
      <c r="HB144" s="583"/>
      <c r="HC144" s="583"/>
      <c r="HD144" s="583"/>
      <c r="HE144" s="186"/>
      <c r="HF144" s="583"/>
      <c r="HG144" s="583"/>
      <c r="HH144" s="583"/>
      <c r="HI144" s="583"/>
      <c r="HJ144" s="583"/>
      <c r="HK144" s="186"/>
      <c r="HL144" s="583"/>
      <c r="HM144" s="583"/>
      <c r="HN144" s="583"/>
      <c r="HO144" s="583"/>
      <c r="HP144" s="583"/>
      <c r="HQ144" s="186"/>
      <c r="HR144" s="583"/>
      <c r="HS144" s="583"/>
      <c r="HT144" s="583"/>
      <c r="HU144" s="583"/>
      <c r="HV144" s="583"/>
      <c r="HW144" s="186"/>
      <c r="HX144" s="583"/>
      <c r="HY144" s="583"/>
      <c r="HZ144" s="583"/>
      <c r="IA144" s="583"/>
      <c r="IB144" s="583"/>
      <c r="IC144" s="186"/>
      <c r="ID144" s="583"/>
      <c r="IE144" s="583"/>
      <c r="IF144" s="583"/>
      <c r="IG144" s="583"/>
      <c r="IH144" s="583"/>
      <c r="II144" s="186"/>
      <c r="IJ144" s="583"/>
    </row>
    <row r="145" spans="1:244">
      <c r="A145" s="575"/>
      <c r="B145" s="582"/>
      <c r="C145" s="583"/>
      <c r="D145" s="583"/>
      <c r="E145" s="583"/>
      <c r="F145" s="583"/>
      <c r="G145" s="537"/>
      <c r="H145" s="536"/>
      <c r="I145" s="536"/>
      <c r="J145" s="1219"/>
      <c r="K145" s="1219"/>
      <c r="L145" s="1219"/>
      <c r="M145" s="1219"/>
      <c r="N145" s="1219"/>
      <c r="O145" s="1219"/>
      <c r="P145" s="1219"/>
      <c r="Q145" s="1220"/>
      <c r="R145" s="569"/>
      <c r="S145" s="1151"/>
      <c r="T145" s="583"/>
      <c r="U145" s="186"/>
      <c r="V145" s="583"/>
      <c r="W145" s="583"/>
      <c r="X145" s="583"/>
      <c r="Y145" s="583"/>
      <c r="Z145" s="583"/>
      <c r="AA145" s="186"/>
      <c r="AB145" s="583"/>
      <c r="AC145" s="583"/>
      <c r="AD145" s="583"/>
      <c r="AE145" s="583"/>
      <c r="AF145" s="583"/>
      <c r="AG145" s="186"/>
      <c r="AH145" s="583"/>
      <c r="AI145" s="583"/>
      <c r="AJ145" s="583"/>
      <c r="AK145" s="583"/>
      <c r="AL145" s="583"/>
      <c r="AM145" s="186"/>
      <c r="AN145" s="583"/>
      <c r="AO145" s="583"/>
      <c r="AP145" s="583"/>
      <c r="AQ145" s="583"/>
      <c r="AR145" s="583"/>
      <c r="AS145" s="186"/>
      <c r="AT145" s="583"/>
      <c r="AU145" s="583"/>
      <c r="AV145" s="583"/>
      <c r="AW145" s="583"/>
      <c r="AX145" s="583"/>
      <c r="AY145" s="186"/>
      <c r="AZ145" s="583"/>
      <c r="BA145" s="583"/>
      <c r="BB145" s="583"/>
      <c r="BC145" s="583"/>
      <c r="BD145" s="583"/>
      <c r="BE145" s="186"/>
      <c r="BF145" s="583"/>
      <c r="BG145" s="583"/>
      <c r="BH145" s="583"/>
      <c r="BI145" s="583"/>
      <c r="BJ145" s="583"/>
      <c r="BK145" s="186"/>
      <c r="BL145" s="583"/>
      <c r="BM145" s="583"/>
      <c r="BN145" s="583"/>
      <c r="BO145" s="583"/>
      <c r="BP145" s="583"/>
      <c r="BQ145" s="186"/>
      <c r="BR145" s="583"/>
      <c r="BS145" s="583"/>
      <c r="BT145" s="583"/>
      <c r="BU145" s="583"/>
      <c r="BV145" s="583"/>
      <c r="BW145" s="186"/>
      <c r="BX145" s="583"/>
      <c r="BY145" s="583"/>
      <c r="BZ145" s="583"/>
      <c r="CA145" s="583"/>
      <c r="CB145" s="583"/>
      <c r="CC145" s="186"/>
      <c r="CD145" s="583"/>
      <c r="CE145" s="583"/>
      <c r="CF145" s="583"/>
      <c r="CG145" s="583"/>
      <c r="CH145" s="583"/>
      <c r="CI145" s="186"/>
      <c r="CJ145" s="583"/>
      <c r="CK145" s="583"/>
      <c r="CL145" s="583"/>
      <c r="CM145" s="583"/>
      <c r="CN145" s="583"/>
      <c r="CO145" s="186"/>
      <c r="CP145" s="583"/>
      <c r="CQ145" s="583"/>
      <c r="CR145" s="583"/>
      <c r="CS145" s="583"/>
      <c r="CT145" s="583"/>
      <c r="CU145" s="186"/>
      <c r="CV145" s="583"/>
      <c r="CW145" s="583"/>
      <c r="CX145" s="583"/>
      <c r="CY145" s="583"/>
      <c r="CZ145" s="583"/>
      <c r="DA145" s="186"/>
      <c r="DB145" s="583"/>
      <c r="DC145" s="583"/>
      <c r="DD145" s="583"/>
      <c r="DE145" s="583"/>
      <c r="DF145" s="583"/>
      <c r="DG145" s="186"/>
      <c r="DH145" s="583"/>
      <c r="DI145" s="583"/>
      <c r="DJ145" s="583"/>
      <c r="DK145" s="583"/>
      <c r="DL145" s="583"/>
      <c r="DM145" s="186"/>
      <c r="DN145" s="583"/>
      <c r="DO145" s="583"/>
      <c r="DP145" s="583"/>
      <c r="DQ145" s="583"/>
      <c r="DR145" s="583"/>
      <c r="DS145" s="186"/>
      <c r="DT145" s="583"/>
      <c r="DU145" s="583"/>
      <c r="DV145" s="583"/>
      <c r="DW145" s="583"/>
      <c r="DX145" s="583"/>
      <c r="DY145" s="186"/>
      <c r="DZ145" s="583"/>
      <c r="EA145" s="583"/>
      <c r="EB145" s="583"/>
      <c r="EC145" s="583"/>
      <c r="ED145" s="583"/>
      <c r="EE145" s="186"/>
      <c r="EF145" s="583"/>
      <c r="EG145" s="583"/>
      <c r="EH145" s="583"/>
      <c r="EI145" s="583"/>
      <c r="EJ145" s="583"/>
      <c r="EK145" s="186"/>
      <c r="EL145" s="583"/>
      <c r="EM145" s="583"/>
      <c r="EN145" s="583"/>
      <c r="EO145" s="583"/>
      <c r="EP145" s="583"/>
      <c r="EQ145" s="186"/>
      <c r="ER145" s="583"/>
      <c r="ES145" s="583"/>
      <c r="ET145" s="583"/>
      <c r="EU145" s="583"/>
      <c r="EV145" s="583"/>
      <c r="EW145" s="186"/>
      <c r="EX145" s="583"/>
      <c r="EY145" s="583"/>
      <c r="EZ145" s="583"/>
      <c r="FA145" s="583"/>
      <c r="FB145" s="583"/>
      <c r="FC145" s="186"/>
      <c r="FD145" s="583"/>
      <c r="FE145" s="583"/>
      <c r="FF145" s="583"/>
      <c r="FG145" s="583"/>
      <c r="FH145" s="583"/>
      <c r="FI145" s="186"/>
      <c r="FJ145" s="583"/>
      <c r="FK145" s="583"/>
      <c r="FL145" s="583"/>
      <c r="FM145" s="583"/>
      <c r="FN145" s="583"/>
      <c r="FO145" s="186"/>
      <c r="FP145" s="583"/>
      <c r="FQ145" s="583"/>
      <c r="FR145" s="583"/>
      <c r="FS145" s="583"/>
      <c r="FT145" s="583"/>
      <c r="FU145" s="186"/>
      <c r="FV145" s="583"/>
      <c r="FW145" s="583"/>
      <c r="FX145" s="583"/>
      <c r="FY145" s="583"/>
      <c r="FZ145" s="583"/>
      <c r="GA145" s="186"/>
      <c r="GB145" s="583"/>
      <c r="GC145" s="583"/>
      <c r="GD145" s="583"/>
      <c r="GE145" s="583"/>
      <c r="GF145" s="583"/>
      <c r="GG145" s="186"/>
      <c r="GH145" s="583"/>
      <c r="GI145" s="583"/>
      <c r="GJ145" s="583"/>
      <c r="GK145" s="583"/>
      <c r="GL145" s="583"/>
      <c r="GM145" s="186"/>
      <c r="GN145" s="583"/>
      <c r="GO145" s="583"/>
      <c r="GP145" s="583"/>
      <c r="GQ145" s="583"/>
      <c r="GR145" s="583"/>
      <c r="GS145" s="186"/>
      <c r="GT145" s="583"/>
      <c r="GU145" s="583"/>
      <c r="GV145" s="583"/>
      <c r="GW145" s="583"/>
      <c r="GX145" s="583"/>
      <c r="GY145" s="186"/>
      <c r="GZ145" s="583"/>
      <c r="HA145" s="583"/>
      <c r="HB145" s="583"/>
      <c r="HC145" s="583"/>
      <c r="HD145" s="583"/>
      <c r="HE145" s="186"/>
      <c r="HF145" s="583"/>
      <c r="HG145" s="583"/>
      <c r="HH145" s="583"/>
      <c r="HI145" s="583"/>
      <c r="HJ145" s="583"/>
      <c r="HK145" s="186"/>
      <c r="HL145" s="583"/>
      <c r="HM145" s="583"/>
      <c r="HN145" s="583"/>
      <c r="HO145" s="583"/>
      <c r="HP145" s="583"/>
      <c r="HQ145" s="186"/>
      <c r="HR145" s="583"/>
      <c r="HS145" s="583"/>
      <c r="HT145" s="583"/>
      <c r="HU145" s="583"/>
      <c r="HV145" s="583"/>
      <c r="HW145" s="186"/>
      <c r="HX145" s="583"/>
      <c r="HY145" s="583"/>
      <c r="HZ145" s="583"/>
      <c r="IA145" s="583"/>
      <c r="IB145" s="583"/>
      <c r="IC145" s="186"/>
      <c r="ID145" s="583"/>
      <c r="IE145" s="583"/>
      <c r="IF145" s="583"/>
      <c r="IG145" s="583"/>
      <c r="IH145" s="583"/>
      <c r="II145" s="186"/>
      <c r="IJ145" s="583"/>
    </row>
    <row r="146" spans="1:244" s="159" customFormat="1" ht="15.75" customHeight="1">
      <c r="A146" s="575">
        <f>'Appendix A'!A171</f>
        <v>99</v>
      </c>
      <c r="B146" s="583"/>
      <c r="C146" s="583" t="str">
        <f>'Appendix A'!C171</f>
        <v>Long Term Interest</v>
      </c>
      <c r="D146" s="583"/>
      <c r="F146" s="611" t="s">
        <v>98</v>
      </c>
      <c r="G146" s="1075">
        <v>346475873</v>
      </c>
      <c r="H146" s="1088">
        <v>0</v>
      </c>
      <c r="I146" s="538">
        <f>H146+G146</f>
        <v>346475873</v>
      </c>
      <c r="J146" s="1219" t="s">
        <v>310</v>
      </c>
      <c r="K146" s="1219"/>
      <c r="L146" s="1219"/>
      <c r="M146" s="1219"/>
      <c r="N146" s="1219"/>
      <c r="O146" s="1219"/>
      <c r="P146" s="1219"/>
      <c r="Q146" s="1220"/>
      <c r="R146" s="569"/>
      <c r="S146" s="1151"/>
      <c r="T146" s="583"/>
      <c r="U146" s="186"/>
      <c r="V146" s="583"/>
      <c r="W146" s="583"/>
      <c r="X146" s="583"/>
      <c r="Y146" s="583"/>
      <c r="Z146" s="583"/>
      <c r="AA146" s="186"/>
      <c r="AB146" s="583"/>
      <c r="AC146" s="583"/>
      <c r="AD146" s="583"/>
      <c r="AE146" s="583"/>
      <c r="AF146" s="583"/>
      <c r="AG146" s="186"/>
      <c r="AH146" s="583"/>
      <c r="AI146" s="583"/>
      <c r="AJ146" s="583"/>
      <c r="AK146" s="583"/>
      <c r="AL146" s="583"/>
      <c r="AM146" s="186"/>
      <c r="AN146" s="583"/>
      <c r="AO146" s="583"/>
      <c r="AP146" s="583"/>
      <c r="AQ146" s="583"/>
      <c r="AR146" s="583"/>
      <c r="AS146" s="186"/>
      <c r="AT146" s="583"/>
      <c r="AU146" s="583"/>
      <c r="AV146" s="583"/>
      <c r="AW146" s="583"/>
      <c r="AX146" s="583"/>
      <c r="AY146" s="186"/>
      <c r="AZ146" s="583"/>
      <c r="BA146" s="583"/>
      <c r="BB146" s="583"/>
      <c r="BC146" s="583"/>
      <c r="BD146" s="583"/>
      <c r="BE146" s="186"/>
      <c r="BF146" s="583"/>
      <c r="BG146" s="583"/>
      <c r="BH146" s="583"/>
      <c r="BI146" s="583"/>
      <c r="BJ146" s="583"/>
      <c r="BK146" s="186"/>
      <c r="BL146" s="583"/>
      <c r="BM146" s="583"/>
      <c r="BN146" s="583"/>
      <c r="BO146" s="583"/>
      <c r="BP146" s="583"/>
      <c r="BQ146" s="186"/>
      <c r="BR146" s="583"/>
      <c r="BS146" s="583"/>
      <c r="BT146" s="583"/>
      <c r="BU146" s="583"/>
      <c r="BV146" s="583"/>
      <c r="BW146" s="186"/>
      <c r="BX146" s="583"/>
      <c r="BY146" s="583"/>
      <c r="BZ146" s="583"/>
      <c r="CA146" s="583"/>
      <c r="CB146" s="583"/>
      <c r="CC146" s="186"/>
      <c r="CD146" s="583"/>
      <c r="CE146" s="583"/>
      <c r="CF146" s="583"/>
      <c r="CG146" s="583"/>
      <c r="CH146" s="583"/>
      <c r="CI146" s="186"/>
      <c r="CJ146" s="583"/>
      <c r="CK146" s="583"/>
      <c r="CL146" s="583"/>
      <c r="CM146" s="583"/>
      <c r="CN146" s="583"/>
      <c r="CO146" s="186"/>
      <c r="CP146" s="583"/>
      <c r="CQ146" s="583"/>
      <c r="CR146" s="583"/>
      <c r="CS146" s="583"/>
      <c r="CT146" s="583"/>
      <c r="CU146" s="186"/>
      <c r="CV146" s="583"/>
      <c r="CW146" s="583"/>
      <c r="CX146" s="583"/>
      <c r="CY146" s="583"/>
      <c r="CZ146" s="583"/>
      <c r="DA146" s="186"/>
      <c r="DB146" s="583"/>
      <c r="DC146" s="583"/>
      <c r="DD146" s="583"/>
      <c r="DE146" s="583"/>
      <c r="DF146" s="583"/>
      <c r="DG146" s="186"/>
      <c r="DH146" s="583"/>
      <c r="DI146" s="583"/>
      <c r="DJ146" s="583"/>
      <c r="DK146" s="583"/>
      <c r="DL146" s="583"/>
      <c r="DM146" s="186"/>
      <c r="DN146" s="583"/>
      <c r="DO146" s="583"/>
      <c r="DP146" s="583"/>
      <c r="DQ146" s="583"/>
      <c r="DR146" s="583"/>
      <c r="DS146" s="186"/>
      <c r="DT146" s="583"/>
      <c r="DU146" s="583"/>
      <c r="DV146" s="583"/>
      <c r="DW146" s="583"/>
      <c r="DX146" s="583"/>
      <c r="DY146" s="186"/>
      <c r="DZ146" s="583"/>
      <c r="EA146" s="583"/>
      <c r="EB146" s="583"/>
      <c r="EC146" s="583"/>
      <c r="ED146" s="583"/>
      <c r="EE146" s="186"/>
      <c r="EF146" s="583"/>
      <c r="EG146" s="583"/>
      <c r="EH146" s="583"/>
      <c r="EI146" s="583"/>
      <c r="EJ146" s="583"/>
      <c r="EK146" s="186"/>
      <c r="EL146" s="583"/>
      <c r="EM146" s="583"/>
      <c r="EN146" s="583"/>
      <c r="EO146" s="583"/>
      <c r="EP146" s="583"/>
      <c r="EQ146" s="186"/>
      <c r="ER146" s="583"/>
      <c r="ES146" s="583"/>
      <c r="ET146" s="583"/>
      <c r="EU146" s="583"/>
      <c r="EV146" s="583"/>
      <c r="EW146" s="186"/>
      <c r="EX146" s="583"/>
      <c r="EY146" s="583"/>
      <c r="EZ146" s="583"/>
      <c r="FA146" s="583"/>
      <c r="FB146" s="583"/>
      <c r="FC146" s="186"/>
      <c r="FD146" s="583"/>
      <c r="FE146" s="583"/>
      <c r="FF146" s="583"/>
      <c r="FG146" s="583"/>
      <c r="FH146" s="583"/>
      <c r="FI146" s="186"/>
      <c r="FJ146" s="583"/>
      <c r="FK146" s="583"/>
      <c r="FL146" s="583"/>
      <c r="FM146" s="583"/>
      <c r="FN146" s="583"/>
      <c r="FO146" s="186"/>
      <c r="FP146" s="583"/>
      <c r="FQ146" s="583"/>
      <c r="FR146" s="583"/>
      <c r="FS146" s="583"/>
      <c r="FT146" s="583"/>
      <c r="FU146" s="186"/>
      <c r="FV146" s="583"/>
      <c r="FW146" s="583"/>
      <c r="FX146" s="583"/>
      <c r="FY146" s="583"/>
      <c r="FZ146" s="583"/>
      <c r="GA146" s="186"/>
      <c r="GB146" s="583"/>
      <c r="GC146" s="583"/>
      <c r="GD146" s="583"/>
      <c r="GE146" s="583"/>
      <c r="GF146" s="583"/>
      <c r="GG146" s="186"/>
      <c r="GH146" s="583"/>
      <c r="GI146" s="583"/>
      <c r="GJ146" s="583"/>
      <c r="GK146" s="583"/>
      <c r="GL146" s="583"/>
      <c r="GM146" s="186"/>
      <c r="GN146" s="583"/>
      <c r="GO146" s="583"/>
      <c r="GP146" s="583"/>
      <c r="GQ146" s="583"/>
      <c r="GR146" s="583"/>
      <c r="GS146" s="186"/>
      <c r="GT146" s="583"/>
      <c r="GU146" s="583"/>
      <c r="GV146" s="583"/>
      <c r="GW146" s="583"/>
      <c r="GX146" s="583"/>
      <c r="GY146" s="186"/>
      <c r="GZ146" s="583"/>
      <c r="HA146" s="583"/>
      <c r="HB146" s="583"/>
      <c r="HC146" s="583"/>
      <c r="HD146" s="583"/>
      <c r="HE146" s="186"/>
      <c r="HF146" s="583"/>
      <c r="HG146" s="583"/>
      <c r="HH146" s="583"/>
      <c r="HI146" s="583"/>
      <c r="HJ146" s="583"/>
      <c r="HK146" s="186"/>
      <c r="HL146" s="583"/>
      <c r="HM146" s="583"/>
      <c r="HN146" s="583"/>
      <c r="HO146" s="583"/>
      <c r="HP146" s="583"/>
      <c r="HQ146" s="186"/>
      <c r="HR146" s="583"/>
      <c r="HS146" s="583"/>
      <c r="HT146" s="583"/>
      <c r="HU146" s="583"/>
      <c r="HV146" s="583"/>
      <c r="HW146" s="186"/>
      <c r="HX146" s="583"/>
      <c r="HY146" s="583"/>
      <c r="HZ146" s="583"/>
      <c r="IA146" s="583"/>
      <c r="IB146" s="583"/>
      <c r="IC146" s="186"/>
      <c r="ID146" s="583"/>
      <c r="IE146" s="583"/>
      <c r="IF146" s="583"/>
      <c r="IG146" s="583"/>
      <c r="IH146" s="583"/>
      <c r="II146" s="186"/>
      <c r="IJ146" s="583"/>
    </row>
    <row r="147" spans="1:244">
      <c r="A147" s="575"/>
      <c r="B147" s="583"/>
      <c r="C147" s="583"/>
      <c r="D147" s="583"/>
      <c r="E147" s="611"/>
      <c r="F147" s="536"/>
      <c r="G147" s="549"/>
      <c r="H147" s="370"/>
      <c r="I147" s="371"/>
      <c r="J147" s="1219"/>
      <c r="K147" s="1219"/>
      <c r="L147" s="1219"/>
      <c r="M147" s="1219"/>
      <c r="N147" s="1219"/>
      <c r="O147" s="1219"/>
      <c r="P147" s="1219"/>
      <c r="Q147" s="1220"/>
      <c r="R147" s="569"/>
      <c r="S147" s="1151"/>
      <c r="T147" s="583"/>
      <c r="U147" s="186"/>
      <c r="V147" s="583"/>
      <c r="W147" s="583"/>
      <c r="X147" s="583"/>
      <c r="Y147" s="583"/>
      <c r="Z147" s="583"/>
      <c r="AA147" s="186"/>
      <c r="AB147" s="583"/>
      <c r="AC147" s="583"/>
      <c r="AD147" s="583"/>
      <c r="AE147" s="583"/>
      <c r="AF147" s="583"/>
      <c r="AG147" s="186"/>
      <c r="AH147" s="583"/>
      <c r="AI147" s="583"/>
      <c r="AJ147" s="583"/>
      <c r="AK147" s="583"/>
      <c r="AL147" s="583"/>
      <c r="AM147" s="186"/>
      <c r="AN147" s="583"/>
      <c r="AO147" s="583"/>
      <c r="AP147" s="583"/>
      <c r="AQ147" s="583"/>
      <c r="AR147" s="583"/>
      <c r="AS147" s="186"/>
      <c r="AT147" s="583"/>
      <c r="AU147" s="583"/>
      <c r="AV147" s="583"/>
      <c r="AW147" s="583"/>
      <c r="AX147" s="583"/>
      <c r="AY147" s="186"/>
      <c r="AZ147" s="583"/>
      <c r="BA147" s="583"/>
      <c r="BB147" s="583"/>
      <c r="BC147" s="583"/>
      <c r="BD147" s="583"/>
      <c r="BE147" s="186"/>
      <c r="BF147" s="583"/>
      <c r="BG147" s="583"/>
      <c r="BH147" s="583"/>
      <c r="BI147" s="583"/>
      <c r="BJ147" s="583"/>
      <c r="BK147" s="186"/>
      <c r="BL147" s="583"/>
      <c r="BM147" s="583"/>
      <c r="BN147" s="583"/>
      <c r="BO147" s="583"/>
      <c r="BP147" s="583"/>
      <c r="BQ147" s="186"/>
      <c r="BR147" s="583"/>
      <c r="BS147" s="583"/>
      <c r="BT147" s="583"/>
      <c r="BU147" s="583"/>
      <c r="BV147" s="583"/>
      <c r="BW147" s="186"/>
      <c r="BX147" s="583"/>
      <c r="BY147" s="583"/>
      <c r="BZ147" s="583"/>
      <c r="CA147" s="583"/>
      <c r="CB147" s="583"/>
      <c r="CC147" s="186"/>
      <c r="CD147" s="583"/>
      <c r="CE147" s="583"/>
      <c r="CF147" s="583"/>
      <c r="CG147" s="583"/>
      <c r="CH147" s="583"/>
      <c r="CI147" s="186"/>
      <c r="CJ147" s="583"/>
      <c r="CK147" s="583"/>
      <c r="CL147" s="583"/>
      <c r="CM147" s="583"/>
      <c r="CN147" s="583"/>
      <c r="CO147" s="186"/>
      <c r="CP147" s="583"/>
      <c r="CQ147" s="583"/>
      <c r="CR147" s="583"/>
      <c r="CS147" s="583"/>
      <c r="CT147" s="583"/>
      <c r="CU147" s="186"/>
      <c r="CV147" s="583"/>
      <c r="CW147" s="583"/>
      <c r="CX147" s="583"/>
      <c r="CY147" s="583"/>
      <c r="CZ147" s="583"/>
      <c r="DA147" s="186"/>
      <c r="DB147" s="583"/>
      <c r="DC147" s="583"/>
      <c r="DD147" s="583"/>
      <c r="DE147" s="583"/>
      <c r="DF147" s="583"/>
      <c r="DG147" s="186"/>
      <c r="DH147" s="583"/>
      <c r="DI147" s="583"/>
      <c r="DJ147" s="583"/>
      <c r="DK147" s="583"/>
      <c r="DL147" s="583"/>
      <c r="DM147" s="186"/>
      <c r="DN147" s="583"/>
      <c r="DO147" s="583"/>
      <c r="DP147" s="583"/>
      <c r="DQ147" s="583"/>
      <c r="DR147" s="583"/>
      <c r="DS147" s="186"/>
      <c r="DT147" s="583"/>
      <c r="DU147" s="583"/>
      <c r="DV147" s="583"/>
      <c r="DW147" s="583"/>
      <c r="DX147" s="583"/>
      <c r="DY147" s="186"/>
      <c r="DZ147" s="583"/>
      <c r="EA147" s="583"/>
      <c r="EB147" s="583"/>
      <c r="EC147" s="583"/>
      <c r="ED147" s="583"/>
      <c r="EE147" s="186"/>
      <c r="EF147" s="583"/>
      <c r="EG147" s="583"/>
      <c r="EH147" s="583"/>
      <c r="EI147" s="583"/>
      <c r="EJ147" s="583"/>
      <c r="EK147" s="186"/>
      <c r="EL147" s="583"/>
      <c r="EM147" s="583"/>
      <c r="EN147" s="583"/>
      <c r="EO147" s="583"/>
      <c r="EP147" s="583"/>
      <c r="EQ147" s="186"/>
      <c r="ER147" s="583"/>
      <c r="ES147" s="583"/>
      <c r="ET147" s="583"/>
      <c r="EU147" s="583"/>
      <c r="EV147" s="583"/>
      <c r="EW147" s="186"/>
      <c r="EX147" s="583"/>
      <c r="EY147" s="583"/>
      <c r="EZ147" s="583"/>
      <c r="FA147" s="583"/>
      <c r="FB147" s="583"/>
      <c r="FC147" s="186"/>
      <c r="FD147" s="583"/>
      <c r="FE147" s="583"/>
      <c r="FF147" s="583"/>
      <c r="FG147" s="583"/>
      <c r="FH147" s="583"/>
      <c r="FI147" s="186"/>
      <c r="FJ147" s="583"/>
      <c r="FK147" s="583"/>
      <c r="FL147" s="583"/>
      <c r="FM147" s="583"/>
      <c r="FN147" s="583"/>
      <c r="FO147" s="186"/>
      <c r="FP147" s="583"/>
      <c r="FQ147" s="583"/>
      <c r="FR147" s="583"/>
      <c r="FS147" s="583"/>
      <c r="FT147" s="583"/>
      <c r="FU147" s="186"/>
      <c r="FV147" s="583"/>
      <c r="FW147" s="583"/>
      <c r="FX147" s="583"/>
      <c r="FY147" s="583"/>
      <c r="FZ147" s="583"/>
      <c r="GA147" s="186"/>
      <c r="GB147" s="583"/>
      <c r="GC147" s="583"/>
      <c r="GD147" s="583"/>
      <c r="GE147" s="583"/>
      <c r="GF147" s="583"/>
      <c r="GG147" s="186"/>
      <c r="GH147" s="583"/>
      <c r="GI147" s="583"/>
      <c r="GJ147" s="583"/>
      <c r="GK147" s="583"/>
      <c r="GL147" s="583"/>
      <c r="GM147" s="186"/>
      <c r="GN147" s="583"/>
      <c r="GO147" s="583"/>
      <c r="GP147" s="583"/>
      <c r="GQ147" s="583"/>
      <c r="GR147" s="583"/>
      <c r="GS147" s="186"/>
      <c r="GT147" s="583"/>
      <c r="GU147" s="583"/>
      <c r="GV147" s="583"/>
      <c r="GW147" s="583"/>
      <c r="GX147" s="583"/>
      <c r="GY147" s="186"/>
      <c r="GZ147" s="583"/>
      <c r="HA147" s="583"/>
      <c r="HB147" s="583"/>
      <c r="HC147" s="583"/>
      <c r="HD147" s="583"/>
      <c r="HE147" s="186"/>
      <c r="HF147" s="583"/>
      <c r="HG147" s="583"/>
      <c r="HH147" s="583"/>
      <c r="HI147" s="583"/>
      <c r="HJ147" s="583"/>
      <c r="HK147" s="186"/>
      <c r="HL147" s="583"/>
      <c r="HM147" s="583"/>
      <c r="HN147" s="583"/>
      <c r="HO147" s="583"/>
      <c r="HP147" s="583"/>
      <c r="HQ147" s="186"/>
      <c r="HR147" s="583"/>
      <c r="HS147" s="583"/>
      <c r="HT147" s="583"/>
      <c r="HU147" s="583"/>
      <c r="HV147" s="583"/>
      <c r="HW147" s="186"/>
      <c r="HX147" s="583"/>
      <c r="HY147" s="583"/>
      <c r="HZ147" s="583"/>
      <c r="IA147" s="583"/>
      <c r="IB147" s="583"/>
      <c r="IC147" s="186"/>
      <c r="ID147" s="583"/>
      <c r="IE147" s="583"/>
      <c r="IF147" s="583"/>
      <c r="IG147" s="583"/>
      <c r="IH147" s="583"/>
      <c r="II147" s="186"/>
      <c r="IJ147" s="583"/>
    </row>
    <row r="148" spans="1:244">
      <c r="A148" s="616"/>
      <c r="B148" s="617"/>
      <c r="C148" s="617"/>
      <c r="D148" s="617"/>
      <c r="E148" s="605"/>
      <c r="F148" s="651"/>
      <c r="G148" s="667"/>
      <c r="H148" s="544"/>
      <c r="I148" s="544"/>
      <c r="J148" s="1221"/>
      <c r="K148" s="1221"/>
      <c r="L148" s="1221"/>
      <c r="M148" s="1221"/>
      <c r="N148" s="1221"/>
      <c r="O148" s="1221"/>
      <c r="P148" s="1221"/>
      <c r="Q148" s="1222"/>
      <c r="R148" s="569"/>
      <c r="S148" s="1151"/>
      <c r="T148" s="583"/>
      <c r="U148" s="186"/>
      <c r="V148" s="583"/>
      <c r="W148" s="583"/>
      <c r="X148" s="583"/>
      <c r="Y148" s="583"/>
      <c r="Z148" s="583"/>
      <c r="AA148" s="186"/>
      <c r="AB148" s="583"/>
      <c r="AC148" s="583"/>
      <c r="AD148" s="583"/>
      <c r="AE148" s="583"/>
      <c r="AF148" s="583"/>
      <c r="AG148" s="186"/>
      <c r="AH148" s="583"/>
      <c r="AI148" s="583"/>
      <c r="AJ148" s="583"/>
      <c r="AK148" s="583"/>
      <c r="AL148" s="583"/>
      <c r="AM148" s="186"/>
      <c r="AN148" s="583"/>
      <c r="AO148" s="583"/>
      <c r="AP148" s="583"/>
      <c r="AQ148" s="583"/>
      <c r="AR148" s="583"/>
      <c r="AS148" s="186"/>
      <c r="AT148" s="583"/>
      <c r="AU148" s="583"/>
      <c r="AV148" s="583"/>
      <c r="AW148" s="583"/>
      <c r="AX148" s="583"/>
      <c r="AY148" s="186"/>
      <c r="AZ148" s="583"/>
      <c r="BA148" s="583"/>
      <c r="BB148" s="583"/>
      <c r="BC148" s="583"/>
      <c r="BD148" s="583"/>
      <c r="BE148" s="186"/>
      <c r="BF148" s="583"/>
      <c r="BG148" s="583"/>
      <c r="BH148" s="583"/>
      <c r="BI148" s="583"/>
      <c r="BJ148" s="583"/>
      <c r="BK148" s="186"/>
      <c r="BL148" s="583"/>
      <c r="BM148" s="583"/>
      <c r="BN148" s="583"/>
      <c r="BO148" s="583"/>
      <c r="BP148" s="583"/>
      <c r="BQ148" s="186"/>
      <c r="BR148" s="583"/>
      <c r="BS148" s="583"/>
      <c r="BT148" s="583"/>
      <c r="BU148" s="583"/>
      <c r="BV148" s="583"/>
      <c r="BW148" s="186"/>
      <c r="BX148" s="583"/>
      <c r="BY148" s="583"/>
      <c r="BZ148" s="583"/>
      <c r="CA148" s="583"/>
      <c r="CB148" s="583"/>
      <c r="CC148" s="186"/>
      <c r="CD148" s="583"/>
      <c r="CE148" s="583"/>
      <c r="CF148" s="583"/>
      <c r="CG148" s="583"/>
      <c r="CH148" s="583"/>
      <c r="CI148" s="186"/>
      <c r="CJ148" s="583"/>
      <c r="CK148" s="583"/>
      <c r="CL148" s="583"/>
      <c r="CM148" s="583"/>
      <c r="CN148" s="583"/>
      <c r="CO148" s="186"/>
      <c r="CP148" s="583"/>
      <c r="CQ148" s="583"/>
      <c r="CR148" s="583"/>
      <c r="CS148" s="583"/>
      <c r="CT148" s="583"/>
      <c r="CU148" s="186"/>
      <c r="CV148" s="583"/>
      <c r="CW148" s="583"/>
      <c r="CX148" s="583"/>
      <c r="CY148" s="583"/>
      <c r="CZ148" s="583"/>
      <c r="DA148" s="186"/>
      <c r="DB148" s="583"/>
      <c r="DC148" s="583"/>
      <c r="DD148" s="583"/>
      <c r="DE148" s="583"/>
      <c r="DF148" s="583"/>
      <c r="DG148" s="186"/>
      <c r="DH148" s="583"/>
      <c r="DI148" s="583"/>
      <c r="DJ148" s="583"/>
      <c r="DK148" s="583"/>
      <c r="DL148" s="583"/>
      <c r="DM148" s="186"/>
      <c r="DN148" s="583"/>
      <c r="DO148" s="583"/>
      <c r="DP148" s="583"/>
      <c r="DQ148" s="583"/>
      <c r="DR148" s="583"/>
      <c r="DS148" s="186"/>
      <c r="DT148" s="583"/>
      <c r="DU148" s="583"/>
      <c r="DV148" s="583"/>
      <c r="DW148" s="583"/>
      <c r="DX148" s="583"/>
      <c r="DY148" s="186"/>
      <c r="DZ148" s="583"/>
      <c r="EA148" s="583"/>
      <c r="EB148" s="583"/>
      <c r="EC148" s="583"/>
      <c r="ED148" s="583"/>
      <c r="EE148" s="186"/>
      <c r="EF148" s="583"/>
      <c r="EG148" s="583"/>
      <c r="EH148" s="583"/>
      <c r="EI148" s="583"/>
      <c r="EJ148" s="583"/>
      <c r="EK148" s="186"/>
      <c r="EL148" s="583"/>
      <c r="EM148" s="583"/>
      <c r="EN148" s="583"/>
      <c r="EO148" s="583"/>
      <c r="EP148" s="583"/>
      <c r="EQ148" s="186"/>
      <c r="ER148" s="583"/>
      <c r="ES148" s="583"/>
      <c r="ET148" s="583"/>
      <c r="EU148" s="583"/>
      <c r="EV148" s="583"/>
      <c r="EW148" s="186"/>
      <c r="EX148" s="583"/>
      <c r="EY148" s="583"/>
      <c r="EZ148" s="583"/>
      <c r="FA148" s="583"/>
      <c r="FB148" s="583"/>
      <c r="FC148" s="186"/>
      <c r="FD148" s="583"/>
      <c r="FE148" s="583"/>
      <c r="FF148" s="583"/>
      <c r="FG148" s="583"/>
      <c r="FH148" s="583"/>
      <c r="FI148" s="186"/>
      <c r="FJ148" s="583"/>
      <c r="FK148" s="583"/>
      <c r="FL148" s="583"/>
      <c r="FM148" s="583"/>
      <c r="FN148" s="583"/>
      <c r="FO148" s="186"/>
      <c r="FP148" s="583"/>
      <c r="FQ148" s="583"/>
      <c r="FR148" s="583"/>
      <c r="FS148" s="583"/>
      <c r="FT148" s="583"/>
      <c r="FU148" s="186"/>
      <c r="FV148" s="583"/>
      <c r="FW148" s="583"/>
      <c r="FX148" s="583"/>
      <c r="FY148" s="583"/>
      <c r="FZ148" s="583"/>
      <c r="GA148" s="186"/>
      <c r="GB148" s="583"/>
      <c r="GC148" s="583"/>
      <c r="GD148" s="583"/>
      <c r="GE148" s="583"/>
      <c r="GF148" s="583"/>
      <c r="GG148" s="186"/>
      <c r="GH148" s="583"/>
      <c r="GI148" s="583"/>
      <c r="GJ148" s="583"/>
      <c r="GK148" s="583"/>
      <c r="GL148" s="583"/>
      <c r="GM148" s="186"/>
      <c r="GN148" s="583"/>
      <c r="GO148" s="583"/>
      <c r="GP148" s="583"/>
      <c r="GQ148" s="583"/>
      <c r="GR148" s="583"/>
      <c r="GS148" s="186"/>
      <c r="GT148" s="583"/>
      <c r="GU148" s="583"/>
      <c r="GV148" s="583"/>
      <c r="GW148" s="583"/>
      <c r="GX148" s="583"/>
      <c r="GY148" s="186"/>
      <c r="GZ148" s="583"/>
      <c r="HA148" s="583"/>
      <c r="HB148" s="583"/>
      <c r="HC148" s="583"/>
      <c r="HD148" s="583"/>
      <c r="HE148" s="186"/>
      <c r="HF148" s="583"/>
      <c r="HG148" s="583"/>
      <c r="HH148" s="583"/>
      <c r="HI148" s="583"/>
      <c r="HJ148" s="583"/>
      <c r="HK148" s="186"/>
      <c r="HL148" s="583"/>
      <c r="HM148" s="583"/>
      <c r="HN148" s="583"/>
      <c r="HO148" s="583"/>
      <c r="HP148" s="583"/>
      <c r="HQ148" s="186"/>
      <c r="HR148" s="583"/>
      <c r="HS148" s="583"/>
      <c r="HT148" s="583"/>
      <c r="HU148" s="583"/>
      <c r="HV148" s="583"/>
      <c r="HW148" s="186"/>
      <c r="HX148" s="583"/>
      <c r="HY148" s="583"/>
      <c r="HZ148" s="583"/>
      <c r="IA148" s="583"/>
      <c r="IB148" s="583"/>
      <c r="IC148" s="186"/>
      <c r="ID148" s="583"/>
      <c r="IE148" s="583"/>
      <c r="IF148" s="583"/>
      <c r="IG148" s="583"/>
      <c r="IH148" s="583"/>
      <c r="II148" s="186"/>
      <c r="IJ148" s="583"/>
    </row>
    <row r="149" spans="1:244">
      <c r="A149" s="563"/>
      <c r="B149" s="563"/>
      <c r="C149" s="563"/>
      <c r="D149" s="563"/>
      <c r="E149" s="563"/>
      <c r="F149" s="563"/>
      <c r="G149" s="563"/>
      <c r="H149" s="563"/>
      <c r="I149" s="563"/>
      <c r="J149" s="654"/>
      <c r="K149" s="654"/>
      <c r="L149" s="654"/>
      <c r="M149" s="654"/>
      <c r="N149" s="654"/>
      <c r="O149" s="654"/>
      <c r="P149" s="654"/>
      <c r="Q149" s="654"/>
      <c r="R149" s="563"/>
    </row>
    <row r="150" spans="1:244">
      <c r="A150" s="563"/>
      <c r="B150" s="563"/>
      <c r="C150" s="563"/>
      <c r="D150" s="563"/>
      <c r="E150" s="563"/>
      <c r="F150" s="563"/>
      <c r="G150" s="563"/>
      <c r="H150" s="563"/>
      <c r="I150" s="563"/>
      <c r="J150" s="654"/>
      <c r="K150" s="654"/>
      <c r="L150" s="654"/>
      <c r="M150" s="654"/>
      <c r="N150" s="654"/>
      <c r="O150" s="654"/>
      <c r="P150" s="654"/>
      <c r="Q150" s="654"/>
      <c r="R150" s="563"/>
    </row>
    <row r="151" spans="1:244" s="303" customFormat="1" ht="18">
      <c r="A151" s="804" t="s">
        <v>283</v>
      </c>
      <c r="B151" s="806"/>
      <c r="C151" s="806"/>
      <c r="D151" s="806"/>
      <c r="E151" s="806"/>
      <c r="F151" s="806"/>
      <c r="G151" s="806"/>
      <c r="H151" s="806"/>
      <c r="I151" s="806"/>
      <c r="J151" s="815"/>
      <c r="K151" s="815"/>
      <c r="L151" s="815"/>
      <c r="M151" s="815"/>
      <c r="N151" s="815"/>
      <c r="O151" s="815"/>
      <c r="P151" s="815"/>
      <c r="Q151" s="815"/>
      <c r="R151" s="564"/>
      <c r="S151" s="1115"/>
    </row>
    <row r="152" spans="1:244" ht="26.1" customHeight="1">
      <c r="A152" s="1261" t="s">
        <v>595</v>
      </c>
      <c r="B152" s="1262"/>
      <c r="C152" s="1262"/>
      <c r="D152" s="1262"/>
      <c r="E152" s="1262"/>
      <c r="F152" s="1262"/>
      <c r="G152" s="812" t="str">
        <f>+C154</f>
        <v>Interest on Network Credits</v>
      </c>
      <c r="H152" s="1234" t="s">
        <v>168</v>
      </c>
      <c r="I152" s="1264"/>
      <c r="J152" s="1264"/>
      <c r="K152" s="1264"/>
      <c r="L152" s="1264"/>
      <c r="M152" s="1264"/>
      <c r="N152" s="1264"/>
      <c r="O152" s="1264"/>
      <c r="P152" s="1264"/>
      <c r="Q152" s="1265"/>
      <c r="R152" s="563"/>
    </row>
    <row r="153" spans="1:244">
      <c r="A153" s="575"/>
      <c r="B153" s="582" t="str">
        <f>+'Appendix A'!B253</f>
        <v>Revenue Credits &amp; Interest on Network Credits</v>
      </c>
      <c r="C153" s="583"/>
      <c r="D153" s="583"/>
      <c r="E153" s="583"/>
      <c r="F153" s="583"/>
      <c r="G153" s="788"/>
      <c r="H153" s="1273"/>
      <c r="I153" s="1273"/>
      <c r="J153" s="1273"/>
      <c r="K153" s="1273"/>
      <c r="L153" s="1273"/>
      <c r="M153" s="1273"/>
      <c r="N153" s="1273"/>
      <c r="O153" s="1273"/>
      <c r="P153" s="1273"/>
      <c r="Q153" s="1274"/>
      <c r="R153" s="563"/>
    </row>
    <row r="154" spans="1:244" ht="12.75" customHeight="1">
      <c r="A154" s="575">
        <f>+'Appendix A'!A255</f>
        <v>155</v>
      </c>
      <c r="B154" s="583"/>
      <c r="C154" s="186" t="str">
        <f>+'Appendix A'!C255</f>
        <v>Interest on Network Credits</v>
      </c>
      <c r="D154" s="583"/>
      <c r="E154" s="583" t="str">
        <f>+'Appendix A'!E255</f>
        <v>(Note N)</v>
      </c>
      <c r="F154" s="583" t="s">
        <v>462</v>
      </c>
      <c r="G154" s="1085">
        <v>0</v>
      </c>
      <c r="H154" s="1237"/>
      <c r="I154" s="1237"/>
      <c r="J154" s="1237"/>
      <c r="K154" s="1237"/>
      <c r="L154" s="1237"/>
      <c r="M154" s="1237"/>
      <c r="N154" s="1237"/>
      <c r="O154" s="1237"/>
      <c r="P154" s="1237"/>
      <c r="Q154" s="1238"/>
      <c r="R154" s="563"/>
    </row>
    <row r="155" spans="1:244">
      <c r="A155" s="575"/>
      <c r="B155" s="583"/>
      <c r="C155" s="583"/>
      <c r="D155" s="583"/>
      <c r="E155" s="576"/>
      <c r="F155" s="508"/>
      <c r="G155" s="596"/>
      <c r="H155" s="1228"/>
      <c r="I155" s="1228"/>
      <c r="J155" s="1228"/>
      <c r="K155" s="1228"/>
      <c r="L155" s="1228"/>
      <c r="M155" s="1228"/>
      <c r="N155" s="1228"/>
      <c r="O155" s="1228"/>
      <c r="P155" s="1228"/>
      <c r="Q155" s="1229"/>
      <c r="R155" s="563"/>
    </row>
    <row r="156" spans="1:244">
      <c r="A156" s="575"/>
      <c r="B156" s="583"/>
      <c r="C156" s="583"/>
      <c r="D156" s="583"/>
      <c r="E156" s="576"/>
      <c r="F156" s="508"/>
      <c r="G156" s="596"/>
      <c r="Q156" s="555"/>
      <c r="R156" s="563"/>
    </row>
    <row r="157" spans="1:244">
      <c r="A157" s="575"/>
      <c r="B157" s="583"/>
      <c r="C157" s="583"/>
      <c r="D157" s="583"/>
      <c r="E157" s="576"/>
      <c r="F157" s="508"/>
      <c r="G157" s="550"/>
      <c r="H157" s="1243"/>
      <c r="I157" s="1243"/>
      <c r="J157" s="1243"/>
      <c r="K157" s="1243"/>
      <c r="L157" s="1243"/>
      <c r="M157" s="1243"/>
      <c r="N157" s="1243"/>
      <c r="O157" s="1243"/>
      <c r="P157" s="1243"/>
      <c r="Q157" s="1244"/>
      <c r="R157" s="563"/>
    </row>
    <row r="158" spans="1:244">
      <c r="A158" s="616"/>
      <c r="B158" s="617"/>
      <c r="C158" s="617"/>
      <c r="D158" s="617"/>
      <c r="E158" s="605"/>
      <c r="F158" s="651"/>
      <c r="G158" s="649"/>
      <c r="H158" s="557"/>
      <c r="I158" s="557"/>
      <c r="J158" s="659"/>
      <c r="K158" s="660" t="s">
        <v>164</v>
      </c>
      <c r="L158" s="656"/>
      <c r="M158" s="656"/>
      <c r="N158" s="656"/>
      <c r="O158" s="656"/>
      <c r="P158" s="656"/>
      <c r="Q158" s="657"/>
      <c r="R158" s="563"/>
    </row>
    <row r="159" spans="1:244">
      <c r="A159" s="563"/>
      <c r="B159" s="563"/>
      <c r="C159" s="563"/>
      <c r="D159" s="563"/>
      <c r="E159" s="563"/>
      <c r="F159" s="563"/>
      <c r="G159" s="563"/>
      <c r="H159" s="563"/>
      <c r="I159" s="563"/>
      <c r="J159" s="654"/>
      <c r="K159" s="654"/>
      <c r="L159" s="654"/>
      <c r="M159" s="654"/>
      <c r="N159" s="654"/>
      <c r="O159" s="654"/>
      <c r="P159" s="654"/>
      <c r="Q159" s="654"/>
      <c r="R159" s="563"/>
    </row>
    <row r="160" spans="1:244">
      <c r="A160" s="563"/>
      <c r="B160" s="563"/>
      <c r="C160" s="563"/>
      <c r="D160" s="563"/>
      <c r="E160" s="563"/>
      <c r="F160" s="563"/>
      <c r="G160" s="563"/>
      <c r="H160" s="563"/>
      <c r="I160" s="563"/>
      <c r="J160" s="654"/>
      <c r="K160" s="654"/>
      <c r="L160" s="654"/>
      <c r="M160" s="654"/>
      <c r="N160" s="654"/>
      <c r="O160" s="654"/>
      <c r="P160" s="654"/>
      <c r="Q160" s="654"/>
      <c r="R160" s="563"/>
    </row>
    <row r="161" spans="1:19" s="303" customFormat="1" ht="18">
      <c r="A161" s="804" t="str">
        <f>+'Appendix A'!C277</f>
        <v xml:space="preserve">Facility Credits under Section 30.9 of the PJM OATT </v>
      </c>
      <c r="B161" s="806"/>
      <c r="C161" s="806"/>
      <c r="D161" s="806"/>
      <c r="E161" s="806"/>
      <c r="F161" s="806"/>
      <c r="G161" s="806"/>
      <c r="H161" s="806"/>
      <c r="I161" s="806"/>
      <c r="J161" s="815"/>
      <c r="K161" s="815"/>
      <c r="L161" s="815"/>
      <c r="M161" s="815"/>
      <c r="N161" s="815"/>
      <c r="O161" s="815"/>
      <c r="P161" s="815"/>
      <c r="Q161" s="815"/>
      <c r="R161" s="564"/>
      <c r="S161" s="1115"/>
    </row>
    <row r="162" spans="1:19" ht="12.95" customHeight="1">
      <c r="A162" s="1261" t="s">
        <v>595</v>
      </c>
      <c r="B162" s="1262"/>
      <c r="C162" s="1262"/>
      <c r="D162" s="1262"/>
      <c r="E162" s="1262"/>
      <c r="F162" s="1262"/>
      <c r="G162" s="812" t="s">
        <v>49</v>
      </c>
      <c r="H162" s="1211" t="s">
        <v>167</v>
      </c>
      <c r="I162" s="1212"/>
      <c r="J162" s="1212"/>
      <c r="K162" s="1212"/>
      <c r="L162" s="1212"/>
      <c r="M162" s="1212"/>
      <c r="N162" s="1212"/>
      <c r="O162" s="1212"/>
      <c r="P162" s="1212"/>
      <c r="Q162" s="1213"/>
      <c r="R162" s="563"/>
    </row>
    <row r="163" spans="1:19">
      <c r="A163" s="575"/>
      <c r="B163" s="594" t="str">
        <f>+'Appendix A'!C274</f>
        <v>Net Revenue Requirement</v>
      </c>
      <c r="C163" s="272"/>
      <c r="D163" s="272"/>
      <c r="E163" s="473"/>
      <c r="F163" s="559"/>
      <c r="G163" s="537"/>
      <c r="H163" s="1273"/>
      <c r="I163" s="1273"/>
      <c r="J163" s="1273"/>
      <c r="K163" s="1273"/>
      <c r="L163" s="1273"/>
      <c r="M163" s="1273"/>
      <c r="N163" s="1273"/>
      <c r="O163" s="1273"/>
      <c r="P163" s="1273"/>
      <c r="Q163" s="1274"/>
      <c r="R163" s="563"/>
    </row>
    <row r="164" spans="1:19">
      <c r="A164" s="616">
        <f>+'Appendix A'!A277</f>
        <v>171</v>
      </c>
      <c r="B164" s="632"/>
      <c r="C164" s="618" t="str">
        <f>+'Appendix A'!C277</f>
        <v xml:space="preserve">Facility Credits under Section 30.9 of the PJM OATT </v>
      </c>
      <c r="D164" s="627"/>
      <c r="E164" s="617"/>
      <c r="F164" s="617"/>
      <c r="G164" s="1081">
        <v>0</v>
      </c>
      <c r="H164" s="1217"/>
      <c r="I164" s="1217"/>
      <c r="J164" s="1217"/>
      <c r="K164" s="1217"/>
      <c r="L164" s="1217"/>
      <c r="M164" s="1217"/>
      <c r="N164" s="1217"/>
      <c r="O164" s="1217"/>
      <c r="P164" s="1217"/>
      <c r="Q164" s="1218"/>
      <c r="R164" s="563"/>
    </row>
    <row r="165" spans="1:19">
      <c r="A165" s="563"/>
      <c r="B165" s="563"/>
      <c r="C165" s="563"/>
      <c r="D165" s="563"/>
      <c r="E165" s="563"/>
      <c r="F165" s="563"/>
      <c r="G165" s="563"/>
      <c r="H165" s="563"/>
      <c r="I165" s="563"/>
      <c r="J165" s="654"/>
      <c r="K165" s="654"/>
      <c r="L165" s="654"/>
      <c r="M165" s="654"/>
      <c r="N165" s="654"/>
      <c r="O165" s="654"/>
      <c r="P165" s="654"/>
      <c r="Q165" s="654"/>
      <c r="R165" s="563"/>
    </row>
    <row r="166" spans="1:19">
      <c r="A166" s="563"/>
      <c r="B166" s="563"/>
      <c r="C166" s="563"/>
      <c r="D166" s="563"/>
      <c r="E166" s="563"/>
      <c r="F166" s="563"/>
      <c r="G166" s="563"/>
      <c r="H166" s="563"/>
      <c r="I166" s="563"/>
      <c r="J166" s="654"/>
      <c r="K166" s="654"/>
      <c r="L166" s="654"/>
      <c r="M166" s="654"/>
      <c r="N166" s="654"/>
      <c r="O166" s="654"/>
      <c r="P166" s="654"/>
      <c r="Q166" s="654"/>
      <c r="R166" s="563"/>
    </row>
    <row r="167" spans="1:19" s="303" customFormat="1" ht="18">
      <c r="A167" s="804" t="s">
        <v>280</v>
      </c>
      <c r="B167" s="806"/>
      <c r="C167" s="806"/>
      <c r="D167" s="806"/>
      <c r="E167" s="806"/>
      <c r="F167" s="806"/>
      <c r="G167" s="806"/>
      <c r="H167" s="806"/>
      <c r="I167" s="806"/>
      <c r="J167" s="815"/>
      <c r="K167" s="815"/>
      <c r="L167" s="815"/>
      <c r="M167" s="815"/>
      <c r="N167" s="815"/>
      <c r="O167" s="815"/>
      <c r="P167" s="815"/>
      <c r="Q167" s="815"/>
      <c r="R167" s="564"/>
      <c r="S167" s="1115"/>
    </row>
    <row r="168" spans="1:19" ht="12.95" customHeight="1">
      <c r="A168" s="1261" t="s">
        <v>595</v>
      </c>
      <c r="B168" s="1262"/>
      <c r="C168" s="1262"/>
      <c r="D168" s="1262"/>
      <c r="E168" s="1262"/>
      <c r="F168" s="1262"/>
      <c r="G168" s="812" t="str">
        <f>+C170</f>
        <v>1 CP Peak</v>
      </c>
      <c r="H168" s="1211" t="s">
        <v>167</v>
      </c>
      <c r="I168" s="1212"/>
      <c r="J168" s="1212"/>
      <c r="K168" s="1212"/>
      <c r="L168" s="1212"/>
      <c r="M168" s="1212"/>
      <c r="N168" s="1212"/>
      <c r="O168" s="1212"/>
      <c r="P168" s="1212"/>
      <c r="Q168" s="1213"/>
      <c r="R168" s="563"/>
    </row>
    <row r="169" spans="1:19">
      <c r="A169" s="575"/>
      <c r="B169" s="594" t="s">
        <v>129</v>
      </c>
      <c r="C169" s="272"/>
      <c r="D169" s="272"/>
      <c r="E169" s="473"/>
      <c r="F169" s="559"/>
      <c r="G169" s="537"/>
      <c r="H169" s="1273"/>
      <c r="I169" s="1273"/>
      <c r="J169" s="1273"/>
      <c r="K169" s="1273"/>
      <c r="L169" s="1273"/>
      <c r="M169" s="1273"/>
      <c r="N169" s="1273"/>
      <c r="O169" s="1273"/>
      <c r="P169" s="1273"/>
      <c r="Q169" s="1274"/>
      <c r="R169" s="563"/>
    </row>
    <row r="170" spans="1:19">
      <c r="A170" s="616">
        <f>+'Appendix A'!A281</f>
        <v>173</v>
      </c>
      <c r="B170" s="632"/>
      <c r="C170" s="618" t="str">
        <f>+'Appendix A'!C281</f>
        <v>1 CP Peak</v>
      </c>
      <c r="D170" s="627"/>
      <c r="E170" s="617" t="str">
        <f>+'Appendix A'!E281</f>
        <v>(Note L)</v>
      </c>
      <c r="F170" s="547" t="str">
        <f>+'Appendix A'!F281</f>
        <v>PJM Data</v>
      </c>
      <c r="G170" s="918">
        <f>'Appendix A'!H281</f>
        <v>21174.6</v>
      </c>
      <c r="H170" s="1281"/>
      <c r="I170" s="1281"/>
      <c r="J170" s="1281"/>
      <c r="K170" s="1281"/>
      <c r="L170" s="1281"/>
      <c r="M170" s="1281"/>
      <c r="N170" s="1281"/>
      <c r="O170" s="1281"/>
      <c r="P170" s="1281"/>
      <c r="Q170" s="1282"/>
      <c r="R170" s="563"/>
    </row>
    <row r="171" spans="1:19">
      <c r="A171" s="563"/>
      <c r="B171" s="563"/>
      <c r="C171" s="563"/>
      <c r="D171" s="563"/>
      <c r="E171" s="563"/>
      <c r="F171" s="563"/>
      <c r="G171" s="563"/>
      <c r="H171" s="563"/>
      <c r="I171" s="563"/>
      <c r="J171" s="654"/>
      <c r="K171" s="654"/>
      <c r="L171" s="654"/>
      <c r="M171" s="654"/>
      <c r="N171" s="654"/>
      <c r="O171" s="654"/>
      <c r="P171" s="654"/>
      <c r="Q171" s="654"/>
      <c r="R171" s="563"/>
    </row>
    <row r="172" spans="1:19">
      <c r="A172" s="563"/>
      <c r="B172" s="563"/>
      <c r="C172" s="563"/>
      <c r="D172" s="563"/>
      <c r="E172" s="563"/>
      <c r="F172" s="563"/>
      <c r="G172" s="563"/>
      <c r="H172" s="563"/>
      <c r="I172" s="563"/>
      <c r="J172" s="654"/>
      <c r="K172" s="654"/>
      <c r="L172" s="654"/>
      <c r="M172" s="654"/>
      <c r="N172" s="654"/>
      <c r="O172" s="654"/>
      <c r="P172" s="654"/>
      <c r="Q172" s="654"/>
      <c r="R172" s="563"/>
    </row>
    <row r="173" spans="1:19" s="303" customFormat="1" ht="18">
      <c r="A173" s="804" t="s">
        <v>171</v>
      </c>
      <c r="B173" s="806"/>
      <c r="C173" s="806"/>
      <c r="D173" s="806"/>
      <c r="E173" s="806"/>
      <c r="F173" s="806"/>
      <c r="G173" s="806"/>
      <c r="H173" s="806"/>
      <c r="I173" s="806"/>
      <c r="J173" s="815"/>
      <c r="K173" s="815"/>
      <c r="L173" s="815"/>
      <c r="M173" s="815"/>
      <c r="N173" s="815"/>
      <c r="O173" s="815"/>
      <c r="P173" s="815"/>
      <c r="Q173" s="815"/>
      <c r="R173" s="564"/>
      <c r="S173" s="1115"/>
    </row>
    <row r="174" spans="1:19">
      <c r="A174" s="874"/>
      <c r="B174" s="811"/>
      <c r="C174" s="811" t="s">
        <v>172</v>
      </c>
      <c r="D174" s="811" t="s">
        <v>173</v>
      </c>
      <c r="E174" s="811" t="s">
        <v>174</v>
      </c>
      <c r="F174" s="811" t="s">
        <v>175</v>
      </c>
      <c r="G174" s="1261" t="s">
        <v>176</v>
      </c>
      <c r="H174" s="1262"/>
      <c r="I174" s="1262" t="s">
        <v>177</v>
      </c>
      <c r="J174" s="1280"/>
      <c r="K174" s="1254" t="s">
        <v>178</v>
      </c>
      <c r="L174" s="1255"/>
      <c r="M174" s="817"/>
      <c r="N174" s="817"/>
      <c r="O174" s="817"/>
      <c r="P174" s="817"/>
      <c r="Q174" s="818"/>
      <c r="R174" s="563"/>
    </row>
    <row r="175" spans="1:19">
      <c r="A175" s="575"/>
      <c r="B175" s="582"/>
      <c r="C175" s="583"/>
      <c r="D175" s="583"/>
      <c r="E175" s="560"/>
      <c r="F175" s="560"/>
      <c r="G175" s="1250">
        <f>+E175*D175</f>
        <v>0</v>
      </c>
      <c r="H175" s="1251"/>
      <c r="I175" s="1252">
        <f>+F175*D175</f>
        <v>0</v>
      </c>
      <c r="J175" s="1253"/>
      <c r="K175" s="1283">
        <f>+I175-G175</f>
        <v>0</v>
      </c>
      <c r="L175" s="1284"/>
      <c r="M175" s="553"/>
      <c r="N175" s="553"/>
      <c r="O175" s="553"/>
      <c r="P175" s="553"/>
      <c r="Q175" s="554"/>
      <c r="R175" s="563"/>
    </row>
    <row r="176" spans="1:19" ht="25.5" customHeight="1">
      <c r="A176" s="575"/>
      <c r="B176" s="583"/>
      <c r="C176" s="1278" t="s">
        <v>97</v>
      </c>
      <c r="D176" s="1278"/>
      <c r="E176" s="1278"/>
      <c r="F176" s="1279"/>
      <c r="G176" s="1256"/>
      <c r="H176" s="1257"/>
      <c r="I176" s="1257"/>
      <c r="J176" s="1258"/>
      <c r="K176" s="1259"/>
      <c r="L176" s="1260"/>
      <c r="M176" s="546"/>
      <c r="N176" s="546"/>
      <c r="O176" s="546"/>
      <c r="P176" s="546"/>
      <c r="Q176" s="555"/>
      <c r="R176" s="563"/>
    </row>
    <row r="177" spans="1:18">
      <c r="A177" s="575"/>
      <c r="B177" s="583"/>
      <c r="C177" s="583"/>
      <c r="D177" s="583"/>
      <c r="E177" s="560"/>
      <c r="F177" s="560"/>
      <c r="G177" s="653"/>
      <c r="H177" s="560"/>
      <c r="I177" s="372"/>
      <c r="J177" s="546"/>
      <c r="K177" s="661"/>
      <c r="L177" s="546"/>
      <c r="M177" s="546"/>
      <c r="N177" s="546"/>
      <c r="O177" s="546"/>
      <c r="P177" s="546"/>
      <c r="Q177" s="555"/>
      <c r="R177" s="563"/>
    </row>
    <row r="178" spans="1:18">
      <c r="A178" s="616"/>
      <c r="B178" s="617"/>
      <c r="C178" s="617" t="s">
        <v>493</v>
      </c>
      <c r="D178" s="617"/>
      <c r="E178" s="605"/>
      <c r="F178" s="651"/>
      <c r="G178" s="1245">
        <f>SUM(G175:H177)</f>
        <v>0</v>
      </c>
      <c r="H178" s="1246"/>
      <c r="I178" s="1246">
        <f>SUM(I175:J177)</f>
        <v>0</v>
      </c>
      <c r="J178" s="1247"/>
      <c r="K178" s="1248">
        <f>SUM(K175:L177)</f>
        <v>0</v>
      </c>
      <c r="L178" s="1249"/>
      <c r="M178" s="656"/>
      <c r="N178" s="656"/>
      <c r="O178" s="656"/>
      <c r="P178" s="656"/>
      <c r="Q178" s="657"/>
      <c r="R178" s="563"/>
    </row>
    <row r="179" spans="1:18">
      <c r="A179" s="563"/>
      <c r="B179" s="563"/>
      <c r="C179" s="563"/>
      <c r="D179" s="563"/>
      <c r="E179" s="563"/>
      <c r="F179" s="563"/>
      <c r="G179" s="563"/>
      <c r="H179" s="563"/>
      <c r="I179" s="563"/>
      <c r="J179" s="654"/>
      <c r="K179" s="654"/>
      <c r="L179" s="654"/>
      <c r="M179" s="654"/>
      <c r="N179" s="654"/>
      <c r="O179" s="654"/>
      <c r="P179" s="654"/>
      <c r="Q179" s="654"/>
      <c r="R179" s="563"/>
    </row>
    <row r="180" spans="1:18">
      <c r="A180" s="563"/>
      <c r="B180" s="563"/>
      <c r="C180" s="563"/>
      <c r="D180" s="563"/>
      <c r="E180" s="563"/>
      <c r="F180" s="563"/>
      <c r="G180" s="563"/>
      <c r="H180" s="563"/>
      <c r="I180" s="563"/>
      <c r="J180" s="654"/>
      <c r="K180" s="654"/>
      <c r="L180" s="654"/>
      <c r="M180" s="654"/>
      <c r="N180" s="654"/>
      <c r="O180" s="654"/>
      <c r="P180" s="654"/>
      <c r="Q180" s="654"/>
      <c r="R180" s="563"/>
    </row>
  </sheetData>
  <mergeCells count="138">
    <mergeCell ref="J15:Q15"/>
    <mergeCell ref="J21:Q21"/>
    <mergeCell ref="J19:Q19"/>
    <mergeCell ref="J20:Q20"/>
    <mergeCell ref="J44:Q44"/>
    <mergeCell ref="J32:Q32"/>
    <mergeCell ref="J41:Q41"/>
    <mergeCell ref="J33:Q33"/>
    <mergeCell ref="J23:Q23"/>
    <mergeCell ref="J42:Q42"/>
    <mergeCell ref="J36:Q36"/>
    <mergeCell ref="J37:Q37"/>
    <mergeCell ref="J25:Q25"/>
    <mergeCell ref="J31:Q31"/>
    <mergeCell ref="J26:Q26"/>
    <mergeCell ref="J27:Q27"/>
    <mergeCell ref="J35:Q35"/>
    <mergeCell ref="A41:F41"/>
    <mergeCell ref="A58:F58"/>
    <mergeCell ref="A52:F52"/>
    <mergeCell ref="J43:Q43"/>
    <mergeCell ref="J47:P47"/>
    <mergeCell ref="J52:Q52"/>
    <mergeCell ref="J58:Q58"/>
    <mergeCell ref="J5:Q5"/>
    <mergeCell ref="J6:Q6"/>
    <mergeCell ref="J22:Q22"/>
    <mergeCell ref="J17:Q17"/>
    <mergeCell ref="J9:Q9"/>
    <mergeCell ref="J14:Q14"/>
    <mergeCell ref="J7:Q7"/>
    <mergeCell ref="J18:Q18"/>
    <mergeCell ref="J11:Q11"/>
    <mergeCell ref="A5:F5"/>
    <mergeCell ref="A31:F31"/>
    <mergeCell ref="J24:Q24"/>
    <mergeCell ref="J10:Q10"/>
    <mergeCell ref="J8:Q8"/>
    <mergeCell ref="J12:Q12"/>
    <mergeCell ref="J13:Q13"/>
    <mergeCell ref="J16:Q16"/>
    <mergeCell ref="A71:F71"/>
    <mergeCell ref="A77:F77"/>
    <mergeCell ref="A83:F83"/>
    <mergeCell ref="J53:Q53"/>
    <mergeCell ref="J65:Q65"/>
    <mergeCell ref="L83:Q83"/>
    <mergeCell ref="J64:Q64"/>
    <mergeCell ref="J66:Q66"/>
    <mergeCell ref="J71:Q71"/>
    <mergeCell ref="J60:Q60"/>
    <mergeCell ref="J63:Q63"/>
    <mergeCell ref="J61:Q62"/>
    <mergeCell ref="H163:Q163"/>
    <mergeCell ref="C176:F176"/>
    <mergeCell ref="H169:Q169"/>
    <mergeCell ref="G174:H174"/>
    <mergeCell ref="I174:J174"/>
    <mergeCell ref="H170:Q170"/>
    <mergeCell ref="K175:L175"/>
    <mergeCell ref="A168:F168"/>
    <mergeCell ref="H164:Q164"/>
    <mergeCell ref="H168:Q168"/>
    <mergeCell ref="A162:F162"/>
    <mergeCell ref="A96:F96"/>
    <mergeCell ref="J147:Q147"/>
    <mergeCell ref="J148:Q148"/>
    <mergeCell ref="H155:Q155"/>
    <mergeCell ref="J145:Q145"/>
    <mergeCell ref="J144:Q144"/>
    <mergeCell ref="A152:F152"/>
    <mergeCell ref="H153:Q153"/>
    <mergeCell ref="J143:Q143"/>
    <mergeCell ref="H157:Q157"/>
    <mergeCell ref="A133:F133"/>
    <mergeCell ref="J146:Q146"/>
    <mergeCell ref="A143:F143"/>
    <mergeCell ref="J135:Q135"/>
    <mergeCell ref="J138:Q138"/>
    <mergeCell ref="H152:Q152"/>
    <mergeCell ref="H154:Q154"/>
    <mergeCell ref="H100:Q100"/>
    <mergeCell ref="H101:Q101"/>
    <mergeCell ref="G115:Q115"/>
    <mergeCell ref="G120:Q120"/>
    <mergeCell ref="H126:Q126"/>
    <mergeCell ref="H128:Q128"/>
    <mergeCell ref="A90:F90"/>
    <mergeCell ref="A124:F124"/>
    <mergeCell ref="J133:Q133"/>
    <mergeCell ref="G113:Q113"/>
    <mergeCell ref="G114:Q114"/>
    <mergeCell ref="H124:Q124"/>
    <mergeCell ref="H105:Q105"/>
    <mergeCell ref="H106:Q106"/>
    <mergeCell ref="A113:F113"/>
    <mergeCell ref="J90:Q90"/>
    <mergeCell ref="G118:Q118"/>
    <mergeCell ref="G119:Q119"/>
    <mergeCell ref="H96:Q96"/>
    <mergeCell ref="H98:Q98"/>
    <mergeCell ref="G116:Q116"/>
    <mergeCell ref="G117:Q117"/>
    <mergeCell ref="H103:Q103"/>
    <mergeCell ref="H104:Q104"/>
    <mergeCell ref="G178:H178"/>
    <mergeCell ref="I178:J178"/>
    <mergeCell ref="K178:L178"/>
    <mergeCell ref="G175:H175"/>
    <mergeCell ref="I175:J175"/>
    <mergeCell ref="K174:L174"/>
    <mergeCell ref="G176:H176"/>
    <mergeCell ref="I176:J176"/>
    <mergeCell ref="K176:L176"/>
    <mergeCell ref="H162:Q162"/>
    <mergeCell ref="J34:Q34"/>
    <mergeCell ref="L86:Q86"/>
    <mergeCell ref="J137:Q137"/>
    <mergeCell ref="J139:Q139"/>
    <mergeCell ref="J134:Q134"/>
    <mergeCell ref="J136:Q136"/>
    <mergeCell ref="J92:Q92"/>
    <mergeCell ref="J67:Q67"/>
    <mergeCell ref="J72:Q72"/>
    <mergeCell ref="J45:Q45"/>
    <mergeCell ref="J54:Q54"/>
    <mergeCell ref="J46:Q46"/>
    <mergeCell ref="J48:Q48"/>
    <mergeCell ref="J78:Q78"/>
    <mergeCell ref="J59:Q59"/>
    <mergeCell ref="J73:Q73"/>
    <mergeCell ref="J77:Q77"/>
    <mergeCell ref="J79:Q79"/>
    <mergeCell ref="L85:Q85"/>
    <mergeCell ref="J91:Q91"/>
    <mergeCell ref="L84:Q84"/>
    <mergeCell ref="H107:Q107"/>
    <mergeCell ref="H108:Q108"/>
  </mergeCells>
  <printOptions horizontalCentered="1"/>
  <pageMargins left="0.25" right="0.25" top="0.75" bottom="0.75" header="0.5" footer="0.5"/>
  <pageSetup scale="10" fitToHeight="0" orientation="landscape"/>
  <headerFooter alignWithMargins="0">
    <oddHeader>&amp;R&amp;14ATTACHMENT H-13A
Page &amp;P of &amp;N</oddHeader>
    <oddFooter>&amp;C</oddFooter>
  </headerFooter>
  <rowBreaks count="3" manualBreakCount="3">
    <brk id="50" max="17" man="1"/>
    <brk id="94" max="17" man="1"/>
    <brk id="122"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0"/>
  <sheetViews>
    <sheetView zoomScale="75" zoomScaleNormal="75" zoomScaleSheetLayoutView="75" workbookViewId="0">
      <selection activeCell="A3" sqref="A3"/>
    </sheetView>
  </sheetViews>
  <sheetFormatPr defaultColWidth="9.140625" defaultRowHeight="12.75"/>
  <cols>
    <col min="1" max="1" width="4.140625" style="472" customWidth="1"/>
    <col min="2" max="2" width="6.140625" style="472" customWidth="1"/>
    <col min="3" max="3" width="14.85546875" style="472" customWidth="1"/>
    <col min="4" max="4" width="14.7109375" style="246" customWidth="1"/>
    <col min="5" max="5" width="16.85546875" style="246" customWidth="1"/>
    <col min="6" max="6" width="22.140625" style="246" customWidth="1"/>
    <col min="7" max="7" width="14.85546875" style="246" customWidth="1"/>
    <col min="8" max="8" width="15.28515625" style="246" customWidth="1"/>
    <col min="9" max="10" width="17.85546875" style="246" customWidth="1"/>
    <col min="11" max="11" width="16.5703125" style="246" customWidth="1"/>
    <col min="12" max="12" width="17.85546875" style="246" customWidth="1"/>
    <col min="13" max="13" width="12.5703125" style="246" customWidth="1"/>
    <col min="14" max="14" width="17" style="246" bestFit="1" customWidth="1"/>
    <col min="15" max="15" width="16.5703125" style="246" bestFit="1" customWidth="1"/>
    <col min="16" max="16" width="1.7109375" style="246" customWidth="1"/>
    <col min="17" max="17" width="8.85546875" style="246" bestFit="1" customWidth="1"/>
    <col min="18" max="16384" width="9.140625" style="246"/>
  </cols>
  <sheetData>
    <row r="1" spans="1:15" ht="18">
      <c r="A1" s="1170" t="s">
        <v>627</v>
      </c>
      <c r="B1" s="1170"/>
      <c r="C1" s="1170"/>
      <c r="D1" s="1170"/>
      <c r="E1" s="1170"/>
      <c r="F1" s="1170"/>
      <c r="G1" s="1170"/>
      <c r="H1" s="1170"/>
      <c r="I1" s="1170"/>
      <c r="J1" s="1170"/>
      <c r="K1" s="1170"/>
      <c r="L1" s="1170"/>
      <c r="M1" s="1170"/>
    </row>
    <row r="2" spans="1:15" ht="18">
      <c r="A2" s="1170" t="s">
        <v>505</v>
      </c>
      <c r="B2" s="1170"/>
      <c r="C2" s="1170"/>
      <c r="D2" s="1170"/>
      <c r="E2" s="1170"/>
      <c r="F2" s="1170"/>
      <c r="G2" s="1170"/>
      <c r="H2" s="1170"/>
      <c r="I2" s="1170"/>
      <c r="J2" s="1170"/>
      <c r="K2" s="1170"/>
      <c r="L2" s="1170"/>
      <c r="M2" s="1170"/>
    </row>
    <row r="4" spans="1:15">
      <c r="O4" s="156"/>
    </row>
    <row r="5" spans="1:15">
      <c r="A5" s="472" t="s">
        <v>220</v>
      </c>
      <c r="B5" s="472" t="s">
        <v>221</v>
      </c>
      <c r="C5" s="472" t="s">
        <v>222</v>
      </c>
      <c r="D5" s="472" t="s">
        <v>223</v>
      </c>
      <c r="E5" s="472"/>
    </row>
    <row r="7" spans="1:15">
      <c r="A7" s="180" t="s">
        <v>224</v>
      </c>
    </row>
    <row r="8" spans="1:15">
      <c r="A8" s="472">
        <v>1</v>
      </c>
      <c r="B8" s="472" t="s">
        <v>225</v>
      </c>
      <c r="C8" s="302" t="s">
        <v>214</v>
      </c>
      <c r="D8" s="361" t="s">
        <v>186</v>
      </c>
      <c r="E8" s="361"/>
    </row>
    <row r="9" spans="1:15">
      <c r="A9" s="472">
        <v>2</v>
      </c>
      <c r="B9" s="472" t="str">
        <f>+B8</f>
        <v>April</v>
      </c>
      <c r="C9" s="302" t="str">
        <f>+C8</f>
        <v>Year 2</v>
      </c>
      <c r="D9" s="361" t="s">
        <v>187</v>
      </c>
      <c r="E9" s="361"/>
    </row>
    <row r="10" spans="1:15">
      <c r="A10" s="472">
        <v>3</v>
      </c>
      <c r="B10" s="472" t="s">
        <v>225</v>
      </c>
      <c r="C10" s="302" t="str">
        <f>+C9</f>
        <v>Year 2</v>
      </c>
      <c r="D10" s="361" t="s">
        <v>313</v>
      </c>
      <c r="E10" s="361"/>
      <c r="G10" s="159"/>
      <c r="H10" s="159"/>
      <c r="I10" s="159"/>
      <c r="J10" s="159"/>
      <c r="K10" s="159"/>
    </row>
    <row r="11" spans="1:15">
      <c r="A11" s="472">
        <v>4</v>
      </c>
      <c r="B11" s="472" t="s">
        <v>226</v>
      </c>
      <c r="C11" s="302" t="str">
        <f>+C10</f>
        <v>Year 2</v>
      </c>
      <c r="D11" s="361" t="s">
        <v>339</v>
      </c>
      <c r="E11" s="361"/>
      <c r="G11" s="159"/>
      <c r="H11" s="159"/>
      <c r="I11" s="159"/>
      <c r="J11" s="159"/>
      <c r="K11" s="159"/>
    </row>
    <row r="12" spans="1:15">
      <c r="A12" s="472">
        <v>5</v>
      </c>
      <c r="B12" s="759" t="s">
        <v>227</v>
      </c>
      <c r="C12" s="302" t="str">
        <f>+C11</f>
        <v>Year 2</v>
      </c>
      <c r="D12" s="361" t="s">
        <v>340</v>
      </c>
      <c r="E12" s="361"/>
    </row>
    <row r="13" spans="1:15">
      <c r="C13" s="302"/>
      <c r="D13" s="361"/>
      <c r="E13" s="361"/>
    </row>
    <row r="14" spans="1:15">
      <c r="A14" s="472">
        <v>6</v>
      </c>
      <c r="B14" s="472" t="str">
        <f>+B8</f>
        <v>April</v>
      </c>
      <c r="C14" s="302" t="s">
        <v>217</v>
      </c>
      <c r="D14" s="361" t="s">
        <v>188</v>
      </c>
      <c r="E14" s="361"/>
    </row>
    <row r="15" spans="1:15">
      <c r="A15" s="472">
        <v>7</v>
      </c>
      <c r="B15" s="472" t="str">
        <f t="shared" ref="B15:C17" si="0">+B14</f>
        <v>April</v>
      </c>
      <c r="C15" s="302" t="str">
        <f t="shared" si="0"/>
        <v>Year 3</v>
      </c>
      <c r="D15" s="345" t="s">
        <v>566</v>
      </c>
      <c r="E15" s="345"/>
    </row>
    <row r="16" spans="1:15" ht="26.25" customHeight="1">
      <c r="A16" s="760">
        <v>8</v>
      </c>
      <c r="B16" s="760" t="str">
        <f t="shared" si="0"/>
        <v>April</v>
      </c>
      <c r="C16" s="306" t="str">
        <f t="shared" si="0"/>
        <v>Year 3</v>
      </c>
      <c r="D16" s="1295" t="s">
        <v>465</v>
      </c>
      <c r="E16" s="1295"/>
      <c r="F16" s="1296"/>
      <c r="G16" s="1296"/>
      <c r="H16" s="1296"/>
      <c r="I16" s="1296"/>
      <c r="J16" s="1296"/>
      <c r="K16" s="1296"/>
      <c r="L16" s="1296"/>
      <c r="M16" s="1296"/>
      <c r="N16" s="761"/>
      <c r="O16" s="761"/>
    </row>
    <row r="17" spans="1:13" ht="24.75" customHeight="1">
      <c r="A17" s="760">
        <v>9</v>
      </c>
      <c r="B17" s="760" t="str">
        <f t="shared" si="0"/>
        <v>April</v>
      </c>
      <c r="C17" s="306" t="str">
        <f t="shared" si="0"/>
        <v>Year 3</v>
      </c>
      <c r="D17" s="1295" t="s">
        <v>508</v>
      </c>
      <c r="E17" s="1295"/>
      <c r="F17" s="1296"/>
      <c r="G17" s="1296"/>
      <c r="H17" s="1296"/>
      <c r="I17" s="1296"/>
      <c r="J17" s="1296"/>
      <c r="K17" s="1296"/>
      <c r="L17" s="1296"/>
      <c r="M17" s="1296"/>
    </row>
    <row r="18" spans="1:13">
      <c r="A18" s="472">
        <v>10</v>
      </c>
      <c r="B18" s="472" t="str">
        <f>+B11</f>
        <v>May</v>
      </c>
      <c r="C18" s="302" t="str">
        <f>+C17</f>
        <v>Year 3</v>
      </c>
      <c r="D18" s="361" t="s">
        <v>307</v>
      </c>
      <c r="E18" s="361"/>
    </row>
    <row r="19" spans="1:13">
      <c r="A19" s="472">
        <v>11</v>
      </c>
      <c r="B19" s="759" t="str">
        <f>+B12</f>
        <v>June</v>
      </c>
      <c r="C19" s="302" t="str">
        <f>+C18</f>
        <v>Year 3</v>
      </c>
      <c r="D19" s="361" t="s">
        <v>338</v>
      </c>
      <c r="E19" s="361"/>
    </row>
    <row r="20" spans="1:13">
      <c r="B20" s="759"/>
      <c r="D20" s="361"/>
      <c r="E20" s="361"/>
    </row>
    <row r="21" spans="1:13">
      <c r="A21" s="297" t="s">
        <v>622</v>
      </c>
      <c r="B21" s="254"/>
      <c r="C21" s="254"/>
      <c r="D21" s="271"/>
      <c r="E21" s="271"/>
      <c r="F21" s="159"/>
      <c r="G21" s="1298"/>
      <c r="H21" s="1298"/>
      <c r="I21" s="1298"/>
      <c r="J21" s="494"/>
    </row>
    <row r="22" spans="1:13">
      <c r="A22" s="297"/>
      <c r="B22" s="302"/>
      <c r="D22" s="762"/>
      <c r="E22" s="762"/>
    </row>
    <row r="23" spans="1:13">
      <c r="A23" s="472">
        <f>+A8</f>
        <v>1</v>
      </c>
      <c r="B23" s="472" t="str">
        <f>+B8</f>
        <v>April</v>
      </c>
      <c r="C23" s="472" t="str">
        <f>+C8</f>
        <v>Year 2</v>
      </c>
      <c r="D23" s="246" t="str">
        <f>+D8</f>
        <v>TO populates the formula with Year 1 data</v>
      </c>
    </row>
    <row r="24" spans="1:13">
      <c r="D24" s="763"/>
      <c r="E24" s="763"/>
      <c r="F24" s="246" t="s">
        <v>184</v>
      </c>
      <c r="H24" s="781" t="s">
        <v>314</v>
      </c>
      <c r="I24" s="159"/>
      <c r="J24" s="159"/>
      <c r="K24" s="159"/>
      <c r="L24" s="159"/>
    </row>
    <row r="26" spans="1:13">
      <c r="A26" s="472">
        <v>2</v>
      </c>
      <c r="B26" s="472" t="str">
        <f>+B23</f>
        <v>April</v>
      </c>
      <c r="C26" s="472" t="str">
        <f>+C23</f>
        <v>Year 2</v>
      </c>
      <c r="D26" s="361" t="str">
        <f>+D9</f>
        <v>TO estimates all transmission Cap Adds for Year 2 weighted based on Months expected to be in service in Year 2</v>
      </c>
      <c r="E26" s="361"/>
    </row>
    <row r="27" spans="1:13">
      <c r="D27" s="272"/>
      <c r="E27" s="272"/>
      <c r="F27" s="272"/>
      <c r="G27" s="272"/>
      <c r="H27" s="272"/>
      <c r="I27" s="1297"/>
      <c r="J27" s="1297"/>
      <c r="K27" s="1297"/>
      <c r="L27" s="1297"/>
    </row>
    <row r="28" spans="1:13">
      <c r="G28" s="1293" t="s">
        <v>346</v>
      </c>
      <c r="H28" s="1294"/>
      <c r="I28" s="491"/>
      <c r="J28" s="371"/>
      <c r="K28" s="371"/>
      <c r="L28" s="491"/>
    </row>
    <row r="29" spans="1:13">
      <c r="C29" s="246"/>
      <c r="D29" s="472" t="s">
        <v>347</v>
      </c>
      <c r="E29" s="472" t="s">
        <v>348</v>
      </c>
      <c r="F29" s="472" t="s">
        <v>349</v>
      </c>
      <c r="G29" s="898" t="s">
        <v>251</v>
      </c>
      <c r="H29" s="899" t="s">
        <v>252</v>
      </c>
      <c r="I29" s="371"/>
      <c r="J29" s="371"/>
      <c r="K29" s="371"/>
      <c r="L29" s="371"/>
      <c r="M29" s="773"/>
    </row>
    <row r="30" spans="1:13" ht="51">
      <c r="C30" s="772"/>
      <c r="D30" s="773" t="s">
        <v>134</v>
      </c>
      <c r="E30" s="1132" t="s">
        <v>678</v>
      </c>
      <c r="F30" s="472" t="s">
        <v>228</v>
      </c>
      <c r="G30" s="773" t="s">
        <v>134</v>
      </c>
      <c r="H30" s="900" t="str">
        <f>+E30</f>
        <v>Grand Prairie
CWIP EOY
Balance and
Increments</v>
      </c>
      <c r="I30" s="371"/>
      <c r="J30" s="774"/>
      <c r="K30" s="774"/>
      <c r="L30" s="774"/>
      <c r="M30" s="773"/>
    </row>
    <row r="31" spans="1:13">
      <c r="C31" s="361" t="s">
        <v>320</v>
      </c>
      <c r="D31" s="924"/>
      <c r="E31" s="1133">
        <v>71715056.939999968</v>
      </c>
      <c r="F31" s="302">
        <v>12</v>
      </c>
      <c r="G31" s="897"/>
      <c r="H31" s="901">
        <f>F31*E31/12</f>
        <v>71715056.939999968</v>
      </c>
      <c r="I31" s="767"/>
      <c r="J31" s="902"/>
      <c r="K31" s="767"/>
      <c r="L31" s="767"/>
    </row>
    <row r="32" spans="1:13">
      <c r="C32" s="246" t="s">
        <v>229</v>
      </c>
      <c r="D32" s="1097">
        <v>33012515.790000003</v>
      </c>
      <c r="E32" s="1031">
        <v>13888458.345146868</v>
      </c>
      <c r="F32" s="472">
        <v>11.5</v>
      </c>
      <c r="G32" s="775">
        <f t="shared" ref="G32:G43" si="1">$F32*D32/12</f>
        <v>31636994.298750002</v>
      </c>
      <c r="H32" s="901">
        <f t="shared" ref="H32:H43" si="2">F32*E32/12</f>
        <v>13309772.580765748</v>
      </c>
      <c r="I32" s="767"/>
      <c r="J32" s="902"/>
      <c r="K32" s="916"/>
      <c r="L32" s="923"/>
    </row>
    <row r="33" spans="3:12">
      <c r="C33" s="246" t="s">
        <v>230</v>
      </c>
      <c r="D33" s="1097">
        <v>32596520.900000002</v>
      </c>
      <c r="E33" s="1031">
        <v>13893801.345146865</v>
      </c>
      <c r="F33" s="472">
        <f t="shared" ref="F33:F43" si="3">+F32-1</f>
        <v>10.5</v>
      </c>
      <c r="G33" s="775">
        <f t="shared" si="1"/>
        <v>28521955.787500005</v>
      </c>
      <c r="H33" s="901">
        <f t="shared" si="2"/>
        <v>12157076.177003508</v>
      </c>
      <c r="I33" s="767"/>
      <c r="K33" s="925"/>
      <c r="L33" s="767"/>
    </row>
    <row r="34" spans="3:12">
      <c r="C34" s="246" t="s">
        <v>231</v>
      </c>
      <c r="D34" s="1097">
        <v>39532898.712905005</v>
      </c>
      <c r="E34" s="1031">
        <v>12122163.34514684</v>
      </c>
      <c r="F34" s="472">
        <f t="shared" si="3"/>
        <v>9.5</v>
      </c>
      <c r="G34" s="775">
        <f t="shared" si="1"/>
        <v>31296878.147716463</v>
      </c>
      <c r="H34" s="901">
        <f t="shared" si="2"/>
        <v>9596712.6482412498</v>
      </c>
      <c r="I34" s="767"/>
      <c r="K34" s="924"/>
      <c r="L34" s="767"/>
    </row>
    <row r="35" spans="3:12">
      <c r="C35" s="246" t="s">
        <v>232</v>
      </c>
      <c r="D35" s="1097">
        <v>3652479.3374999999</v>
      </c>
      <c r="E35" s="1031">
        <v>13135564.34514687</v>
      </c>
      <c r="F35" s="472">
        <f t="shared" si="3"/>
        <v>8.5</v>
      </c>
      <c r="G35" s="775">
        <f t="shared" si="1"/>
        <v>2587172.8640624997</v>
      </c>
      <c r="H35" s="901">
        <f>F35*E35/12</f>
        <v>9304358.0778123662</v>
      </c>
      <c r="I35" s="767"/>
      <c r="K35" s="924"/>
      <c r="L35" s="767"/>
    </row>
    <row r="36" spans="3:12">
      <c r="C36" s="246" t="s">
        <v>226</v>
      </c>
      <c r="D36" s="1097">
        <v>31020145.532499999</v>
      </c>
      <c r="E36" s="1031">
        <v>12239840.345146826</v>
      </c>
      <c r="F36" s="472">
        <f t="shared" si="3"/>
        <v>7.5</v>
      </c>
      <c r="G36" s="775">
        <f t="shared" si="1"/>
        <v>19387590.957812499</v>
      </c>
      <c r="H36" s="901">
        <f t="shared" si="2"/>
        <v>7649900.2157167653</v>
      </c>
      <c r="I36" s="767"/>
      <c r="K36" s="924"/>
      <c r="L36" s="767"/>
    </row>
    <row r="37" spans="3:12">
      <c r="C37" s="246" t="s">
        <v>233</v>
      </c>
      <c r="D37" s="1097">
        <v>97944340.327500015</v>
      </c>
      <c r="E37" s="1031">
        <v>14067358.345146852</v>
      </c>
      <c r="F37" s="472">
        <f t="shared" si="3"/>
        <v>6.5</v>
      </c>
      <c r="G37" s="775">
        <f t="shared" si="1"/>
        <v>53053184.344062507</v>
      </c>
      <c r="H37" s="901">
        <f t="shared" si="2"/>
        <v>7619819.1036212109</v>
      </c>
      <c r="I37" s="767"/>
      <c r="K37" s="916"/>
      <c r="L37" s="767"/>
    </row>
    <row r="38" spans="3:12">
      <c r="C38" s="246" t="s">
        <v>234</v>
      </c>
      <c r="D38" s="1097">
        <v>9331945.7799999993</v>
      </c>
      <c r="E38" s="1031">
        <v>11900941.345146885</v>
      </c>
      <c r="F38" s="472">
        <f t="shared" si="3"/>
        <v>5.5</v>
      </c>
      <c r="G38" s="775">
        <f t="shared" si="1"/>
        <v>4277141.8158333329</v>
      </c>
      <c r="H38" s="901">
        <f t="shared" si="2"/>
        <v>5454598.1165256556</v>
      </c>
      <c r="I38" s="767"/>
      <c r="K38" s="916"/>
      <c r="L38" s="767"/>
    </row>
    <row r="39" spans="3:12">
      <c r="C39" s="246" t="s">
        <v>235</v>
      </c>
      <c r="D39" s="1097">
        <v>15474742.629999999</v>
      </c>
      <c r="E39" s="1031">
        <v>7470476.796711091</v>
      </c>
      <c r="F39" s="472">
        <f t="shared" si="3"/>
        <v>4.5</v>
      </c>
      <c r="G39" s="775">
        <f t="shared" si="1"/>
        <v>5803028.4862499991</v>
      </c>
      <c r="H39" s="901">
        <f t="shared" si="2"/>
        <v>2801428.7987666591</v>
      </c>
      <c r="I39" s="767"/>
      <c r="K39" s="916"/>
      <c r="L39" s="767"/>
    </row>
    <row r="40" spans="3:12">
      <c r="C40" s="246" t="s">
        <v>236</v>
      </c>
      <c r="D40" s="1097">
        <v>7517034.1200000001</v>
      </c>
      <c r="E40" s="1031">
        <v>12872812.345146878</v>
      </c>
      <c r="F40" s="472">
        <f t="shared" si="3"/>
        <v>3.5</v>
      </c>
      <c r="G40" s="775">
        <f t="shared" si="1"/>
        <v>2192468.2850000001</v>
      </c>
      <c r="H40" s="901">
        <f t="shared" si="2"/>
        <v>3754570.2673345059</v>
      </c>
      <c r="I40" s="767"/>
      <c r="K40" s="916"/>
      <c r="L40" s="767"/>
    </row>
    <row r="41" spans="3:12">
      <c r="C41" s="246" t="s">
        <v>237</v>
      </c>
      <c r="D41" s="1097">
        <v>30398269.849999998</v>
      </c>
      <c r="E41" s="1031">
        <v>11270327.345146876</v>
      </c>
      <c r="F41" s="472">
        <f t="shared" si="3"/>
        <v>2.5</v>
      </c>
      <c r="G41" s="775">
        <f t="shared" si="1"/>
        <v>6332972.885416667</v>
      </c>
      <c r="H41" s="901">
        <f t="shared" si="2"/>
        <v>2347984.863572266</v>
      </c>
      <c r="I41" s="767"/>
      <c r="K41" s="916"/>
      <c r="L41" s="767"/>
    </row>
    <row r="42" spans="3:12">
      <c r="C42" s="246" t="s">
        <v>238</v>
      </c>
      <c r="D42" s="1097">
        <v>51894536</v>
      </c>
      <c r="E42" s="1031">
        <v>9567857.3451468423</v>
      </c>
      <c r="F42" s="472">
        <f t="shared" si="3"/>
        <v>1.5</v>
      </c>
      <c r="G42" s="775">
        <f t="shared" si="1"/>
        <v>6486817</v>
      </c>
      <c r="H42" s="901">
        <f t="shared" si="2"/>
        <v>1195982.1681433553</v>
      </c>
      <c r="I42" s="767"/>
      <c r="K42" s="916"/>
      <c r="L42" s="767"/>
    </row>
    <row r="43" spans="3:12">
      <c r="C43" s="246" t="s">
        <v>239</v>
      </c>
      <c r="D43" s="1098">
        <v>216656461.5</v>
      </c>
      <c r="E43" s="1032">
        <v>8158829.3451468367</v>
      </c>
      <c r="F43" s="472">
        <f t="shared" si="3"/>
        <v>0.5</v>
      </c>
      <c r="G43" s="776">
        <f t="shared" si="1"/>
        <v>9027352.5625</v>
      </c>
      <c r="H43" s="776">
        <f t="shared" si="2"/>
        <v>339951.22271445155</v>
      </c>
      <c r="I43" s="767"/>
      <c r="K43" s="916"/>
      <c r="L43" s="767"/>
    </row>
    <row r="44" spans="3:12">
      <c r="C44" s="246" t="s">
        <v>493</v>
      </c>
      <c r="D44" s="775">
        <f>SUM(D32:D43)</f>
        <v>569031890.48040509</v>
      </c>
      <c r="E44" s="775">
        <f>SUM(E32:E43)</f>
        <v>140588430.59332654</v>
      </c>
      <c r="F44" s="775"/>
      <c r="G44" s="775">
        <f>SUM(G32:G43)</f>
        <v>200603557.43490398</v>
      </c>
      <c r="H44" s="775">
        <f>SUM(H31:H43)</f>
        <v>147247211.18021777</v>
      </c>
      <c r="I44" s="345" t="s">
        <v>493</v>
      </c>
      <c r="K44" s="916"/>
      <c r="L44" s="777"/>
    </row>
    <row r="45" spans="3:12">
      <c r="C45" s="302"/>
      <c r="D45" s="159"/>
      <c r="E45" s="159"/>
      <c r="F45" s="159"/>
      <c r="G45" s="1134">
        <f>+G44/D44*12</f>
        <v>4.2304178895606945</v>
      </c>
      <c r="H45" s="1135"/>
      <c r="I45" s="159" t="s">
        <v>253</v>
      </c>
      <c r="J45" s="778"/>
      <c r="K45" s="779"/>
      <c r="L45" s="764"/>
    </row>
    <row r="46" spans="3:12">
      <c r="C46" s="159" t="s">
        <v>211</v>
      </c>
      <c r="D46" s="159"/>
      <c r="E46" s="159"/>
      <c r="F46" s="299"/>
      <c r="G46" s="299">
        <f>+G44</f>
        <v>200603557.43490398</v>
      </c>
      <c r="H46" s="299"/>
      <c r="I46" s="159" t="s">
        <v>648</v>
      </c>
      <c r="J46" s="1136" t="s">
        <v>311</v>
      </c>
      <c r="K46" s="299"/>
    </row>
    <row r="47" spans="3:12">
      <c r="C47" s="159" t="s">
        <v>647</v>
      </c>
      <c r="D47" s="159"/>
      <c r="E47" s="159"/>
      <c r="F47" s="299"/>
      <c r="G47" s="1137"/>
      <c r="H47" s="299">
        <f>+H44</f>
        <v>147247211.18021777</v>
      </c>
      <c r="I47" s="159" t="s">
        <v>649</v>
      </c>
      <c r="J47" s="1136" t="s">
        <v>312</v>
      </c>
      <c r="K47" s="299"/>
    </row>
    <row r="48" spans="3:12">
      <c r="C48" s="246"/>
      <c r="F48" s="775"/>
      <c r="G48" s="903"/>
      <c r="H48" s="775"/>
      <c r="J48" s="775"/>
      <c r="K48" s="775"/>
    </row>
    <row r="49" spans="1:15">
      <c r="A49" s="472">
        <v>3</v>
      </c>
      <c r="B49" s="472" t="str">
        <f>+B26</f>
        <v>April</v>
      </c>
      <c r="C49" s="472" t="str">
        <f>+C26</f>
        <v>Year 2</v>
      </c>
      <c r="I49" s="345"/>
    </row>
    <row r="50" spans="1:15">
      <c r="K50" s="775"/>
      <c r="L50" s="472"/>
      <c r="M50" s="775"/>
    </row>
    <row r="51" spans="1:15">
      <c r="D51" s="766"/>
      <c r="E51" s="766"/>
      <c r="F51" s="472"/>
      <c r="G51" s="472"/>
      <c r="H51" s="472"/>
      <c r="I51" s="472"/>
      <c r="J51" s="472"/>
      <c r="K51" s="775"/>
      <c r="L51" s="472"/>
      <c r="M51" s="775"/>
    </row>
    <row r="52" spans="1:15">
      <c r="A52" s="472">
        <v>4</v>
      </c>
      <c r="B52" s="472" t="str">
        <f>+B11</f>
        <v>May</v>
      </c>
      <c r="C52" s="472" t="str">
        <f>+C49</f>
        <v>Year 2</v>
      </c>
      <c r="D52" s="246" t="str">
        <f>+D11</f>
        <v>Post results of Step 3 on PJM web site</v>
      </c>
    </row>
    <row r="53" spans="1:15">
      <c r="D53" s="1099">
        <v>682393370</v>
      </c>
      <c r="E53" s="1033"/>
      <c r="G53" s="781" t="s">
        <v>315</v>
      </c>
      <c r="H53" s="159"/>
      <c r="I53" s="159"/>
      <c r="J53" s="159"/>
      <c r="K53" s="915"/>
      <c r="L53" s="159"/>
      <c r="M53" s="1115"/>
    </row>
    <row r="54" spans="1:15">
      <c r="D54" s="765"/>
      <c r="E54" s="765"/>
      <c r="G54" s="159"/>
      <c r="H54" s="159"/>
      <c r="I54" s="159"/>
      <c r="J54" s="159"/>
      <c r="K54" s="159"/>
      <c r="L54" s="159"/>
      <c r="M54" s="159"/>
    </row>
    <row r="55" spans="1:15">
      <c r="A55" s="472">
        <f>+A12</f>
        <v>5</v>
      </c>
      <c r="B55" s="472" t="str">
        <f>+B12</f>
        <v>June</v>
      </c>
      <c r="C55" s="472" t="str">
        <f>+C12</f>
        <v>Year 2</v>
      </c>
      <c r="D55" s="361" t="str">
        <f>+D12</f>
        <v>Results of Step 3 go into effect</v>
      </c>
      <c r="E55" s="361"/>
      <c r="K55" s="159"/>
      <c r="L55" s="159"/>
      <c r="M55" s="159"/>
    </row>
    <row r="56" spans="1:15">
      <c r="D56" s="766"/>
      <c r="E56" s="766"/>
      <c r="K56" s="159"/>
      <c r="L56" s="159"/>
      <c r="M56" s="159"/>
    </row>
    <row r="57" spans="1:15">
      <c r="A57" s="473"/>
      <c r="B57" s="473"/>
      <c r="C57" s="473"/>
      <c r="D57" s="536"/>
      <c r="E57" s="536"/>
      <c r="F57" s="536"/>
      <c r="G57" s="536"/>
      <c r="H57" s="536"/>
      <c r="I57" s="536"/>
      <c r="J57" s="536"/>
      <c r="K57" s="767"/>
      <c r="L57" s="272"/>
      <c r="M57" s="272"/>
      <c r="N57" s="536"/>
      <c r="O57" s="536"/>
    </row>
    <row r="58" spans="1:15">
      <c r="A58" s="473"/>
      <c r="B58" s="473"/>
      <c r="C58" s="473"/>
      <c r="D58" s="536"/>
      <c r="E58" s="536"/>
      <c r="F58" s="536"/>
      <c r="G58" s="536"/>
      <c r="H58" s="536"/>
      <c r="I58" s="536"/>
      <c r="J58" s="536"/>
      <c r="K58" s="272"/>
      <c r="L58" s="272"/>
      <c r="M58" s="272"/>
      <c r="N58" s="536"/>
      <c r="O58" s="256"/>
    </row>
    <row r="59" spans="1:15">
      <c r="A59" s="473"/>
      <c r="B59" s="473"/>
      <c r="C59" s="473"/>
      <c r="D59" s="536"/>
      <c r="E59" s="536"/>
      <c r="F59" s="536"/>
      <c r="G59" s="536"/>
      <c r="H59" s="536"/>
      <c r="I59" s="536"/>
      <c r="J59" s="536"/>
      <c r="K59" s="272"/>
      <c r="L59" s="272"/>
      <c r="M59" s="272"/>
      <c r="N59" s="536"/>
      <c r="O59" s="256"/>
    </row>
    <row r="60" spans="1:15">
      <c r="A60" s="472">
        <f>+A14</f>
        <v>6</v>
      </c>
      <c r="B60" s="472" t="str">
        <f>+B14</f>
        <v>April</v>
      </c>
      <c r="C60" s="472" t="str">
        <f>+C14</f>
        <v>Year 3</v>
      </c>
      <c r="D60" s="361" t="str">
        <f>+D14</f>
        <v>TO populates the formula with Year 2 data</v>
      </c>
      <c r="E60" s="361"/>
      <c r="K60" s="159"/>
      <c r="L60" s="159"/>
      <c r="M60" s="159"/>
    </row>
    <row r="61" spans="1:15">
      <c r="E61" s="1036">
        <f>D53</f>
        <v>682393370</v>
      </c>
      <c r="F61" s="246" t="s">
        <v>289</v>
      </c>
      <c r="H61" s="781" t="str">
        <f>+H24</f>
        <v>Must run Appendix A to get this number (without any cap adds in Appendix A, line 17)</v>
      </c>
      <c r="I61" s="159"/>
      <c r="J61" s="159"/>
      <c r="K61" s="159"/>
      <c r="L61" s="159"/>
      <c r="M61" s="159"/>
    </row>
    <row r="62" spans="1:15">
      <c r="D62" s="768"/>
      <c r="E62" s="768"/>
      <c r="H62" s="159"/>
      <c r="I62" s="159"/>
      <c r="J62" s="159"/>
      <c r="K62" s="159"/>
      <c r="L62" s="159"/>
      <c r="M62" s="159"/>
    </row>
    <row r="63" spans="1:15">
      <c r="D63" s="769"/>
      <c r="E63" s="769"/>
    </row>
    <row r="64" spans="1:15">
      <c r="A64" s="472">
        <f>+A15</f>
        <v>7</v>
      </c>
      <c r="B64" s="472" t="str">
        <f>+B15</f>
        <v>April</v>
      </c>
      <c r="C64" s="472" t="str">
        <f>+C15</f>
        <v>Year 3</v>
      </c>
      <c r="D64" s="361" t="str">
        <f>+D15</f>
        <v>TO estimates all transmission Cap Adds during Year 3 weighted based on Months expected to be in service in Year 3</v>
      </c>
      <c r="E64" s="361"/>
    </row>
    <row r="65" spans="3:13">
      <c r="D65" s="272"/>
      <c r="E65" s="272"/>
      <c r="F65" s="272"/>
      <c r="G65" s="272"/>
      <c r="H65" s="272"/>
      <c r="I65" s="491"/>
      <c r="J65" s="491"/>
      <c r="K65" s="491"/>
      <c r="L65" s="491"/>
    </row>
    <row r="66" spans="3:13">
      <c r="G66" s="1293" t="s">
        <v>346</v>
      </c>
      <c r="H66" s="1294"/>
      <c r="I66" s="491"/>
      <c r="J66" s="371"/>
      <c r="K66" s="371"/>
      <c r="L66" s="491"/>
    </row>
    <row r="67" spans="3:13">
      <c r="C67" s="246"/>
      <c r="D67" s="472" t="s">
        <v>347</v>
      </c>
      <c r="E67" s="472" t="s">
        <v>348</v>
      </c>
      <c r="F67" s="472" t="s">
        <v>349</v>
      </c>
      <c r="G67" s="770" t="s">
        <v>251</v>
      </c>
      <c r="H67" s="771" t="s">
        <v>252</v>
      </c>
      <c r="I67" s="371"/>
      <c r="J67" s="371"/>
      <c r="K67" s="371"/>
      <c r="L67" s="371"/>
      <c r="M67" s="897"/>
    </row>
    <row r="68" spans="3:13" ht="51">
      <c r="C68" s="298"/>
      <c r="D68" s="897" t="s">
        <v>134</v>
      </c>
      <c r="E68" s="1132" t="s">
        <v>678</v>
      </c>
      <c r="F68" s="302" t="s">
        <v>228</v>
      </c>
      <c r="G68" s="897" t="s">
        <v>134</v>
      </c>
      <c r="H68" s="900" t="str">
        <f>+E68</f>
        <v>Grand Prairie
CWIP EOY
Balance and
Increments</v>
      </c>
      <c r="I68" s="371"/>
      <c r="J68" s="774"/>
      <c r="K68" s="774"/>
      <c r="L68" s="774"/>
      <c r="M68" s="773"/>
    </row>
    <row r="69" spans="3:13">
      <c r="C69" s="345" t="s">
        <v>320</v>
      </c>
      <c r="D69" s="1115"/>
      <c r="E69" s="1133">
        <v>160233315</v>
      </c>
      <c r="F69" s="302">
        <v>12</v>
      </c>
      <c r="G69" s="897"/>
      <c r="H69" s="901">
        <f>F69*E69/12</f>
        <v>160233315</v>
      </c>
      <c r="I69" s="767"/>
      <c r="J69" s="371"/>
      <c r="K69" s="371"/>
      <c r="L69" s="371"/>
    </row>
    <row r="70" spans="3:13">
      <c r="C70" s="246" t="s">
        <v>229</v>
      </c>
      <c r="D70" s="1031">
        <v>18231474</v>
      </c>
      <c r="E70" s="1031">
        <v>2141545</v>
      </c>
      <c r="F70" s="472">
        <v>11.5</v>
      </c>
      <c r="G70" s="775">
        <f t="shared" ref="G70:H81" si="4">$F70*D70/12</f>
        <v>17471829.25</v>
      </c>
      <c r="H70" s="775">
        <f t="shared" si="4"/>
        <v>2052313.9583333333</v>
      </c>
      <c r="I70" s="767"/>
      <c r="J70" s="786"/>
      <c r="K70" s="767"/>
      <c r="L70" s="767"/>
    </row>
    <row r="71" spans="3:13">
      <c r="C71" s="246" t="s">
        <v>230</v>
      </c>
      <c r="D71" s="1031">
        <v>15328125</v>
      </c>
      <c r="E71" s="1031">
        <v>548756</v>
      </c>
      <c r="F71" s="472">
        <f t="shared" ref="F71:F81" si="5">+F70-1</f>
        <v>10.5</v>
      </c>
      <c r="G71" s="775">
        <f t="shared" si="4"/>
        <v>13412109.375</v>
      </c>
      <c r="H71" s="775">
        <f t="shared" si="4"/>
        <v>480161.5</v>
      </c>
      <c r="I71" s="767"/>
      <c r="J71" s="786"/>
      <c r="K71" s="767"/>
      <c r="L71" s="767"/>
    </row>
    <row r="72" spans="3:13">
      <c r="C72" s="246" t="s">
        <v>231</v>
      </c>
      <c r="D72" s="1031">
        <v>10471596</v>
      </c>
      <c r="E72" s="1031">
        <v>2554853</v>
      </c>
      <c r="F72" s="472">
        <f t="shared" si="5"/>
        <v>9.5</v>
      </c>
      <c r="G72" s="775">
        <f t="shared" si="4"/>
        <v>8290013.5</v>
      </c>
      <c r="H72" s="775">
        <f t="shared" si="4"/>
        <v>2022591.9583333333</v>
      </c>
      <c r="I72" s="767"/>
      <c r="J72" s="786"/>
      <c r="K72" s="767"/>
      <c r="L72" s="767"/>
    </row>
    <row r="73" spans="3:13">
      <c r="C73" s="246" t="s">
        <v>232</v>
      </c>
      <c r="D73" s="1031">
        <v>16199005</v>
      </c>
      <c r="E73" s="1031">
        <v>830622</v>
      </c>
      <c r="F73" s="472">
        <f t="shared" si="5"/>
        <v>8.5</v>
      </c>
      <c r="G73" s="775">
        <f t="shared" si="4"/>
        <v>11474295.208333334</v>
      </c>
      <c r="H73" s="775">
        <f t="shared" si="4"/>
        <v>588357.25</v>
      </c>
      <c r="I73" s="767"/>
      <c r="J73" s="786"/>
      <c r="K73" s="767"/>
      <c r="L73" s="767"/>
    </row>
    <row r="74" spans="3:13">
      <c r="C74" s="246" t="s">
        <v>226</v>
      </c>
      <c r="D74" s="1031">
        <v>11797077</v>
      </c>
      <c r="E74" s="1031">
        <v>224665</v>
      </c>
      <c r="F74" s="472">
        <f t="shared" si="5"/>
        <v>7.5</v>
      </c>
      <c r="G74" s="775">
        <f t="shared" si="4"/>
        <v>7373173.125</v>
      </c>
      <c r="H74" s="775">
        <f t="shared" si="4"/>
        <v>140415.625</v>
      </c>
      <c r="I74" s="767"/>
      <c r="J74" s="786"/>
      <c r="K74" s="767"/>
      <c r="L74" s="767"/>
    </row>
    <row r="75" spans="3:13">
      <c r="C75" s="246" t="s">
        <v>233</v>
      </c>
      <c r="D75" s="1031">
        <v>180202008</v>
      </c>
      <c r="E75" s="1031">
        <f>114942-157834332</f>
        <v>-157719390</v>
      </c>
      <c r="F75" s="472">
        <f t="shared" si="5"/>
        <v>6.5</v>
      </c>
      <c r="G75" s="775">
        <f t="shared" si="4"/>
        <v>97609421</v>
      </c>
      <c r="H75" s="775">
        <f t="shared" si="4"/>
        <v>-85431336.25</v>
      </c>
      <c r="I75" s="767"/>
      <c r="J75" s="786"/>
      <c r="K75" s="767"/>
      <c r="L75" s="767"/>
    </row>
    <row r="76" spans="3:13">
      <c r="C76" s="246" t="s">
        <v>234</v>
      </c>
      <c r="D76" s="1031">
        <v>2285514</v>
      </c>
      <c r="E76" s="1031">
        <v>48571</v>
      </c>
      <c r="F76" s="472">
        <f t="shared" si="5"/>
        <v>5.5</v>
      </c>
      <c r="G76" s="775">
        <f t="shared" si="4"/>
        <v>1047527.25</v>
      </c>
      <c r="H76" s="775">
        <f t="shared" si="4"/>
        <v>22261.708333333332</v>
      </c>
      <c r="I76" s="767"/>
      <c r="J76" s="786"/>
      <c r="K76" s="767"/>
      <c r="L76" s="767"/>
    </row>
    <row r="77" spans="3:13">
      <c r="C77" s="246" t="s">
        <v>235</v>
      </c>
      <c r="D77" s="1031">
        <v>2195881</v>
      </c>
      <c r="E77" s="1031">
        <v>23267</v>
      </c>
      <c r="F77" s="472">
        <f t="shared" si="5"/>
        <v>4.5</v>
      </c>
      <c r="G77" s="775">
        <f t="shared" si="4"/>
        <v>823455.375</v>
      </c>
      <c r="H77" s="775">
        <f t="shared" si="4"/>
        <v>8725.125</v>
      </c>
      <c r="I77" s="767"/>
      <c r="J77" s="786"/>
      <c r="K77" s="767"/>
      <c r="L77" s="767"/>
    </row>
    <row r="78" spans="3:13">
      <c r="C78" s="246" t="s">
        <v>236</v>
      </c>
      <c r="D78" s="1031">
        <v>10636125</v>
      </c>
      <c r="E78" s="1031">
        <v>31802</v>
      </c>
      <c r="F78" s="472">
        <f t="shared" si="5"/>
        <v>3.5</v>
      </c>
      <c r="G78" s="775">
        <f t="shared" si="4"/>
        <v>3102203.125</v>
      </c>
      <c r="H78" s="775">
        <f t="shared" si="4"/>
        <v>9275.5833333333339</v>
      </c>
      <c r="I78" s="767"/>
      <c r="J78" s="786"/>
      <c r="K78" s="767"/>
      <c r="L78" s="767"/>
    </row>
    <row r="79" spans="3:13">
      <c r="C79" s="246" t="s">
        <v>237</v>
      </c>
      <c r="D79" s="1031">
        <v>23193413</v>
      </c>
      <c r="E79" s="1031">
        <v>18899</v>
      </c>
      <c r="F79" s="472">
        <f t="shared" si="5"/>
        <v>2.5</v>
      </c>
      <c r="G79" s="775">
        <f t="shared" si="4"/>
        <v>4831961.041666667</v>
      </c>
      <c r="H79" s="775">
        <f t="shared" si="4"/>
        <v>3937.2916666666665</v>
      </c>
      <c r="I79" s="767"/>
      <c r="J79" s="786"/>
      <c r="K79" s="767"/>
      <c r="L79" s="767"/>
    </row>
    <row r="80" spans="3:13">
      <c r="C80" s="246" t="s">
        <v>238</v>
      </c>
      <c r="D80" s="1031">
        <v>24301092</v>
      </c>
      <c r="E80" s="1031">
        <v>58899</v>
      </c>
      <c r="F80" s="472">
        <f t="shared" si="5"/>
        <v>1.5</v>
      </c>
      <c r="G80" s="775">
        <f t="shared" si="4"/>
        <v>3037636.5</v>
      </c>
      <c r="H80" s="775">
        <f t="shared" si="4"/>
        <v>7362.375</v>
      </c>
      <c r="I80" s="767"/>
      <c r="J80" s="786"/>
      <c r="K80" s="767"/>
      <c r="L80" s="767"/>
    </row>
    <row r="81" spans="1:17">
      <c r="C81" s="246" t="s">
        <v>239</v>
      </c>
      <c r="D81" s="1032">
        <v>114284394</v>
      </c>
      <c r="E81" s="1032">
        <v>63899</v>
      </c>
      <c r="F81" s="472">
        <f t="shared" si="5"/>
        <v>0.5</v>
      </c>
      <c r="G81" s="776">
        <f t="shared" si="4"/>
        <v>4761849.75</v>
      </c>
      <c r="H81" s="776">
        <f t="shared" si="4"/>
        <v>2662.4583333333335</v>
      </c>
      <c r="I81" s="767"/>
      <c r="J81" s="904"/>
      <c r="K81" s="767"/>
      <c r="L81" s="767"/>
    </row>
    <row r="82" spans="1:17">
      <c r="C82" s="246" t="s">
        <v>493</v>
      </c>
      <c r="D82" s="775">
        <f>SUM(D70:D81)</f>
        <v>429125704</v>
      </c>
      <c r="E82" s="775">
        <f>SUM(E70:E81)</f>
        <v>-151173612</v>
      </c>
      <c r="F82" s="775"/>
      <c r="G82" s="775">
        <f>SUM(G70:G81)</f>
        <v>173235474.5</v>
      </c>
      <c r="H82" s="775">
        <f>SUM(H69:H81)</f>
        <v>80140043.583333343</v>
      </c>
      <c r="I82" s="345" t="s">
        <v>493</v>
      </c>
      <c r="J82" s="777"/>
      <c r="K82" s="777"/>
      <c r="L82" s="767"/>
    </row>
    <row r="83" spans="1:17">
      <c r="B83" s="302"/>
      <c r="C83" s="302"/>
      <c r="D83" s="159"/>
      <c r="E83" s="159"/>
      <c r="F83" s="159"/>
      <c r="G83" s="1134">
        <f>+G82/D82*12</f>
        <v>4.8443280712916703</v>
      </c>
      <c r="H83" s="1135"/>
      <c r="I83" s="159" t="s">
        <v>253</v>
      </c>
      <c r="J83" s="778"/>
      <c r="K83" s="779"/>
      <c r="L83" s="777"/>
    </row>
    <row r="84" spans="1:17">
      <c r="B84" s="302"/>
      <c r="C84" s="159" t="s">
        <v>211</v>
      </c>
      <c r="D84" s="159"/>
      <c r="E84" s="159"/>
      <c r="F84" s="299"/>
      <c r="G84" s="299">
        <f>+G82</f>
        <v>173235474.5</v>
      </c>
      <c r="H84" s="299"/>
      <c r="I84" s="159" t="s">
        <v>648</v>
      </c>
      <c r="J84" s="299" t="s">
        <v>311</v>
      </c>
      <c r="K84" s="299"/>
      <c r="L84" s="777"/>
    </row>
    <row r="85" spans="1:17">
      <c r="B85" s="302"/>
      <c r="C85" s="159" t="s">
        <v>647</v>
      </c>
      <c r="D85" s="159"/>
      <c r="E85" s="159"/>
      <c r="F85" s="299"/>
      <c r="G85" s="1137"/>
      <c r="H85" s="299">
        <f>+H82</f>
        <v>80140043.583333343</v>
      </c>
      <c r="I85" s="159" t="s">
        <v>649</v>
      </c>
      <c r="J85" s="299" t="s">
        <v>312</v>
      </c>
      <c r="K85" s="299"/>
      <c r="L85" s="777"/>
    </row>
    <row r="86" spans="1:17">
      <c r="G86" s="905"/>
      <c r="J86" s="777"/>
      <c r="K86" s="777"/>
      <c r="L86" s="777"/>
    </row>
    <row r="87" spans="1:17">
      <c r="C87" s="246" t="s">
        <v>211</v>
      </c>
      <c r="F87" s="775"/>
      <c r="G87" s="903"/>
      <c r="H87" s="775"/>
      <c r="J87" s="778"/>
      <c r="K87" s="779"/>
      <c r="L87" s="780"/>
    </row>
    <row r="88" spans="1:17">
      <c r="I88" s="345"/>
      <c r="J88" s="767"/>
      <c r="K88" s="767"/>
    </row>
    <row r="89" spans="1:17" ht="26.25" customHeight="1">
      <c r="A89" s="760">
        <f>+A16</f>
        <v>8</v>
      </c>
      <c r="B89" s="760" t="str">
        <f>+B16</f>
        <v>April</v>
      </c>
      <c r="C89" s="306" t="str">
        <f>+C16</f>
        <v>Year 3</v>
      </c>
      <c r="D89" s="1291" t="str">
        <f>+D16</f>
        <v>Reconciliation - TO calculates Reconciliation by removing from Year 2 data - the total Cap Adds placed in service in Year 2 and adding weighted average in Year 2 Cap Adds in Reconciliation (adjusted to include any Reconciliation amount from prior year).</v>
      </c>
      <c r="E89" s="1291"/>
      <c r="F89" s="1292"/>
      <c r="G89" s="1292"/>
      <c r="H89" s="1292"/>
      <c r="I89" s="1292"/>
      <c r="J89" s="1292"/>
      <c r="K89" s="1292"/>
      <c r="L89" s="1292"/>
      <c r="M89" s="1292"/>
      <c r="N89" s="245"/>
      <c r="O89" s="761"/>
    </row>
    <row r="90" spans="1:17">
      <c r="C90" s="302"/>
      <c r="D90" s="298"/>
      <c r="E90" s="298"/>
      <c r="F90" s="298"/>
      <c r="G90" s="298"/>
      <c r="H90" s="298"/>
      <c r="I90" s="298"/>
      <c r="J90" s="298"/>
      <c r="K90" s="298"/>
      <c r="L90" s="298"/>
      <c r="M90" s="298"/>
      <c r="N90" s="298"/>
      <c r="O90" s="772"/>
    </row>
    <row r="91" spans="1:17">
      <c r="C91" s="302"/>
      <c r="D91" s="768" t="s">
        <v>212</v>
      </c>
      <c r="E91" s="768"/>
      <c r="F91" s="159"/>
      <c r="G91" s="159"/>
      <c r="H91" s="159"/>
      <c r="I91" s="159"/>
      <c r="J91" s="159"/>
      <c r="K91" s="159"/>
      <c r="L91" s="159"/>
      <c r="M91" s="159"/>
      <c r="N91" s="159"/>
    </row>
    <row r="92" spans="1:17">
      <c r="C92" s="302"/>
      <c r="D92" s="159" t="s">
        <v>180</v>
      </c>
      <c r="E92" s="159"/>
      <c r="F92" s="159"/>
      <c r="G92" s="159"/>
      <c r="H92" s="159"/>
      <c r="I92" s="159"/>
      <c r="J92" s="159"/>
      <c r="K92" s="159"/>
      <c r="L92" s="906">
        <f>+D111</f>
        <v>532116616</v>
      </c>
      <c r="M92" s="159" t="s">
        <v>308</v>
      </c>
      <c r="N92" s="159"/>
    </row>
    <row r="93" spans="1:17">
      <c r="C93" s="302"/>
      <c r="D93" s="768"/>
      <c r="E93" s="768"/>
      <c r="F93" s="159"/>
      <c r="G93" s="159"/>
      <c r="H93" s="159"/>
      <c r="I93" s="159"/>
      <c r="J93" s="159"/>
      <c r="K93" s="159"/>
      <c r="L93" s="159"/>
      <c r="M93" s="159"/>
      <c r="N93" s="159"/>
    </row>
    <row r="94" spans="1:17">
      <c r="C94" s="302"/>
      <c r="D94" s="907" t="s">
        <v>181</v>
      </c>
      <c r="E94" s="907"/>
      <c r="F94" s="159"/>
      <c r="G94" s="159"/>
      <c r="H94" s="159"/>
      <c r="I94" s="159"/>
      <c r="J94" s="159"/>
      <c r="K94" s="159"/>
      <c r="L94" s="159"/>
      <c r="M94" s="159"/>
      <c r="N94" s="159"/>
    </row>
    <row r="95" spans="1:17">
      <c r="C95" s="302"/>
      <c r="D95" s="159"/>
      <c r="E95" s="159"/>
      <c r="F95" s="159"/>
      <c r="G95" s="1299" t="s">
        <v>346</v>
      </c>
      <c r="H95" s="1300"/>
      <c r="I95" s="159"/>
      <c r="J95" s="1131"/>
      <c r="K95" s="1131"/>
      <c r="L95" s="159"/>
      <c r="M95" s="159"/>
      <c r="N95" s="159"/>
    </row>
    <row r="96" spans="1:17">
      <c r="C96" s="302"/>
      <c r="D96" s="302" t="s">
        <v>347</v>
      </c>
      <c r="E96" s="302" t="s">
        <v>348</v>
      </c>
      <c r="F96" s="302" t="s">
        <v>349</v>
      </c>
      <c r="G96" s="1138" t="s">
        <v>251</v>
      </c>
      <c r="H96" s="1139" t="s">
        <v>252</v>
      </c>
      <c r="I96" s="159"/>
      <c r="J96" s="1130"/>
      <c r="K96" s="1130"/>
      <c r="L96" s="272"/>
      <c r="M96" s="272"/>
      <c r="N96" s="272"/>
      <c r="O96" s="272"/>
      <c r="P96" s="272"/>
      <c r="Q96" s="272"/>
    </row>
    <row r="97" spans="3:17" ht="51">
      <c r="C97" s="159"/>
      <c r="D97" s="897" t="s">
        <v>134</v>
      </c>
      <c r="E97" s="1132" t="s">
        <v>678</v>
      </c>
      <c r="F97" s="302" t="s">
        <v>228</v>
      </c>
      <c r="G97" s="897" t="s">
        <v>134</v>
      </c>
      <c r="H97" s="900" t="str">
        <f>+E97</f>
        <v>Grand Prairie
CWIP EOY
Balance and
Increments</v>
      </c>
      <c r="I97" s="159"/>
      <c r="J97" s="1130"/>
      <c r="K97" s="159"/>
      <c r="L97" s="272"/>
      <c r="M97" s="940"/>
      <c r="N97" s="940"/>
      <c r="O97" s="940"/>
      <c r="P97" s="940"/>
      <c r="Q97" s="942"/>
    </row>
    <row r="98" spans="3:17">
      <c r="C98" s="345" t="s">
        <v>320</v>
      </c>
      <c r="D98" s="159"/>
      <c r="E98" s="1140">
        <v>71715057</v>
      </c>
      <c r="F98" s="302">
        <v>12</v>
      </c>
      <c r="G98" s="897"/>
      <c r="H98" s="901">
        <f>F98*E98/12</f>
        <v>71715057</v>
      </c>
      <c r="I98" s="159"/>
      <c r="J98" s="1141"/>
      <c r="K98" s="159"/>
      <c r="L98" s="272"/>
      <c r="M98" s="943"/>
      <c r="N98" s="944"/>
      <c r="O98" s="945"/>
      <c r="P98" s="946"/>
      <c r="Q98" s="942"/>
    </row>
    <row r="99" spans="3:17">
      <c r="C99" s="246" t="s">
        <v>229</v>
      </c>
      <c r="D99" s="1097">
        <v>33012516</v>
      </c>
      <c r="E99" s="1097">
        <f>9298023-6069360</f>
        <v>3228663</v>
      </c>
      <c r="F99" s="472">
        <v>11.5</v>
      </c>
      <c r="G99" s="775">
        <f>$F99*D99/12</f>
        <v>31636994.5</v>
      </c>
      <c r="H99" s="775">
        <f>$F99*E99/12</f>
        <v>3094135.375</v>
      </c>
      <c r="I99" s="784"/>
      <c r="J99" s="792"/>
      <c r="L99" s="272"/>
      <c r="M99" s="946"/>
      <c r="N99" s="944"/>
      <c r="O99" s="947"/>
      <c r="P99" s="946"/>
      <c r="Q99" s="942"/>
    </row>
    <row r="100" spans="3:17">
      <c r="C100" s="246" t="s">
        <v>230</v>
      </c>
      <c r="D100" s="1097">
        <v>32596521</v>
      </c>
      <c r="E100" s="1097">
        <v>8906865</v>
      </c>
      <c r="F100" s="472">
        <f t="shared" ref="F100:F110" si="6">+F99-1</f>
        <v>10.5</v>
      </c>
      <c r="G100" s="775">
        <f t="shared" ref="G100:H110" si="7">$F100*D100/12</f>
        <v>28521955.875</v>
      </c>
      <c r="H100" s="775">
        <f t="shared" si="7"/>
        <v>7793506.875</v>
      </c>
      <c r="I100" s="785"/>
      <c r="J100" s="793"/>
      <c r="L100" s="272"/>
      <c r="M100" s="946"/>
      <c r="N100" s="944"/>
      <c r="O100" s="947"/>
      <c r="P100" s="946"/>
      <c r="Q100" s="942"/>
    </row>
    <row r="101" spans="3:17">
      <c r="C101" s="246" t="s">
        <v>231</v>
      </c>
      <c r="D101" s="1097">
        <v>12593463</v>
      </c>
      <c r="E101" s="1097">
        <v>12899067</v>
      </c>
      <c r="F101" s="472">
        <f t="shared" si="6"/>
        <v>9.5</v>
      </c>
      <c r="G101" s="775">
        <f t="shared" si="7"/>
        <v>9969824.875</v>
      </c>
      <c r="H101" s="775">
        <f>$F101*E101/12</f>
        <v>10211761.375</v>
      </c>
      <c r="I101" s="785"/>
      <c r="J101" s="793"/>
      <c r="L101" s="272"/>
      <c r="M101" s="946"/>
      <c r="N101" s="944"/>
      <c r="O101" s="947"/>
      <c r="P101" s="946"/>
      <c r="Q101" s="942"/>
    </row>
    <row r="102" spans="3:17">
      <c r="C102" s="246" t="s">
        <v>232</v>
      </c>
      <c r="D102" s="1097">
        <v>13041179</v>
      </c>
      <c r="E102" s="1097">
        <v>11198629</v>
      </c>
      <c r="F102" s="472">
        <f t="shared" si="6"/>
        <v>8.5</v>
      </c>
      <c r="G102" s="775">
        <f t="shared" si="7"/>
        <v>9237501.791666666</v>
      </c>
      <c r="H102" s="775">
        <f t="shared" si="7"/>
        <v>7932362.208333333</v>
      </c>
      <c r="I102" s="785"/>
      <c r="J102" s="925"/>
      <c r="L102" s="272"/>
      <c r="M102" s="946"/>
      <c r="N102" s="944"/>
      <c r="O102" s="947"/>
      <c r="P102" s="944"/>
      <c r="Q102" s="942"/>
    </row>
    <row r="103" spans="3:17">
      <c r="C103" s="246" t="s">
        <v>226</v>
      </c>
      <c r="D103" s="1097">
        <v>121612485</v>
      </c>
      <c r="E103" s="1097">
        <v>6123682</v>
      </c>
      <c r="F103" s="472">
        <f t="shared" si="6"/>
        <v>7.5</v>
      </c>
      <c r="G103" s="775">
        <f t="shared" si="7"/>
        <v>76007803.125</v>
      </c>
      <c r="H103" s="775">
        <f t="shared" si="7"/>
        <v>3827301.25</v>
      </c>
      <c r="I103" s="785"/>
      <c r="J103" s="924"/>
      <c r="L103" s="272"/>
      <c r="M103" s="946"/>
      <c r="N103" s="944"/>
      <c r="O103" s="947"/>
      <c r="P103" s="946"/>
      <c r="Q103" s="942"/>
    </row>
    <row r="104" spans="3:17">
      <c r="C104" s="246" t="s">
        <v>233</v>
      </c>
      <c r="D104" s="1097">
        <v>33115064</v>
      </c>
      <c r="E104" s="1097">
        <v>10942984</v>
      </c>
      <c r="F104" s="472">
        <f t="shared" si="6"/>
        <v>6.5</v>
      </c>
      <c r="G104" s="775">
        <f t="shared" si="7"/>
        <v>17937326.333333332</v>
      </c>
      <c r="H104" s="775">
        <f t="shared" si="7"/>
        <v>5927449.666666667</v>
      </c>
      <c r="I104" s="785"/>
      <c r="J104" s="924"/>
      <c r="L104" s="272"/>
      <c r="M104" s="946"/>
      <c r="N104" s="944"/>
      <c r="O104" s="947"/>
      <c r="P104" s="946"/>
      <c r="Q104" s="942"/>
    </row>
    <row r="105" spans="3:17">
      <c r="C105" s="246" t="s">
        <v>234</v>
      </c>
      <c r="D105" s="1097">
        <v>26036556</v>
      </c>
      <c r="E105" s="1097">
        <v>10471644</v>
      </c>
      <c r="F105" s="472">
        <f t="shared" si="6"/>
        <v>5.5</v>
      </c>
      <c r="G105" s="775">
        <f t="shared" si="7"/>
        <v>11933421.5</v>
      </c>
      <c r="H105" s="775">
        <f t="shared" si="7"/>
        <v>4799503.5</v>
      </c>
      <c r="I105" s="785"/>
      <c r="J105" s="793"/>
      <c r="L105" s="272"/>
      <c r="M105" s="946"/>
      <c r="N105" s="944"/>
      <c r="O105" s="947"/>
      <c r="P105" s="944"/>
      <c r="Q105" s="942"/>
    </row>
    <row r="106" spans="3:17">
      <c r="C106" s="246" t="s">
        <v>235</v>
      </c>
      <c r="D106" s="1097">
        <v>702812</v>
      </c>
      <c r="E106" s="1097">
        <v>7922736</v>
      </c>
      <c r="F106" s="472">
        <f t="shared" si="6"/>
        <v>4.5</v>
      </c>
      <c r="G106" s="775">
        <f t="shared" si="7"/>
        <v>263554.5</v>
      </c>
      <c r="H106" s="775">
        <f t="shared" si="7"/>
        <v>2971026</v>
      </c>
      <c r="I106" s="785"/>
      <c r="J106" s="793"/>
      <c r="L106" s="272"/>
      <c r="M106" s="946"/>
      <c r="N106" s="944"/>
      <c r="O106" s="947"/>
      <c r="P106" s="946"/>
      <c r="Q106" s="942"/>
    </row>
    <row r="107" spans="3:17">
      <c r="C107" s="246" t="s">
        <v>236</v>
      </c>
      <c r="D107" s="1097">
        <v>3962191</v>
      </c>
      <c r="E107" s="1097">
        <v>4530204</v>
      </c>
      <c r="F107" s="472">
        <f t="shared" si="6"/>
        <v>3.5</v>
      </c>
      <c r="G107" s="775">
        <f t="shared" si="7"/>
        <v>1155639.0416666667</v>
      </c>
      <c r="H107" s="775">
        <f t="shared" si="7"/>
        <v>1321309.5</v>
      </c>
      <c r="I107" s="785"/>
      <c r="J107" s="793"/>
      <c r="L107" s="272"/>
      <c r="M107" s="946"/>
      <c r="N107" s="944"/>
      <c r="O107" s="947"/>
      <c r="P107" s="946"/>
      <c r="Q107" s="942"/>
    </row>
    <row r="108" spans="3:17">
      <c r="C108" s="246" t="s">
        <v>237</v>
      </c>
      <c r="D108" s="1097">
        <v>47650169</v>
      </c>
      <c r="E108" s="1097">
        <f>11777821-12677098</f>
        <v>-899277</v>
      </c>
      <c r="F108" s="472">
        <f t="shared" si="6"/>
        <v>2.5</v>
      </c>
      <c r="G108" s="775">
        <f t="shared" si="7"/>
        <v>9927118.541666666</v>
      </c>
      <c r="H108" s="775">
        <f t="shared" si="7"/>
        <v>-187349.375</v>
      </c>
      <c r="I108" s="785"/>
      <c r="J108" s="793"/>
      <c r="L108" s="272"/>
      <c r="M108" s="946"/>
      <c r="N108" s="944"/>
      <c r="O108" s="947"/>
      <c r="P108" s="946"/>
      <c r="Q108" s="942"/>
    </row>
    <row r="109" spans="3:17">
      <c r="C109" s="246" t="s">
        <v>238</v>
      </c>
      <c r="D109" s="1100">
        <v>33818258</v>
      </c>
      <c r="E109" s="1097">
        <v>3707623</v>
      </c>
      <c r="F109" s="472">
        <f t="shared" si="6"/>
        <v>1.5</v>
      </c>
      <c r="G109" s="775">
        <f t="shared" si="7"/>
        <v>4227282.25</v>
      </c>
      <c r="H109" s="775">
        <f t="shared" si="7"/>
        <v>463452.875</v>
      </c>
      <c r="I109" s="786"/>
      <c r="J109" s="793"/>
      <c r="L109" s="272"/>
      <c r="M109" s="946"/>
      <c r="N109" s="944"/>
      <c r="O109" s="947"/>
      <c r="P109" s="946"/>
      <c r="Q109" s="942"/>
    </row>
    <row r="110" spans="3:17">
      <c r="C110" s="246" t="s">
        <v>239</v>
      </c>
      <c r="D110" s="1098">
        <v>173975402</v>
      </c>
      <c r="E110" s="1098">
        <v>9485438</v>
      </c>
      <c r="F110" s="472">
        <f t="shared" si="6"/>
        <v>0.5</v>
      </c>
      <c r="G110" s="776">
        <f t="shared" si="7"/>
        <v>7248975.083333333</v>
      </c>
      <c r="H110" s="776">
        <f t="shared" si="7"/>
        <v>395226.58333333331</v>
      </c>
      <c r="I110" s="787"/>
      <c r="J110" s="793"/>
      <c r="L110" s="272"/>
      <c r="M110" s="946"/>
      <c r="N110" s="944"/>
      <c r="O110" s="947"/>
      <c r="P110" s="946"/>
      <c r="Q110" s="942"/>
    </row>
    <row r="111" spans="3:17">
      <c r="C111" s="246" t="s">
        <v>493</v>
      </c>
      <c r="D111" s="775">
        <f>SUM(D99:D110)</f>
        <v>532116616</v>
      </c>
      <c r="E111" s="775">
        <f>SUM(E99:E110)</f>
        <v>88518258</v>
      </c>
      <c r="F111" s="775"/>
      <c r="G111" s="775">
        <f>SUM(G99:G110)</f>
        <v>208067397.41666669</v>
      </c>
      <c r="H111" s="775">
        <f>SUM(H98:H110)</f>
        <v>120264742.83333333</v>
      </c>
      <c r="I111" s="345" t="s">
        <v>493</v>
      </c>
      <c r="J111" s="777"/>
      <c r="L111" s="272"/>
      <c r="M111" s="941"/>
      <c r="N111" s="944"/>
      <c r="O111" s="944"/>
      <c r="P111" s="946"/>
      <c r="Q111" s="948"/>
    </row>
    <row r="112" spans="3:17">
      <c r="C112" s="302"/>
      <c r="D112" s="159"/>
      <c r="E112" s="159"/>
      <c r="F112" s="159"/>
      <c r="G112" s="1134"/>
      <c r="H112" s="1135"/>
      <c r="I112" s="159" t="s">
        <v>253</v>
      </c>
      <c r="J112" s="778"/>
      <c r="K112" s="1142"/>
      <c r="L112" s="272"/>
      <c r="M112" s="949"/>
      <c r="N112" s="941"/>
      <c r="O112" s="946"/>
      <c r="P112" s="946"/>
      <c r="Q112" s="946"/>
    </row>
    <row r="113" spans="1:17">
      <c r="C113" s="159" t="s">
        <v>211</v>
      </c>
      <c r="D113" s="159"/>
      <c r="E113" s="159"/>
      <c r="F113" s="299"/>
      <c r="G113" s="299">
        <f>+G111</f>
        <v>208067397.41666669</v>
      </c>
      <c r="H113" s="299"/>
      <c r="I113" s="159" t="s">
        <v>648</v>
      </c>
      <c r="J113" s="299" t="s">
        <v>316</v>
      </c>
      <c r="K113" s="1143"/>
      <c r="L113" s="272"/>
      <c r="M113" s="949"/>
      <c r="N113" s="941"/>
      <c r="O113" s="946"/>
      <c r="P113" s="946"/>
      <c r="Q113" s="946"/>
    </row>
    <row r="114" spans="1:17">
      <c r="C114" s="159" t="s">
        <v>647</v>
      </c>
      <c r="D114" s="159"/>
      <c r="E114" s="159"/>
      <c r="F114" s="299"/>
      <c r="G114" s="1137"/>
      <c r="H114" s="299">
        <f>+H111</f>
        <v>120264742.83333333</v>
      </c>
      <c r="I114" s="159" t="s">
        <v>649</v>
      </c>
      <c r="J114" s="299" t="s">
        <v>316</v>
      </c>
      <c r="K114" s="299"/>
    </row>
    <row r="115" spans="1:17">
      <c r="D115" s="768"/>
      <c r="E115" s="768"/>
      <c r="M115" s="775"/>
    </row>
    <row r="116" spans="1:17">
      <c r="D116" s="1035">
        <v>681927605</v>
      </c>
      <c r="E116" s="1035"/>
      <c r="F116" s="768" t="s">
        <v>509</v>
      </c>
      <c r="G116" s="768"/>
      <c r="H116" s="781" t="s">
        <v>309</v>
      </c>
      <c r="I116" s="768"/>
      <c r="J116" s="768"/>
      <c r="K116" s="159"/>
      <c r="L116" s="159"/>
      <c r="M116" s="908"/>
      <c r="N116" s="242"/>
      <c r="O116" s="242"/>
    </row>
    <row r="117" spans="1:17">
      <c r="F117" s="246" t="s">
        <v>213</v>
      </c>
      <c r="L117" s="159"/>
      <c r="M117" s="299"/>
      <c r="N117" s="159"/>
    </row>
    <row r="118" spans="1:17">
      <c r="D118" s="768"/>
      <c r="E118" s="768"/>
      <c r="L118" s="159"/>
      <c r="M118" s="299"/>
      <c r="N118" s="159"/>
    </row>
    <row r="119" spans="1:17">
      <c r="D119" s="768"/>
      <c r="E119" s="768"/>
      <c r="L119" s="159"/>
      <c r="M119" s="299"/>
      <c r="N119" s="159"/>
      <c r="O119" s="156"/>
    </row>
    <row r="120" spans="1:17">
      <c r="D120" s="768"/>
      <c r="E120" s="768"/>
      <c r="M120" s="775"/>
      <c r="O120" s="156"/>
    </row>
    <row r="121" spans="1:17" ht="28.5" customHeight="1">
      <c r="A121" s="760">
        <f>+A17</f>
        <v>9</v>
      </c>
      <c r="B121" s="760" t="str">
        <f>+B17</f>
        <v>April</v>
      </c>
      <c r="C121" s="306" t="str">
        <f>+C17</f>
        <v>Year 3</v>
      </c>
      <c r="D121" s="1295" t="str">
        <f>+D17</f>
        <v>Reconciliation - TO adds the difference between the Reconciliation in Step 8 and the forecast in Line 5 with interest to the result of Step 7 (this difference is also added to Step 8 in the subsequent year)</v>
      </c>
      <c r="E121" s="1295"/>
      <c r="F121" s="1296"/>
      <c r="G121" s="1296"/>
      <c r="H121" s="1296"/>
      <c r="I121" s="1296"/>
      <c r="J121" s="1296"/>
      <c r="K121" s="1296"/>
      <c r="L121" s="1296"/>
      <c r="M121" s="1296"/>
    </row>
    <row r="122" spans="1:17">
      <c r="D122" s="361"/>
      <c r="E122" s="361"/>
    </row>
    <row r="123" spans="1:17">
      <c r="D123" s="361" t="s">
        <v>510</v>
      </c>
      <c r="E123" s="361"/>
      <c r="H123" s="246" t="s">
        <v>290</v>
      </c>
      <c r="K123" s="1054" t="s">
        <v>850</v>
      </c>
      <c r="L123" s="909"/>
      <c r="M123" s="159"/>
    </row>
    <row r="124" spans="1:17">
      <c r="D124" s="1033">
        <f>D116</f>
        <v>681927605</v>
      </c>
      <c r="E124" s="299"/>
      <c r="F124" s="472" t="str">
        <f>"-"</f>
        <v>-</v>
      </c>
      <c r="G124" s="472"/>
      <c r="H124" s="1033">
        <f>E61</f>
        <v>682393370</v>
      </c>
      <c r="I124" s="472" t="str">
        <f>"="</f>
        <v>=</v>
      </c>
      <c r="J124" s="472"/>
      <c r="K124" s="765">
        <f>(D124-H124)-14971</f>
        <v>-480736</v>
      </c>
      <c r="L124" s="159"/>
      <c r="M124" s="159"/>
    </row>
    <row r="125" spans="1:17">
      <c r="D125" s="299"/>
      <c r="E125" s="299"/>
      <c r="F125" s="472"/>
      <c r="G125" s="472"/>
      <c r="H125" s="299"/>
      <c r="I125" s="472"/>
      <c r="J125" s="472"/>
      <c r="K125" s="775"/>
      <c r="L125" s="159"/>
      <c r="M125" s="159"/>
    </row>
    <row r="126" spans="1:17">
      <c r="D126" s="299"/>
      <c r="E126" s="299"/>
      <c r="F126" s="472"/>
      <c r="G126" s="472"/>
      <c r="H126" s="299"/>
      <c r="I126" s="472"/>
      <c r="J126" s="472"/>
      <c r="K126" s="775"/>
      <c r="L126" s="159"/>
      <c r="M126" s="159"/>
    </row>
    <row r="127" spans="1:17">
      <c r="D127" s="910"/>
      <c r="E127" s="910"/>
      <c r="F127" s="472"/>
      <c r="G127" s="472"/>
      <c r="H127" s="775"/>
      <c r="I127" s="783"/>
      <c r="J127" s="472"/>
      <c r="K127" s="775"/>
      <c r="L127" s="159"/>
      <c r="M127" s="159"/>
    </row>
    <row r="128" spans="1:17">
      <c r="D128" s="782" t="s">
        <v>240</v>
      </c>
      <c r="E128" s="782"/>
      <c r="F128" s="472"/>
      <c r="G128" s="472"/>
      <c r="H128" s="775"/>
      <c r="I128" s="472"/>
      <c r="J128" s="472"/>
      <c r="K128" s="775"/>
      <c r="L128" s="159"/>
      <c r="M128" s="159"/>
      <c r="N128" s="159"/>
      <c r="O128" s="159"/>
      <c r="P128" s="159"/>
      <c r="Q128" s="159"/>
    </row>
    <row r="129" spans="4:13">
      <c r="D129" s="782" t="s">
        <v>288</v>
      </c>
      <c r="E129" s="782"/>
      <c r="F129" s="472"/>
      <c r="G129" s="472"/>
      <c r="H129" s="1034">
        <v>3.0000000000000001E-3</v>
      </c>
      <c r="I129" s="472"/>
      <c r="J129" s="472"/>
      <c r="K129" s="775"/>
    </row>
    <row r="130" spans="4:13">
      <c r="D130" s="911" t="s">
        <v>221</v>
      </c>
      <c r="E130" s="911"/>
      <c r="F130" s="472" t="s">
        <v>241</v>
      </c>
      <c r="G130" s="472"/>
      <c r="H130" s="472" t="s">
        <v>242</v>
      </c>
      <c r="I130" s="911" t="s">
        <v>243</v>
      </c>
      <c r="J130" s="911"/>
      <c r="K130" s="472"/>
      <c r="L130" s="911" t="s">
        <v>244</v>
      </c>
      <c r="M130" s="345" t="s">
        <v>179</v>
      </c>
    </row>
    <row r="131" spans="4:13">
      <c r="D131" s="472"/>
      <c r="E131" s="472"/>
      <c r="F131" s="472"/>
      <c r="G131" s="472"/>
      <c r="H131" s="472"/>
      <c r="I131" s="472" t="s">
        <v>245</v>
      </c>
      <c r="J131" s="472"/>
      <c r="K131" s="472" t="s">
        <v>246</v>
      </c>
      <c r="L131" s="472"/>
      <c r="M131" s="472"/>
    </row>
    <row r="132" spans="4:13">
      <c r="D132" s="246" t="s">
        <v>233</v>
      </c>
      <c r="F132" s="246" t="s">
        <v>185</v>
      </c>
      <c r="H132" s="762">
        <f>+K124/12</f>
        <v>-40061.333333333336</v>
      </c>
      <c r="I132" s="912">
        <f>+H129</f>
        <v>3.0000000000000001E-3</v>
      </c>
      <c r="J132" s="912"/>
      <c r="K132" s="246">
        <v>11.5</v>
      </c>
      <c r="L132" s="762">
        <f t="shared" ref="L132:L143" si="8">+K132*I132*H132</f>
        <v>-1382.1160000000002</v>
      </c>
      <c r="M132" s="762">
        <f t="shared" ref="M132:M143" si="9">+H132+L132</f>
        <v>-41443.449333333338</v>
      </c>
    </row>
    <row r="133" spans="4:13">
      <c r="D133" s="246" t="s">
        <v>234</v>
      </c>
      <c r="F133" s="246" t="str">
        <f t="shared" ref="F133:F138" si="10">+F132</f>
        <v>Year 1</v>
      </c>
      <c r="H133" s="775">
        <f t="shared" ref="H133:I143" si="11">+H132</f>
        <v>-40061.333333333336</v>
      </c>
      <c r="I133" s="913">
        <f t="shared" si="11"/>
        <v>3.0000000000000001E-3</v>
      </c>
      <c r="J133" s="913"/>
      <c r="K133" s="246">
        <f t="shared" ref="K133:K143" si="12">+K132-1</f>
        <v>10.5</v>
      </c>
      <c r="L133" s="762">
        <f t="shared" si="8"/>
        <v>-1261.932</v>
      </c>
      <c r="M133" s="762">
        <f t="shared" si="9"/>
        <v>-41323.265333333336</v>
      </c>
    </row>
    <row r="134" spans="4:13">
      <c r="D134" s="246" t="s">
        <v>235</v>
      </c>
      <c r="F134" s="246" t="str">
        <f t="shared" si="10"/>
        <v>Year 1</v>
      </c>
      <c r="H134" s="775">
        <f t="shared" si="11"/>
        <v>-40061.333333333336</v>
      </c>
      <c r="I134" s="913">
        <f t="shared" si="11"/>
        <v>3.0000000000000001E-3</v>
      </c>
      <c r="J134" s="913"/>
      <c r="K134" s="246">
        <f t="shared" si="12"/>
        <v>9.5</v>
      </c>
      <c r="L134" s="762">
        <f t="shared" si="8"/>
        <v>-1141.748</v>
      </c>
      <c r="M134" s="762">
        <f t="shared" si="9"/>
        <v>-41203.081333333335</v>
      </c>
    </row>
    <row r="135" spans="4:13">
      <c r="D135" s="246" t="s">
        <v>236</v>
      </c>
      <c r="F135" s="246" t="str">
        <f t="shared" si="10"/>
        <v>Year 1</v>
      </c>
      <c r="H135" s="775">
        <f t="shared" si="11"/>
        <v>-40061.333333333336</v>
      </c>
      <c r="I135" s="913">
        <f t="shared" si="11"/>
        <v>3.0000000000000001E-3</v>
      </c>
      <c r="J135" s="913"/>
      <c r="K135" s="246">
        <f t="shared" si="12"/>
        <v>8.5</v>
      </c>
      <c r="L135" s="762">
        <f t="shared" si="8"/>
        <v>-1021.5640000000002</v>
      </c>
      <c r="M135" s="762">
        <f t="shared" si="9"/>
        <v>-41082.897333333334</v>
      </c>
    </row>
    <row r="136" spans="4:13">
      <c r="D136" s="246" t="s">
        <v>237</v>
      </c>
      <c r="F136" s="246" t="str">
        <f t="shared" si="10"/>
        <v>Year 1</v>
      </c>
      <c r="H136" s="775">
        <f t="shared" si="11"/>
        <v>-40061.333333333336</v>
      </c>
      <c r="I136" s="913">
        <f t="shared" si="11"/>
        <v>3.0000000000000001E-3</v>
      </c>
      <c r="J136" s="913"/>
      <c r="K136" s="246">
        <f t="shared" si="12"/>
        <v>7.5</v>
      </c>
      <c r="L136" s="762">
        <f t="shared" si="8"/>
        <v>-901.38</v>
      </c>
      <c r="M136" s="762">
        <f t="shared" si="9"/>
        <v>-40962.713333333333</v>
      </c>
    </row>
    <row r="137" spans="4:13">
      <c r="D137" s="246" t="s">
        <v>238</v>
      </c>
      <c r="F137" s="246" t="str">
        <f t="shared" si="10"/>
        <v>Year 1</v>
      </c>
      <c r="H137" s="775">
        <f t="shared" si="11"/>
        <v>-40061.333333333336</v>
      </c>
      <c r="I137" s="913">
        <f t="shared" si="11"/>
        <v>3.0000000000000001E-3</v>
      </c>
      <c r="J137" s="913"/>
      <c r="K137" s="246">
        <f t="shared" si="12"/>
        <v>6.5</v>
      </c>
      <c r="L137" s="762">
        <f t="shared" si="8"/>
        <v>-781.19600000000003</v>
      </c>
      <c r="M137" s="762">
        <f t="shared" si="9"/>
        <v>-40842.529333333339</v>
      </c>
    </row>
    <row r="138" spans="4:13">
      <c r="D138" s="246" t="s">
        <v>239</v>
      </c>
      <c r="F138" s="246" t="str">
        <f t="shared" si="10"/>
        <v>Year 1</v>
      </c>
      <c r="H138" s="775">
        <f t="shared" si="11"/>
        <v>-40061.333333333336</v>
      </c>
      <c r="I138" s="913">
        <f t="shared" si="11"/>
        <v>3.0000000000000001E-3</v>
      </c>
      <c r="J138" s="913"/>
      <c r="K138" s="246">
        <f t="shared" si="12"/>
        <v>5.5</v>
      </c>
      <c r="L138" s="762">
        <f t="shared" si="8"/>
        <v>-661.01200000000006</v>
      </c>
      <c r="M138" s="762">
        <f t="shared" si="9"/>
        <v>-40722.345333333338</v>
      </c>
    </row>
    <row r="139" spans="4:13">
      <c r="D139" s="246" t="s">
        <v>229</v>
      </c>
      <c r="F139" s="246" t="s">
        <v>214</v>
      </c>
      <c r="H139" s="775">
        <f t="shared" si="11"/>
        <v>-40061.333333333336</v>
      </c>
      <c r="I139" s="913">
        <f t="shared" si="11"/>
        <v>3.0000000000000001E-3</v>
      </c>
      <c r="J139" s="913"/>
      <c r="K139" s="246">
        <f t="shared" si="12"/>
        <v>4.5</v>
      </c>
      <c r="L139" s="762">
        <f t="shared" si="8"/>
        <v>-540.82799999999997</v>
      </c>
      <c r="M139" s="762">
        <f t="shared" si="9"/>
        <v>-40602.161333333337</v>
      </c>
    </row>
    <row r="140" spans="4:13">
      <c r="D140" s="246" t="s">
        <v>230</v>
      </c>
      <c r="F140" s="246" t="str">
        <f>+F139</f>
        <v>Year 2</v>
      </c>
      <c r="H140" s="775">
        <f t="shared" si="11"/>
        <v>-40061.333333333336</v>
      </c>
      <c r="I140" s="913">
        <f t="shared" si="11"/>
        <v>3.0000000000000001E-3</v>
      </c>
      <c r="J140" s="913"/>
      <c r="K140" s="246">
        <f t="shared" si="12"/>
        <v>3.5</v>
      </c>
      <c r="L140" s="762">
        <f t="shared" si="8"/>
        <v>-420.64400000000006</v>
      </c>
      <c r="M140" s="762">
        <f t="shared" si="9"/>
        <v>-40481.977333333336</v>
      </c>
    </row>
    <row r="141" spans="4:13">
      <c r="D141" s="246" t="s">
        <v>231</v>
      </c>
      <c r="F141" s="246" t="str">
        <f>+F140</f>
        <v>Year 2</v>
      </c>
      <c r="H141" s="775">
        <f t="shared" si="11"/>
        <v>-40061.333333333336</v>
      </c>
      <c r="I141" s="913">
        <f t="shared" si="11"/>
        <v>3.0000000000000001E-3</v>
      </c>
      <c r="J141" s="913"/>
      <c r="K141" s="246">
        <f t="shared" si="12"/>
        <v>2.5</v>
      </c>
      <c r="L141" s="762">
        <f t="shared" si="8"/>
        <v>-300.45999999999998</v>
      </c>
      <c r="M141" s="762">
        <f t="shared" si="9"/>
        <v>-40361.793333333335</v>
      </c>
    </row>
    <row r="142" spans="4:13">
      <c r="D142" s="246" t="s">
        <v>232</v>
      </c>
      <c r="F142" s="246" t="str">
        <f>+F141</f>
        <v>Year 2</v>
      </c>
      <c r="H142" s="775">
        <f t="shared" si="11"/>
        <v>-40061.333333333336</v>
      </c>
      <c r="I142" s="913">
        <f t="shared" si="11"/>
        <v>3.0000000000000001E-3</v>
      </c>
      <c r="J142" s="913"/>
      <c r="K142" s="246">
        <f t="shared" si="12"/>
        <v>1.5</v>
      </c>
      <c r="L142" s="762">
        <f t="shared" si="8"/>
        <v>-180.27600000000004</v>
      </c>
      <c r="M142" s="762">
        <f t="shared" si="9"/>
        <v>-40241.609333333334</v>
      </c>
    </row>
    <row r="143" spans="4:13">
      <c r="D143" s="246" t="s">
        <v>226</v>
      </c>
      <c r="F143" s="246" t="str">
        <f>+F142</f>
        <v>Year 2</v>
      </c>
      <c r="H143" s="775">
        <f t="shared" si="11"/>
        <v>-40061.333333333336</v>
      </c>
      <c r="I143" s="913">
        <f t="shared" si="11"/>
        <v>3.0000000000000001E-3</v>
      </c>
      <c r="J143" s="913"/>
      <c r="K143" s="246">
        <f t="shared" si="12"/>
        <v>0.5</v>
      </c>
      <c r="L143" s="762">
        <f t="shared" si="8"/>
        <v>-60.092000000000006</v>
      </c>
      <c r="M143" s="762">
        <f t="shared" si="9"/>
        <v>-40121.425333333333</v>
      </c>
    </row>
    <row r="144" spans="4:13">
      <c r="D144" s="246" t="s">
        <v>493</v>
      </c>
      <c r="H144" s="775">
        <f>SUM(H132:H143)</f>
        <v>-480735.99999999994</v>
      </c>
      <c r="M144" s="762">
        <f>SUM(M132:M143)</f>
        <v>-489389.24800000002</v>
      </c>
    </row>
    <row r="145" spans="4:14">
      <c r="H145" s="775"/>
      <c r="M145" s="762"/>
    </row>
    <row r="146" spans="4:14">
      <c r="H146" s="911" t="s">
        <v>247</v>
      </c>
      <c r="I146" s="472" t="s">
        <v>244</v>
      </c>
      <c r="J146" s="472"/>
      <c r="K146" s="302" t="s">
        <v>650</v>
      </c>
      <c r="L146" s="472" t="s">
        <v>247</v>
      </c>
    </row>
    <row r="147" spans="4:14">
      <c r="D147" s="246" t="str">
        <f t="shared" ref="D147:D158" si="13">+D132</f>
        <v>Jun</v>
      </c>
      <c r="F147" s="246" t="str">
        <f>+F143</f>
        <v>Year 2</v>
      </c>
      <c r="H147" s="775">
        <f>+M144</f>
        <v>-489389.24800000002</v>
      </c>
      <c r="I147" s="913">
        <f>+I143</f>
        <v>3.0000000000000001E-3</v>
      </c>
      <c r="J147" s="913"/>
      <c r="K147" s="762">
        <f>-PMT(I147,12,M144)</f>
        <v>-41582.062135251865</v>
      </c>
      <c r="L147" s="762">
        <f t="shared" ref="L147:L158" si="14">+H147+H147*I147-K147</f>
        <v>-449275.35360874812</v>
      </c>
    </row>
    <row r="148" spans="4:14">
      <c r="D148" s="246" t="str">
        <f t="shared" si="13"/>
        <v>Jul</v>
      </c>
      <c r="F148" s="246" t="str">
        <f t="shared" ref="F148:F153" si="15">+F147</f>
        <v>Year 2</v>
      </c>
      <c r="H148" s="775">
        <f t="shared" ref="H148:H158" si="16">+L147</f>
        <v>-449275.35360874812</v>
      </c>
      <c r="I148" s="913">
        <f t="shared" ref="I148:I158" si="17">+I147</f>
        <v>3.0000000000000001E-3</v>
      </c>
      <c r="J148" s="913"/>
      <c r="K148" s="775">
        <f t="shared" ref="K148:K158" si="18">+K147</f>
        <v>-41582.062135251865</v>
      </c>
      <c r="L148" s="762">
        <f t="shared" si="14"/>
        <v>-409041.11753432249</v>
      </c>
    </row>
    <row r="149" spans="4:14">
      <c r="D149" s="246" t="str">
        <f t="shared" si="13"/>
        <v>Aug</v>
      </c>
      <c r="F149" s="246" t="str">
        <f t="shared" si="15"/>
        <v>Year 2</v>
      </c>
      <c r="H149" s="775">
        <f t="shared" si="16"/>
        <v>-409041.11753432249</v>
      </c>
      <c r="I149" s="913">
        <f t="shared" si="17"/>
        <v>3.0000000000000001E-3</v>
      </c>
      <c r="J149" s="913"/>
      <c r="K149" s="775">
        <f t="shared" si="18"/>
        <v>-41582.062135251865</v>
      </c>
      <c r="L149" s="762">
        <f t="shared" si="14"/>
        <v>-368686.17875167355</v>
      </c>
    </row>
    <row r="150" spans="4:14">
      <c r="D150" s="246" t="str">
        <f t="shared" si="13"/>
        <v>Sep</v>
      </c>
      <c r="F150" s="246" t="str">
        <f t="shared" si="15"/>
        <v>Year 2</v>
      </c>
      <c r="H150" s="775">
        <f t="shared" si="16"/>
        <v>-368686.17875167355</v>
      </c>
      <c r="I150" s="913">
        <f t="shared" si="17"/>
        <v>3.0000000000000001E-3</v>
      </c>
      <c r="J150" s="913"/>
      <c r="K150" s="775">
        <f t="shared" si="18"/>
        <v>-41582.062135251865</v>
      </c>
      <c r="L150" s="762">
        <f t="shared" si="14"/>
        <v>-328210.1751526767</v>
      </c>
      <c r="N150" s="914"/>
    </row>
    <row r="151" spans="4:14">
      <c r="D151" s="246" t="str">
        <f t="shared" si="13"/>
        <v>Oct</v>
      </c>
      <c r="F151" s="246" t="str">
        <f t="shared" si="15"/>
        <v>Year 2</v>
      </c>
      <c r="H151" s="775">
        <f t="shared" si="16"/>
        <v>-328210.1751526767</v>
      </c>
      <c r="I151" s="913">
        <f t="shared" si="17"/>
        <v>3.0000000000000001E-3</v>
      </c>
      <c r="J151" s="913"/>
      <c r="K151" s="775">
        <f t="shared" si="18"/>
        <v>-41582.062135251865</v>
      </c>
      <c r="L151" s="762">
        <f t="shared" si="14"/>
        <v>-287612.74354288285</v>
      </c>
      <c r="N151" s="913"/>
    </row>
    <row r="152" spans="4:14">
      <c r="D152" s="246" t="str">
        <f t="shared" si="13"/>
        <v>Nov</v>
      </c>
      <c r="F152" s="246" t="str">
        <f t="shared" si="15"/>
        <v>Year 2</v>
      </c>
      <c r="H152" s="775">
        <f t="shared" si="16"/>
        <v>-287612.74354288285</v>
      </c>
      <c r="I152" s="913">
        <f t="shared" si="17"/>
        <v>3.0000000000000001E-3</v>
      </c>
      <c r="J152" s="913"/>
      <c r="K152" s="775">
        <f t="shared" si="18"/>
        <v>-41582.062135251865</v>
      </c>
      <c r="L152" s="762">
        <f t="shared" si="14"/>
        <v>-246893.5196382596</v>
      </c>
    </row>
    <row r="153" spans="4:14">
      <c r="D153" s="246" t="str">
        <f t="shared" si="13"/>
        <v>Dec</v>
      </c>
      <c r="F153" s="246" t="str">
        <f t="shared" si="15"/>
        <v>Year 2</v>
      </c>
      <c r="H153" s="775">
        <f t="shared" si="16"/>
        <v>-246893.5196382596</v>
      </c>
      <c r="I153" s="913">
        <f t="shared" si="17"/>
        <v>3.0000000000000001E-3</v>
      </c>
      <c r="J153" s="913"/>
      <c r="K153" s="775">
        <f t="shared" si="18"/>
        <v>-41582.062135251865</v>
      </c>
      <c r="L153" s="762">
        <f t="shared" si="14"/>
        <v>-206052.13806192251</v>
      </c>
    </row>
    <row r="154" spans="4:14">
      <c r="D154" s="246" t="str">
        <f t="shared" si="13"/>
        <v>Jan</v>
      </c>
      <c r="F154" s="246" t="s">
        <v>217</v>
      </c>
      <c r="H154" s="775">
        <f t="shared" si="16"/>
        <v>-206052.13806192251</v>
      </c>
      <c r="I154" s="913">
        <f t="shared" si="17"/>
        <v>3.0000000000000001E-3</v>
      </c>
      <c r="J154" s="913"/>
      <c r="K154" s="775">
        <f t="shared" si="18"/>
        <v>-41582.062135251865</v>
      </c>
      <c r="L154" s="762">
        <f t="shared" si="14"/>
        <v>-165088.2323408564</v>
      </c>
    </row>
    <row r="155" spans="4:14">
      <c r="D155" s="246" t="str">
        <f t="shared" si="13"/>
        <v>Feb</v>
      </c>
      <c r="F155" s="246" t="str">
        <f>+F154</f>
        <v>Year 3</v>
      </c>
      <c r="H155" s="775">
        <f t="shared" si="16"/>
        <v>-165088.2323408564</v>
      </c>
      <c r="I155" s="913">
        <f t="shared" si="17"/>
        <v>3.0000000000000001E-3</v>
      </c>
      <c r="J155" s="913"/>
      <c r="K155" s="775">
        <f t="shared" si="18"/>
        <v>-41582.062135251865</v>
      </c>
      <c r="L155" s="762">
        <f t="shared" si="14"/>
        <v>-124001.43490262709</v>
      </c>
    </row>
    <row r="156" spans="4:14">
      <c r="D156" s="246" t="str">
        <f t="shared" si="13"/>
        <v>Mar</v>
      </c>
      <c r="F156" s="246" t="str">
        <f>+F155</f>
        <v>Year 3</v>
      </c>
      <c r="H156" s="775">
        <f t="shared" si="16"/>
        <v>-124001.43490262709</v>
      </c>
      <c r="I156" s="913">
        <f t="shared" si="17"/>
        <v>3.0000000000000001E-3</v>
      </c>
      <c r="J156" s="913"/>
      <c r="K156" s="775">
        <f t="shared" si="18"/>
        <v>-41582.062135251865</v>
      </c>
      <c r="L156" s="762">
        <f t="shared" si="14"/>
        <v>-82791.377072083109</v>
      </c>
    </row>
    <row r="157" spans="4:14">
      <c r="D157" s="246" t="str">
        <f t="shared" si="13"/>
        <v>Apr</v>
      </c>
      <c r="F157" s="246" t="str">
        <f>+F156</f>
        <v>Year 3</v>
      </c>
      <c r="H157" s="775">
        <f t="shared" si="16"/>
        <v>-82791.377072083109</v>
      </c>
      <c r="I157" s="913">
        <f t="shared" si="17"/>
        <v>3.0000000000000001E-3</v>
      </c>
      <c r="J157" s="913"/>
      <c r="K157" s="775">
        <f t="shared" si="18"/>
        <v>-41582.062135251865</v>
      </c>
      <c r="L157" s="762">
        <f t="shared" si="14"/>
        <v>-41457.68906804749</v>
      </c>
    </row>
    <row r="158" spans="4:14">
      <c r="D158" s="246" t="str">
        <f t="shared" si="13"/>
        <v>May</v>
      </c>
      <c r="F158" s="246" t="str">
        <f>+F157</f>
        <v>Year 3</v>
      </c>
      <c r="H158" s="775">
        <f t="shared" si="16"/>
        <v>-41457.68906804749</v>
      </c>
      <c r="I158" s="913">
        <f t="shared" si="17"/>
        <v>3.0000000000000001E-3</v>
      </c>
      <c r="J158" s="913"/>
      <c r="K158" s="775">
        <f t="shared" si="18"/>
        <v>-41582.062135251865</v>
      </c>
      <c r="L158" s="762">
        <f t="shared" si="14"/>
        <v>2.3283064365386963E-10</v>
      </c>
    </row>
    <row r="159" spans="4:14">
      <c r="D159" s="246" t="s">
        <v>291</v>
      </c>
      <c r="K159" s="775">
        <f>SUM(K147:K158)</f>
        <v>-498984.74562302249</v>
      </c>
    </row>
    <row r="161" spans="1:15">
      <c r="D161" s="782" t="s">
        <v>511</v>
      </c>
      <c r="E161" s="782"/>
      <c r="F161" s="472"/>
      <c r="G161" s="472"/>
      <c r="H161" s="472"/>
      <c r="I161" s="472"/>
      <c r="J161" s="472"/>
      <c r="K161" s="775">
        <f>+K159</f>
        <v>-498984.74562302249</v>
      </c>
      <c r="L161" s="472"/>
      <c r="N161" s="472"/>
      <c r="O161" s="775"/>
    </row>
    <row r="162" spans="1:15">
      <c r="D162" s="1055" t="s">
        <v>215</v>
      </c>
      <c r="E162" s="782"/>
      <c r="F162" s="472"/>
      <c r="G162" s="472"/>
      <c r="H162" s="472"/>
      <c r="I162" s="472"/>
      <c r="J162" s="472"/>
      <c r="K162" s="915">
        <f>'Appendix A'!H274+'Appendix A'!H276</f>
        <v>726491033.27156365</v>
      </c>
      <c r="L162" s="472"/>
      <c r="N162" s="781"/>
      <c r="O162" s="299"/>
    </row>
    <row r="163" spans="1:15">
      <c r="D163" s="782" t="s">
        <v>216</v>
      </c>
      <c r="E163" s="782"/>
      <c r="F163" s="472"/>
      <c r="G163" s="472"/>
      <c r="H163" s="472"/>
      <c r="I163" s="472"/>
      <c r="J163" s="472"/>
      <c r="K163" s="775">
        <f>+K161+K162</f>
        <v>725992048.52594066</v>
      </c>
      <c r="L163" s="472"/>
      <c r="N163" s="345"/>
      <c r="O163" s="299"/>
    </row>
    <row r="164" spans="1:15">
      <c r="D164" s="766"/>
      <c r="E164" s="766"/>
      <c r="F164" s="472"/>
      <c r="G164" s="472"/>
      <c r="H164" s="472"/>
      <c r="I164" s="472"/>
      <c r="J164" s="472"/>
      <c r="K164" s="775"/>
      <c r="L164" s="472"/>
      <c r="N164" s="345"/>
      <c r="O164" s="299"/>
    </row>
    <row r="165" spans="1:15">
      <c r="D165" s="766"/>
      <c r="E165" s="766"/>
      <c r="F165" s="472"/>
      <c r="G165" s="472"/>
      <c r="H165" s="472"/>
      <c r="I165" s="472"/>
      <c r="J165" s="472"/>
      <c r="K165" s="775"/>
      <c r="L165" s="472"/>
      <c r="M165" s="775"/>
      <c r="N165" s="345"/>
      <c r="O165" s="299"/>
    </row>
    <row r="166" spans="1:15">
      <c r="A166" s="472">
        <f>+A18</f>
        <v>10</v>
      </c>
      <c r="B166" s="472" t="str">
        <f>+B18</f>
        <v>May</v>
      </c>
      <c r="C166" s="472" t="str">
        <f>+C18</f>
        <v>Year 3</v>
      </c>
      <c r="D166" s="361" t="str">
        <f>+D18</f>
        <v>Post results of Step 9 on PJM web site</v>
      </c>
      <c r="E166" s="361"/>
      <c r="N166" s="345"/>
      <c r="O166" s="159"/>
    </row>
    <row r="167" spans="1:15">
      <c r="D167" s="765"/>
      <c r="E167" s="765"/>
      <c r="F167" s="246" t="str">
        <f>+D52</f>
        <v>Post results of Step 3 on PJM web site</v>
      </c>
      <c r="N167" s="159"/>
      <c r="O167" s="159"/>
    </row>
    <row r="168" spans="1:15">
      <c r="D168" s="769"/>
      <c r="E168" s="769"/>
      <c r="F168" s="766"/>
      <c r="G168" s="766"/>
      <c r="H168" s="766"/>
      <c r="I168" s="766"/>
      <c r="J168" s="766"/>
      <c r="N168" s="159"/>
      <c r="O168" s="159"/>
    </row>
    <row r="169" spans="1:15">
      <c r="D169" s="765"/>
      <c r="E169" s="765"/>
      <c r="N169" s="159"/>
      <c r="O169" s="159"/>
    </row>
    <row r="170" spans="1:15">
      <c r="A170" s="472">
        <f>+A19</f>
        <v>11</v>
      </c>
      <c r="B170" s="472" t="str">
        <f>+B19</f>
        <v>June</v>
      </c>
      <c r="C170" s="472" t="str">
        <f>+C19</f>
        <v>Year 3</v>
      </c>
      <c r="D170" s="361" t="str">
        <f>+D19</f>
        <v>Results of Step 9 go into effect</v>
      </c>
      <c r="E170" s="361"/>
    </row>
    <row r="171" spans="1:15">
      <c r="D171" s="783">
        <f>+D167</f>
        <v>0</v>
      </c>
      <c r="E171" s="783"/>
    </row>
    <row r="173" spans="1:15">
      <c r="B173" s="246"/>
    </row>
    <row r="350" spans="1:11">
      <c r="A350" s="491"/>
    </row>
    <row r="351" spans="1:11">
      <c r="A351" s="491"/>
    </row>
    <row r="352" spans="1:11">
      <c r="A352" s="491"/>
      <c r="B352" s="491"/>
      <c r="C352" s="491"/>
      <c r="D352" s="272"/>
      <c r="E352" s="272"/>
      <c r="F352" s="272"/>
      <c r="G352" s="272"/>
      <c r="H352" s="272"/>
      <c r="I352" s="272"/>
      <c r="J352" s="272"/>
      <c r="K352" s="272"/>
    </row>
    <row r="353" spans="1:11">
      <c r="A353" s="491"/>
      <c r="B353" s="491"/>
      <c r="C353" s="491"/>
      <c r="D353" s="272"/>
      <c r="E353" s="272"/>
      <c r="F353" s="272"/>
      <c r="G353" s="272"/>
      <c r="H353" s="272"/>
      <c r="I353" s="272"/>
      <c r="J353" s="272"/>
      <c r="K353" s="272"/>
    </row>
    <row r="354" spans="1:11">
      <c r="A354" s="491"/>
      <c r="B354" s="491"/>
      <c r="C354" s="491"/>
      <c r="D354" s="272"/>
      <c r="E354" s="272"/>
      <c r="F354" s="272"/>
      <c r="G354" s="272"/>
      <c r="H354" s="272"/>
      <c r="I354" s="272"/>
      <c r="J354" s="272"/>
      <c r="K354" s="272"/>
    </row>
    <row r="355" spans="1:11">
      <c r="A355" s="491"/>
      <c r="B355" s="491"/>
      <c r="C355" s="491"/>
      <c r="D355" s="272"/>
      <c r="E355" s="272"/>
      <c r="F355" s="272"/>
      <c r="G355" s="272"/>
      <c r="H355" s="272"/>
      <c r="I355" s="272"/>
      <c r="J355" s="272"/>
      <c r="K355" s="272"/>
    </row>
    <row r="356" spans="1:11">
      <c r="A356" s="491"/>
      <c r="B356" s="491"/>
      <c r="C356" s="491"/>
      <c r="D356" s="272"/>
      <c r="E356" s="272"/>
      <c r="F356" s="272"/>
      <c r="G356" s="272"/>
      <c r="H356" s="272"/>
      <c r="I356" s="272"/>
      <c r="J356" s="272"/>
      <c r="K356" s="272"/>
    </row>
    <row r="357" spans="1:11">
      <c r="A357" s="491"/>
      <c r="B357" s="491"/>
      <c r="C357" s="491"/>
      <c r="D357" s="272"/>
      <c r="E357" s="272"/>
      <c r="F357" s="272"/>
      <c r="G357" s="272"/>
      <c r="H357" s="272"/>
      <c r="I357" s="272"/>
      <c r="J357" s="272"/>
      <c r="K357" s="272"/>
    </row>
    <row r="358" spans="1:11">
      <c r="A358" s="491"/>
      <c r="B358" s="491"/>
      <c r="C358" s="491"/>
      <c r="D358" s="272"/>
      <c r="E358" s="272"/>
      <c r="F358" s="272"/>
      <c r="G358" s="272"/>
      <c r="H358" s="272"/>
      <c r="I358" s="272"/>
      <c r="J358" s="272"/>
      <c r="K358" s="272"/>
    </row>
    <row r="359" spans="1:11">
      <c r="B359" s="491"/>
      <c r="C359" s="491"/>
      <c r="D359" s="272"/>
      <c r="E359" s="272"/>
      <c r="F359" s="272"/>
      <c r="G359" s="272"/>
      <c r="H359" s="272"/>
      <c r="I359" s="272"/>
      <c r="J359" s="272"/>
      <c r="K359" s="272"/>
    </row>
    <row r="360" spans="1:11">
      <c r="B360" s="491"/>
      <c r="C360" s="491"/>
      <c r="D360" s="272"/>
      <c r="E360" s="272"/>
      <c r="F360" s="272"/>
      <c r="G360" s="272"/>
      <c r="H360" s="272"/>
      <c r="I360" s="272"/>
      <c r="J360" s="272"/>
      <c r="K360" s="272"/>
    </row>
  </sheetData>
  <mergeCells count="11">
    <mergeCell ref="A1:M1"/>
    <mergeCell ref="A2:M2"/>
    <mergeCell ref="D89:M89"/>
    <mergeCell ref="G28:H28"/>
    <mergeCell ref="D121:M121"/>
    <mergeCell ref="D16:M16"/>
    <mergeCell ref="D17:M17"/>
    <mergeCell ref="I27:L27"/>
    <mergeCell ref="G21:I21"/>
    <mergeCell ref="G95:H95"/>
    <mergeCell ref="G66:H66"/>
  </mergeCells>
  <printOptions horizontalCentered="1"/>
  <pageMargins left="0.45" right="0.28000000000000003" top="1" bottom="0.5" header="0.5" footer="0.5"/>
  <pageSetup scale="10" fitToHeight="0" orientation="portrait"/>
  <headerFooter alignWithMargins="0">
    <oddHeader>&amp;L&amp;"Arial,Bold"&amp;11
&amp;R&amp;14ATTACHMENT H-13A
Page &amp;P of &amp;N</oddHeader>
  </headerFooter>
  <rowBreaks count="2" manualBreakCount="2">
    <brk id="63" max="12" man="1"/>
    <brk id="127"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D314"/>
  <sheetViews>
    <sheetView zoomScale="85" zoomScaleNormal="85" workbookViewId="0"/>
  </sheetViews>
  <sheetFormatPr defaultColWidth="8.7109375" defaultRowHeight="12.75"/>
  <cols>
    <col min="1" max="1" width="9.140625" style="157" customWidth="1"/>
    <col min="2" max="2" width="47.7109375" style="244" customWidth="1"/>
    <col min="3" max="3" width="17" customWidth="1"/>
    <col min="4" max="5" width="13" style="157" customWidth="1"/>
    <col min="6" max="6" width="12.140625" customWidth="1"/>
    <col min="7" max="7" width="10.7109375" bestFit="1" customWidth="1"/>
    <col min="8" max="8" width="9.85546875" bestFit="1" customWidth="1"/>
    <col min="9" max="9" width="12" customWidth="1"/>
    <col min="10" max="10" width="11.7109375" customWidth="1"/>
    <col min="11" max="11" width="11.28515625" customWidth="1"/>
    <col min="12" max="12" width="10.85546875" style="248" customWidth="1"/>
    <col min="13" max="13" width="10.7109375" bestFit="1" customWidth="1"/>
    <col min="14" max="14" width="11.28515625" customWidth="1"/>
    <col min="15" max="15" width="10.7109375" bestFit="1" customWidth="1"/>
    <col min="16" max="16" width="9.85546875" bestFit="1" customWidth="1"/>
    <col min="17" max="17" width="10.7109375" bestFit="1" customWidth="1"/>
    <col min="18" max="18" width="10.85546875" bestFit="1" customWidth="1"/>
    <col min="19" max="19" width="10.7109375" bestFit="1" customWidth="1"/>
    <col min="20" max="20" width="9.85546875" bestFit="1" customWidth="1"/>
    <col min="21" max="21" width="12" hidden="1" customWidth="1"/>
    <col min="22" max="22" width="12.5703125" hidden="1" customWidth="1"/>
    <col min="23" max="23" width="11.28515625" hidden="1" customWidth="1"/>
    <col min="24" max="24" width="10.28515625" hidden="1" customWidth="1"/>
    <col min="25" max="25" width="12" hidden="1" customWidth="1"/>
    <col min="26" max="26" width="12.5703125" hidden="1" customWidth="1"/>
    <col min="27" max="27" width="11.28515625" hidden="1" customWidth="1"/>
    <col min="28" max="28" width="10.28515625" hidden="1" customWidth="1"/>
    <col min="29" max="29" width="12" hidden="1" customWidth="1"/>
    <col min="30" max="30" width="12.5703125" hidden="1" customWidth="1"/>
    <col min="31" max="31" width="11.28515625" hidden="1" customWidth="1"/>
    <col min="32" max="32" width="10.28515625" hidden="1" customWidth="1"/>
    <col min="33" max="33" width="12" hidden="1" customWidth="1"/>
    <col min="34" max="34" width="12.5703125" hidden="1" customWidth="1"/>
    <col min="35" max="35" width="11.28515625" hidden="1" customWidth="1"/>
    <col min="36" max="36" width="10.28515625" hidden="1" customWidth="1"/>
    <col min="37" max="37" width="12" hidden="1" customWidth="1"/>
    <col min="38" max="38" width="12.5703125" hidden="1" customWidth="1"/>
    <col min="39" max="39" width="11.28515625" hidden="1" customWidth="1"/>
    <col min="40" max="40" width="10.28515625" hidden="1" customWidth="1"/>
    <col min="41" max="41" width="13.7109375" bestFit="1" customWidth="1"/>
    <col min="42" max="42" width="14.140625" customWidth="1"/>
    <col min="43" max="43" width="13.5703125" customWidth="1"/>
    <col min="44" max="44" width="9.7109375" bestFit="1" customWidth="1"/>
  </cols>
  <sheetData>
    <row r="2" spans="1:43" ht="18">
      <c r="C2" s="1170" t="s">
        <v>298</v>
      </c>
      <c r="D2" s="1170"/>
      <c r="E2" s="1170"/>
      <c r="F2" s="1170"/>
      <c r="G2" s="1170"/>
      <c r="H2" s="1170"/>
      <c r="I2" s="1170"/>
      <c r="J2" s="1170"/>
      <c r="K2" s="1170"/>
      <c r="L2" s="1170"/>
      <c r="M2" s="1170"/>
      <c r="N2" s="1170"/>
      <c r="O2" s="1170"/>
      <c r="P2" s="1170"/>
      <c r="Q2" s="1170"/>
      <c r="R2" s="1170"/>
      <c r="S2" s="1170"/>
      <c r="T2" s="1170"/>
      <c r="U2" s="1170"/>
      <c r="V2" s="1170"/>
      <c r="W2" s="1170"/>
      <c r="X2" s="1170"/>
      <c r="Y2" s="1170"/>
      <c r="Z2" s="1170"/>
      <c r="AA2" s="1170"/>
      <c r="AB2" s="1170"/>
      <c r="AC2" s="1170"/>
      <c r="AD2" s="1170"/>
      <c r="AE2" s="1170"/>
      <c r="AF2" s="1170"/>
      <c r="AG2" s="1170"/>
      <c r="AH2" s="1170"/>
      <c r="AI2" s="1170"/>
      <c r="AJ2" s="1170"/>
      <c r="AK2" s="1170"/>
      <c r="AL2" s="1170"/>
      <c r="AM2" s="1170"/>
      <c r="AN2" s="1170"/>
      <c r="AO2" s="1170"/>
      <c r="AP2" s="1170"/>
      <c r="AQ2" s="1170"/>
    </row>
    <row r="5" spans="1:43">
      <c r="A5" s="157">
        <v>1</v>
      </c>
      <c r="C5" t="s">
        <v>118</v>
      </c>
    </row>
    <row r="7" spans="1:43">
      <c r="A7" s="157">
        <v>2</v>
      </c>
      <c r="C7" s="180" t="s">
        <v>306</v>
      </c>
    </row>
    <row r="8" spans="1:43">
      <c r="C8" s="180"/>
      <c r="D8" s="157" t="s">
        <v>117</v>
      </c>
    </row>
    <row r="9" spans="1:43">
      <c r="A9" s="157">
        <v>3</v>
      </c>
      <c r="C9" s="157" t="s">
        <v>393</v>
      </c>
      <c r="D9" s="157">
        <f>+'Appendix A'!A263</f>
        <v>160</v>
      </c>
      <c r="F9" s="244" t="str">
        <f>'Appendix A'!C263</f>
        <v>Net Plant Carrying Charge without Depreciation</v>
      </c>
      <c r="N9" s="249">
        <f>+'Appendix A'!H263</f>
        <v>0.17139939824618677</v>
      </c>
    </row>
    <row r="10" spans="1:43">
      <c r="A10" s="157">
        <v>4</v>
      </c>
      <c r="C10" s="157" t="s">
        <v>494</v>
      </c>
      <c r="D10" s="157">
        <f>+'Appendix A'!A272</f>
        <v>167</v>
      </c>
      <c r="F10" s="244" t="str">
        <f>+'Appendix A'!C272</f>
        <v>Net Plant Carrying Charge per 100 Basis Point in ROE without Depreciation</v>
      </c>
      <c r="N10" s="249">
        <f>+'Appendix A'!H272</f>
        <v>0.17957279512975749</v>
      </c>
    </row>
    <row r="11" spans="1:43">
      <c r="A11" s="157">
        <v>5</v>
      </c>
      <c r="B11" s="157"/>
      <c r="C11" s="157" t="s">
        <v>377</v>
      </c>
      <c r="F11" t="s">
        <v>70</v>
      </c>
      <c r="N11" s="249">
        <f>+N10-N9</f>
        <v>8.173396883570716E-3</v>
      </c>
    </row>
    <row r="12" spans="1:43">
      <c r="A12"/>
      <c r="B12" s="157"/>
      <c r="N12" s="249"/>
    </row>
    <row r="13" spans="1:43">
      <c r="A13" s="157">
        <v>6</v>
      </c>
      <c r="B13" s="157"/>
      <c r="C13" s="180" t="s">
        <v>68</v>
      </c>
      <c r="N13" s="249"/>
    </row>
    <row r="14" spans="1:43">
      <c r="A14" s="180"/>
      <c r="B14" s="157"/>
      <c r="C14" s="180"/>
      <c r="N14" s="249"/>
    </row>
    <row r="15" spans="1:43">
      <c r="A15" s="157">
        <v>7</v>
      </c>
      <c r="C15" s="157" t="s">
        <v>394</v>
      </c>
      <c r="D15" s="157">
        <f>+'Appendix A'!A264</f>
        <v>161</v>
      </c>
      <c r="F15" s="244" t="str">
        <f>+'Appendix A'!C264</f>
        <v>Net Plant Carrying Charge without Depreciation, Return, nor Income Taxes</v>
      </c>
      <c r="N15" s="249">
        <f>+'Appendix A'!H264</f>
        <v>5.8121549575521042E-2</v>
      </c>
    </row>
    <row r="16" spans="1:43">
      <c r="C16" s="157"/>
      <c r="F16" s="244"/>
      <c r="N16" s="249"/>
    </row>
    <row r="17" spans="1:56" ht="15.75">
      <c r="C17" s="268"/>
    </row>
    <row r="18" spans="1:56">
      <c r="A18" s="157">
        <v>8</v>
      </c>
      <c r="C18" s="168" t="s">
        <v>343</v>
      </c>
    </row>
    <row r="19" spans="1:56">
      <c r="A19" s="157">
        <v>9</v>
      </c>
      <c r="C19" s="168" t="s">
        <v>287</v>
      </c>
    </row>
    <row r="20" spans="1:56" ht="25.5" customHeight="1" thickBot="1">
      <c r="C20" s="269"/>
      <c r="D20" s="257"/>
      <c r="E20" s="257"/>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
      <c r="AS20" s="2"/>
      <c r="AT20" s="2"/>
      <c r="AU20" s="2"/>
      <c r="AV20" s="2"/>
      <c r="AW20" s="2"/>
      <c r="AX20" s="2"/>
      <c r="AY20" s="2"/>
      <c r="AZ20" s="2"/>
      <c r="BA20" s="2"/>
      <c r="BB20" s="2"/>
      <c r="BC20" s="2"/>
      <c r="BD20" s="2"/>
    </row>
    <row r="21" spans="1:56" ht="13.5" thickBot="1">
      <c r="A21" s="157">
        <v>10</v>
      </c>
      <c r="C21" s="270" t="s">
        <v>65</v>
      </c>
      <c r="D21" s="200"/>
      <c r="E21" s="1301" t="s">
        <v>564</v>
      </c>
      <c r="F21" s="1302"/>
      <c r="G21" s="1302"/>
      <c r="H21" s="1302"/>
      <c r="I21" s="1301" t="s">
        <v>563</v>
      </c>
      <c r="J21" s="1302"/>
      <c r="K21" s="1302"/>
      <c r="L21" s="1302"/>
      <c r="M21" s="1301" t="s">
        <v>848</v>
      </c>
      <c r="N21" s="1303"/>
      <c r="O21" s="1303"/>
      <c r="P21" s="1304"/>
      <c r="Q21" s="1301" t="s">
        <v>832</v>
      </c>
      <c r="R21" s="1303"/>
      <c r="S21" s="1303"/>
      <c r="T21" s="1304"/>
      <c r="U21" s="201" t="s">
        <v>108</v>
      </c>
      <c r="V21" s="202" t="str">
        <f>+U21</f>
        <v>Project E</v>
      </c>
      <c r="W21" s="202" t="str">
        <f>+V21</f>
        <v>Project E</v>
      </c>
      <c r="X21" s="203" t="str">
        <f>+W21</f>
        <v>Project E</v>
      </c>
      <c r="Y21" s="201" t="s">
        <v>109</v>
      </c>
      <c r="Z21" s="202" t="str">
        <f>+Y21</f>
        <v>Project F</v>
      </c>
      <c r="AA21" s="202" t="str">
        <f>+Z21</f>
        <v>Project F</v>
      </c>
      <c r="AB21" s="203" t="str">
        <f>+AA21</f>
        <v>Project F</v>
      </c>
      <c r="AC21" s="201" t="s">
        <v>110</v>
      </c>
      <c r="AD21" s="202" t="str">
        <f>+AC21</f>
        <v>Project G</v>
      </c>
      <c r="AE21" s="202" t="str">
        <f>+AD21</f>
        <v>Project G</v>
      </c>
      <c r="AF21" s="203" t="str">
        <f>+AE21</f>
        <v>Project G</v>
      </c>
      <c r="AG21" s="201" t="s">
        <v>111</v>
      </c>
      <c r="AH21" s="202" t="str">
        <f>+AG21</f>
        <v>Project H</v>
      </c>
      <c r="AI21" s="202" t="str">
        <f>+AH21</f>
        <v>Project H</v>
      </c>
      <c r="AJ21" s="203" t="str">
        <f>+AI21</f>
        <v>Project H</v>
      </c>
      <c r="AK21" s="201" t="s">
        <v>112</v>
      </c>
      <c r="AL21" s="202" t="str">
        <f>+AK21</f>
        <v>Project I</v>
      </c>
      <c r="AM21" s="202" t="str">
        <f>+AL21</f>
        <v>Project I</v>
      </c>
      <c r="AN21" s="203" t="str">
        <f>+AM21</f>
        <v>Project I</v>
      </c>
      <c r="AO21" s="255"/>
      <c r="AP21" s="199"/>
      <c r="AQ21" s="232"/>
    </row>
    <row r="22" spans="1:56" ht="25.5">
      <c r="A22" s="157">
        <f t="shared" ref="A22:A52" si="0">+A21+1</f>
        <v>11</v>
      </c>
      <c r="B22" s="158" t="s">
        <v>259</v>
      </c>
      <c r="C22" s="226" t="s">
        <v>183</v>
      </c>
      <c r="D22" s="204" t="s">
        <v>388</v>
      </c>
      <c r="E22" s="1152" t="s">
        <v>651</v>
      </c>
      <c r="F22" s="318"/>
      <c r="G22" s="317"/>
      <c r="H22" s="319"/>
      <c r="I22" s="251"/>
      <c r="J22" s="260"/>
      <c r="K22" s="260"/>
      <c r="L22" s="261"/>
      <c r="M22" s="251" t="s">
        <v>831</v>
      </c>
      <c r="N22" s="260"/>
      <c r="O22" s="260"/>
      <c r="P22" s="261"/>
      <c r="Q22" s="251" t="s">
        <v>831</v>
      </c>
      <c r="R22" s="260"/>
      <c r="S22" s="260"/>
      <c r="T22" s="261"/>
      <c r="U22" s="251"/>
      <c r="V22" s="260"/>
      <c r="W22" s="260"/>
      <c r="X22" s="261"/>
      <c r="Y22" s="251"/>
      <c r="Z22" s="260"/>
      <c r="AA22" s="260"/>
      <c r="AB22" s="261"/>
      <c r="AC22" s="251"/>
      <c r="AD22" s="260"/>
      <c r="AE22" s="260"/>
      <c r="AF22" s="261"/>
      <c r="AG22" s="251"/>
      <c r="AH22" s="260"/>
      <c r="AI22" s="260"/>
      <c r="AJ22" s="261"/>
      <c r="AK22" s="251"/>
      <c r="AL22" s="260"/>
      <c r="AM22" s="260"/>
      <c r="AN22" s="261"/>
      <c r="AO22" s="163"/>
      <c r="AP22" s="188"/>
      <c r="AQ22" s="187"/>
    </row>
    <row r="23" spans="1:56">
      <c r="A23" s="157">
        <f t="shared" si="0"/>
        <v>12</v>
      </c>
      <c r="B23" s="158" t="s">
        <v>260</v>
      </c>
      <c r="C23" s="226" t="s">
        <v>63</v>
      </c>
      <c r="D23" s="204"/>
      <c r="E23" s="1037"/>
      <c r="F23" s="281"/>
      <c r="G23" s="204"/>
      <c r="H23" s="206"/>
      <c r="I23" s="1037">
        <f>100/'9 - Depr Rates'!D9</f>
        <v>45.871559633027516</v>
      </c>
      <c r="J23" s="281"/>
      <c r="K23" s="204"/>
      <c r="L23" s="205"/>
      <c r="M23" s="324">
        <f>100/'9 - Depr Rates'!D9</f>
        <v>45.871559633027516</v>
      </c>
      <c r="N23" s="209"/>
      <c r="O23" s="204"/>
      <c r="P23" s="206"/>
      <c r="Q23" s="324">
        <f>100/'9 - Depr Rates'!D9</f>
        <v>45.871559633027516</v>
      </c>
      <c r="R23" s="209"/>
      <c r="S23" s="204"/>
      <c r="T23" s="206"/>
      <c r="U23" s="324"/>
      <c r="V23" s="209"/>
      <c r="W23" s="204"/>
      <c r="X23" s="206"/>
      <c r="Y23" s="324"/>
      <c r="Z23" s="209"/>
      <c r="AA23" s="204"/>
      <c r="AB23" s="206"/>
      <c r="AC23" s="324"/>
      <c r="AD23" s="209"/>
      <c r="AE23" s="204"/>
      <c r="AF23" s="206"/>
      <c r="AG23" s="324"/>
      <c r="AH23" s="209"/>
      <c r="AI23" s="204"/>
      <c r="AJ23" s="206"/>
      <c r="AK23" s="324"/>
      <c r="AL23" s="209"/>
      <c r="AM23" s="204"/>
      <c r="AN23" s="206"/>
      <c r="AO23" s="163"/>
      <c r="AP23" s="188"/>
      <c r="AQ23" s="187"/>
    </row>
    <row r="24" spans="1:56" ht="38.25">
      <c r="A24" s="157">
        <f t="shared" si="0"/>
        <v>13</v>
      </c>
      <c r="B24" s="158" t="s">
        <v>261</v>
      </c>
      <c r="C24" s="226" t="s">
        <v>64</v>
      </c>
      <c r="D24" s="204" t="s">
        <v>388</v>
      </c>
      <c r="E24" s="1038" t="s">
        <v>651</v>
      </c>
      <c r="F24" s="179"/>
      <c r="G24" s="204"/>
      <c r="H24" s="206"/>
      <c r="I24" s="251"/>
      <c r="J24" s="204"/>
      <c r="K24" s="204"/>
      <c r="L24" s="205"/>
      <c r="M24" s="251" t="s">
        <v>651</v>
      </c>
      <c r="N24" s="204"/>
      <c r="O24" s="204"/>
      <c r="P24" s="206"/>
      <c r="Q24" s="251" t="s">
        <v>651</v>
      </c>
      <c r="R24" s="204"/>
      <c r="S24" s="204"/>
      <c r="T24" s="206"/>
      <c r="U24" s="251"/>
      <c r="V24" s="204"/>
      <c r="W24" s="204"/>
      <c r="X24" s="206"/>
      <c r="Y24" s="251"/>
      <c r="Z24" s="204"/>
      <c r="AA24" s="204"/>
      <c r="AB24" s="206"/>
      <c r="AC24" s="251"/>
      <c r="AD24" s="204"/>
      <c r="AE24" s="204"/>
      <c r="AF24" s="206"/>
      <c r="AG24" s="251"/>
      <c r="AH24" s="204"/>
      <c r="AI24" s="204"/>
      <c r="AJ24" s="206"/>
      <c r="AK24" s="251"/>
      <c r="AL24" s="204"/>
      <c r="AM24" s="204"/>
      <c r="AN24" s="206"/>
      <c r="AO24" s="163"/>
      <c r="AP24" s="188"/>
      <c r="AQ24" s="187"/>
    </row>
    <row r="25" spans="1:56" ht="13.5">
      <c r="A25" s="157">
        <f t="shared" si="0"/>
        <v>14</v>
      </c>
      <c r="B25" s="158" t="s">
        <v>262</v>
      </c>
      <c r="C25" s="226" t="s">
        <v>208</v>
      </c>
      <c r="D25" s="204"/>
      <c r="E25" s="1038">
        <v>150</v>
      </c>
      <c r="F25" s="358"/>
      <c r="G25" s="189"/>
      <c r="H25" s="190"/>
      <c r="I25" s="1038">
        <v>150</v>
      </c>
      <c r="J25" s="359"/>
      <c r="K25" s="189"/>
      <c r="L25" s="360"/>
      <c r="M25" s="251"/>
      <c r="N25" s="287"/>
      <c r="O25" s="288"/>
      <c r="P25" s="289"/>
      <c r="Q25" s="251"/>
      <c r="R25" s="287"/>
      <c r="S25" s="288"/>
      <c r="T25" s="289"/>
      <c r="U25" s="251"/>
      <c r="V25" s="287"/>
      <c r="W25" s="288"/>
      <c r="X25" s="289"/>
      <c r="Y25" s="251"/>
      <c r="Z25" s="287"/>
      <c r="AA25" s="288"/>
      <c r="AB25" s="289"/>
      <c r="AC25" s="251"/>
      <c r="AD25" s="287"/>
      <c r="AE25" s="288"/>
      <c r="AF25" s="289"/>
      <c r="AG25" s="251"/>
      <c r="AH25" s="287"/>
      <c r="AI25" s="288"/>
      <c r="AJ25" s="289"/>
      <c r="AK25" s="251"/>
      <c r="AL25" s="287"/>
      <c r="AM25" s="288"/>
      <c r="AN25" s="289"/>
      <c r="AO25" s="163"/>
      <c r="AP25" s="188"/>
      <c r="AQ25" s="187"/>
    </row>
    <row r="26" spans="1:56" ht="25.5">
      <c r="A26" s="157">
        <f t="shared" si="0"/>
        <v>15</v>
      </c>
      <c r="B26" s="158" t="s">
        <v>263</v>
      </c>
      <c r="C26" s="226" t="str">
        <f>'Appendix A'!H201*100&amp;"% ROE"</f>
        <v>11.5% ROE</v>
      </c>
      <c r="D26" s="189"/>
      <c r="E26" s="1144">
        <f>$N$9</f>
        <v>0.17139939824618677</v>
      </c>
      <c r="F26" s="179"/>
      <c r="G26" s="163"/>
      <c r="H26" s="187"/>
      <c r="I26" s="365">
        <f>$N$9</f>
        <v>0.17139939824618677</v>
      </c>
      <c r="J26" s="163"/>
      <c r="K26" s="163"/>
      <c r="L26" s="207"/>
      <c r="M26" s="365">
        <f>$N$9</f>
        <v>0.17139939824618677</v>
      </c>
      <c r="N26" s="204"/>
      <c r="O26" s="204"/>
      <c r="P26" s="206"/>
      <c r="Q26" s="365">
        <f>$N$9</f>
        <v>0.17139939824618677</v>
      </c>
      <c r="R26" s="204"/>
      <c r="S26" s="204"/>
      <c r="T26" s="206"/>
      <c r="U26" s="188">
        <f>+$N9</f>
        <v>0.17139939824618677</v>
      </c>
      <c r="V26" s="204"/>
      <c r="W26" s="204"/>
      <c r="X26" s="206"/>
      <c r="Y26" s="188">
        <f>+$N9</f>
        <v>0.17139939824618677</v>
      </c>
      <c r="Z26" s="204"/>
      <c r="AA26" s="204"/>
      <c r="AB26" s="206"/>
      <c r="AC26" s="188">
        <f>$N15</f>
        <v>5.8121549575521042E-2</v>
      </c>
      <c r="AD26" s="204"/>
      <c r="AE26" s="204"/>
      <c r="AF26" s="206"/>
      <c r="AG26" s="188">
        <f>$N15</f>
        <v>5.8121549575521042E-2</v>
      </c>
      <c r="AH26" s="204"/>
      <c r="AI26" s="204"/>
      <c r="AJ26" s="206"/>
      <c r="AK26" s="188">
        <f>+$N9</f>
        <v>0.17139939824618677</v>
      </c>
      <c r="AL26" s="204"/>
      <c r="AM26" s="204"/>
      <c r="AN26" s="206"/>
      <c r="AO26" s="163"/>
      <c r="AP26" s="188"/>
      <c r="AQ26" s="187"/>
    </row>
    <row r="27" spans="1:56">
      <c r="A27" s="157">
        <f t="shared" si="0"/>
        <v>16</v>
      </c>
      <c r="B27" s="158" t="str">
        <f>"Line "&amp;A26&amp;" + (Line"&amp;A25&amp;"xLine"&amp;A11&amp;")/100"</f>
        <v>Line 15 + (Line14xLine5)/100</v>
      </c>
      <c r="C27" s="292" t="s">
        <v>69</v>
      </c>
      <c r="D27" s="189"/>
      <c r="E27" s="1144">
        <f>(E$25/100*$N$11)+E$26</f>
        <v>0.18365949357154285</v>
      </c>
      <c r="F27" s="179"/>
      <c r="G27" s="163"/>
      <c r="H27" s="187"/>
      <c r="I27" s="365">
        <f>(I$25/100*$N$11)+I$26</f>
        <v>0.18365949357154285</v>
      </c>
      <c r="J27" s="163"/>
      <c r="K27" s="163"/>
      <c r="L27" s="207"/>
      <c r="M27" s="365">
        <f>(M$25/100*$N$11)+M$26</f>
        <v>0.17139939824618677</v>
      </c>
      <c r="N27" s="163"/>
      <c r="O27" s="163"/>
      <c r="P27" s="187"/>
      <c r="Q27" s="365">
        <f>(Q$25/100*$N$11)+Q$26</f>
        <v>0.17139939824618677</v>
      </c>
      <c r="R27" s="163"/>
      <c r="S27" s="163"/>
      <c r="T27" s="187"/>
      <c r="U27" s="188">
        <f>($N9+$N11/100*U25)</f>
        <v>0.17139939824618677</v>
      </c>
      <c r="V27" s="163"/>
      <c r="W27" s="163"/>
      <c r="X27" s="187"/>
      <c r="Y27" s="188">
        <f>($N9+$N11/100*Y25)</f>
        <v>0.17139939824618677</v>
      </c>
      <c r="Z27" s="163"/>
      <c r="AA27" s="163"/>
      <c r="AB27" s="187"/>
      <c r="AC27" s="188">
        <f>+N15</f>
        <v>5.8121549575521042E-2</v>
      </c>
      <c r="AD27" s="163"/>
      <c r="AE27" s="163"/>
      <c r="AF27" s="187"/>
      <c r="AG27" s="188">
        <f>+N15</f>
        <v>5.8121549575521042E-2</v>
      </c>
      <c r="AH27" s="163"/>
      <c r="AI27" s="163"/>
      <c r="AJ27" s="187"/>
      <c r="AK27" s="188">
        <f>($N9+$N11/100*AK25)</f>
        <v>0.17139939824618677</v>
      </c>
      <c r="AL27" s="163"/>
      <c r="AM27" s="163"/>
      <c r="AN27" s="187"/>
      <c r="AO27" s="163"/>
      <c r="AP27" s="188"/>
      <c r="AQ27" s="187"/>
    </row>
    <row r="28" spans="1:56" ht="40.5" customHeight="1">
      <c r="A28" s="157">
        <f t="shared" si="0"/>
        <v>17</v>
      </c>
      <c r="B28" s="316" t="s">
        <v>254</v>
      </c>
      <c r="C28" s="226" t="s">
        <v>264</v>
      </c>
      <c r="D28" s="204"/>
      <c r="E28" s="1153">
        <v>0</v>
      </c>
      <c r="F28" s="209"/>
      <c r="G28" s="179"/>
      <c r="H28" s="207"/>
      <c r="I28" s="1156">
        <v>257105641.16999999</v>
      </c>
      <c r="J28" s="209"/>
      <c r="K28" s="209"/>
      <c r="L28" s="207"/>
      <c r="M28" s="1158">
        <f>'6 - Est &amp; Reconcile WS'!H85</f>
        <v>80140043.583333343</v>
      </c>
      <c r="N28" s="209"/>
      <c r="O28" s="209"/>
      <c r="P28" s="207"/>
      <c r="Q28" s="252">
        <f>6069360+12677098+157834332</f>
        <v>176580790</v>
      </c>
      <c r="R28" s="209"/>
      <c r="S28" s="209"/>
      <c r="T28" s="207"/>
      <c r="U28" s="252"/>
      <c r="V28" s="209"/>
      <c r="W28" s="209"/>
      <c r="X28" s="207"/>
      <c r="Y28" s="252"/>
      <c r="Z28" s="209"/>
      <c r="AA28" s="209"/>
      <c r="AB28" s="207"/>
      <c r="AC28" s="252"/>
      <c r="AD28" s="209"/>
      <c r="AE28" s="209"/>
      <c r="AF28" s="207"/>
      <c r="AG28" s="252"/>
      <c r="AH28" s="209"/>
      <c r="AI28" s="209"/>
      <c r="AJ28" s="207"/>
      <c r="AK28" s="252"/>
      <c r="AL28" s="209"/>
      <c r="AM28" s="209"/>
      <c r="AN28" s="207"/>
      <c r="AO28" s="163"/>
      <c r="AP28" s="188"/>
      <c r="AQ28" s="187"/>
    </row>
    <row r="29" spans="1:56">
      <c r="A29" s="157">
        <f t="shared" si="0"/>
        <v>18</v>
      </c>
      <c r="B29" s="158" t="s">
        <v>265</v>
      </c>
      <c r="C29" s="188" t="s">
        <v>103</v>
      </c>
      <c r="D29" s="204"/>
      <c r="E29" s="1154">
        <f>IF(E23=0,0,E28/E23)</f>
        <v>0</v>
      </c>
      <c r="F29" s="179"/>
      <c r="G29" s="209"/>
      <c r="H29" s="207"/>
      <c r="I29" s="1154">
        <f>IF(I28=0,0,I28/I23)</f>
        <v>5604902.9775060005</v>
      </c>
      <c r="J29" s="209"/>
      <c r="K29" s="209"/>
      <c r="L29" s="207"/>
      <c r="M29" s="1154">
        <v>0</v>
      </c>
      <c r="N29" s="209"/>
      <c r="O29" s="209"/>
      <c r="P29" s="207"/>
      <c r="Q29" s="1154">
        <f>IF(Q28=0,0,Q28/Q23)</f>
        <v>3849461.2220000005</v>
      </c>
      <c r="R29" s="209"/>
      <c r="S29" s="209"/>
      <c r="T29" s="207"/>
      <c r="U29" s="208">
        <f>IF(U28=0,0,U28/U23)</f>
        <v>0</v>
      </c>
      <c r="V29" s="209"/>
      <c r="W29" s="209"/>
      <c r="X29" s="207"/>
      <c r="Y29" s="208">
        <f>IF(Y28=0,0,Y28/Y23)</f>
        <v>0</v>
      </c>
      <c r="Z29" s="209"/>
      <c r="AA29" s="209"/>
      <c r="AB29" s="207"/>
      <c r="AC29" s="208">
        <f>IF(AC28=0,0,AC28/AC23)</f>
        <v>0</v>
      </c>
      <c r="AD29" s="209"/>
      <c r="AE29" s="209"/>
      <c r="AF29" s="207"/>
      <c r="AG29" s="208">
        <f>IF(AG28=0,0,AG28/AG23)</f>
        <v>0</v>
      </c>
      <c r="AH29" s="209"/>
      <c r="AI29" s="209"/>
      <c r="AJ29" s="207"/>
      <c r="AK29" s="208">
        <f>IF(AK28=0,0,AK28/AK23)</f>
        <v>0</v>
      </c>
      <c r="AL29" s="209"/>
      <c r="AM29" s="209"/>
      <c r="AN29" s="207"/>
      <c r="AO29" s="163"/>
      <c r="AP29" s="188"/>
      <c r="AQ29" s="187"/>
    </row>
    <row r="30" spans="1:56" s="2" customFormat="1">
      <c r="A30" s="157">
        <f t="shared" si="0"/>
        <v>19</v>
      </c>
      <c r="B30" s="158" t="s">
        <v>266</v>
      </c>
      <c r="C30" s="226" t="s">
        <v>219</v>
      </c>
      <c r="D30" s="189"/>
      <c r="E30" s="1155"/>
      <c r="F30" s="231"/>
      <c r="G30" s="227"/>
      <c r="H30" s="228"/>
      <c r="I30" s="1157">
        <v>1</v>
      </c>
      <c r="J30" s="227"/>
      <c r="K30" s="227"/>
      <c r="L30" s="228"/>
      <c r="M30" s="1159"/>
      <c r="N30" s="227"/>
      <c r="O30" s="227"/>
      <c r="P30" s="228"/>
      <c r="Q30" s="1157">
        <v>1</v>
      </c>
      <c r="R30" s="227"/>
      <c r="S30" s="227"/>
      <c r="T30" s="228"/>
      <c r="U30" s="282"/>
      <c r="V30" s="227"/>
      <c r="W30" s="227"/>
      <c r="X30" s="228"/>
      <c r="Y30" s="282"/>
      <c r="Z30" s="227"/>
      <c r="AA30" s="227"/>
      <c r="AB30" s="228"/>
      <c r="AC30" s="282"/>
      <c r="AD30" s="227"/>
      <c r="AE30" s="227"/>
      <c r="AF30" s="228"/>
      <c r="AG30" s="282"/>
      <c r="AH30" s="227"/>
      <c r="AI30" s="227"/>
      <c r="AJ30" s="228"/>
      <c r="AK30" s="282"/>
      <c r="AL30" s="227"/>
      <c r="AM30" s="227"/>
      <c r="AN30" s="228"/>
      <c r="AO30" s="164"/>
      <c r="AP30" s="347"/>
      <c r="AQ30" s="327"/>
    </row>
    <row r="31" spans="1:56" ht="25.5">
      <c r="A31" s="157">
        <f>+A30+1</f>
        <v>20</v>
      </c>
      <c r="C31" s="320"/>
      <c r="D31" s="210" t="s">
        <v>66</v>
      </c>
      <c r="E31" s="201" t="s">
        <v>105</v>
      </c>
      <c r="F31" s="202" t="s">
        <v>106</v>
      </c>
      <c r="G31" s="202" t="s">
        <v>107</v>
      </c>
      <c r="H31" s="283" t="s">
        <v>104</v>
      </c>
      <c r="I31" s="201" t="s">
        <v>105</v>
      </c>
      <c r="J31" s="202" t="s">
        <v>106</v>
      </c>
      <c r="K31" s="202" t="s">
        <v>107</v>
      </c>
      <c r="L31" s="203" t="s">
        <v>104</v>
      </c>
      <c r="M31" s="201" t="s">
        <v>105</v>
      </c>
      <c r="N31" s="202" t="s">
        <v>106</v>
      </c>
      <c r="O31" s="202" t="s">
        <v>107</v>
      </c>
      <c r="P31" s="203" t="s">
        <v>104</v>
      </c>
      <c r="Q31" s="201" t="s">
        <v>105</v>
      </c>
      <c r="R31" s="202" t="s">
        <v>106</v>
      </c>
      <c r="S31" s="202" t="s">
        <v>107</v>
      </c>
      <c r="T31" s="203" t="s">
        <v>104</v>
      </c>
      <c r="U31" s="201" t="s">
        <v>105</v>
      </c>
      <c r="V31" s="202" t="s">
        <v>106</v>
      </c>
      <c r="W31" s="202" t="s">
        <v>107</v>
      </c>
      <c r="X31" s="203" t="s">
        <v>104</v>
      </c>
      <c r="Y31" s="201" t="s">
        <v>105</v>
      </c>
      <c r="Z31" s="202" t="s">
        <v>106</v>
      </c>
      <c r="AA31" s="202" t="s">
        <v>107</v>
      </c>
      <c r="AB31" s="203" t="s">
        <v>104</v>
      </c>
      <c r="AC31" s="201" t="s">
        <v>105</v>
      </c>
      <c r="AD31" s="202" t="s">
        <v>106</v>
      </c>
      <c r="AE31" s="202" t="s">
        <v>107</v>
      </c>
      <c r="AF31" s="203" t="s">
        <v>104</v>
      </c>
      <c r="AG31" s="201" t="s">
        <v>105</v>
      </c>
      <c r="AH31" s="202" t="s">
        <v>106</v>
      </c>
      <c r="AI31" s="202" t="s">
        <v>107</v>
      </c>
      <c r="AJ31" s="203" t="s">
        <v>104</v>
      </c>
      <c r="AK31" s="201" t="s">
        <v>105</v>
      </c>
      <c r="AL31" s="202" t="s">
        <v>106</v>
      </c>
      <c r="AM31" s="202" t="s">
        <v>107</v>
      </c>
      <c r="AN31" s="203" t="s">
        <v>104</v>
      </c>
      <c r="AO31" s="224" t="s">
        <v>493</v>
      </c>
      <c r="AP31" s="348" t="s">
        <v>115</v>
      </c>
      <c r="AQ31" s="349" t="s">
        <v>116</v>
      </c>
    </row>
    <row r="32" spans="1:56">
      <c r="A32" s="157">
        <f t="shared" si="0"/>
        <v>21</v>
      </c>
      <c r="C32" s="321" t="str">
        <f>"W  "&amp;'Appendix A'!H201*100&amp;" % ROE"</f>
        <v>W  11.5 % ROE</v>
      </c>
      <c r="D32" s="322">
        <v>2007</v>
      </c>
      <c r="E32" s="214">
        <v>160095792.07291701</v>
      </c>
      <c r="F32" s="209">
        <v>0</v>
      </c>
      <c r="G32" s="212">
        <v>160095792.07291701</v>
      </c>
      <c r="H32" s="209">
        <v>36116735.850055203</v>
      </c>
      <c r="I32" s="214">
        <v>0</v>
      </c>
      <c r="J32" s="209">
        <v>0</v>
      </c>
      <c r="K32" s="212">
        <v>0</v>
      </c>
      <c r="L32" s="209">
        <v>0</v>
      </c>
      <c r="M32" s="214">
        <v>0</v>
      </c>
      <c r="N32" s="209">
        <v>0</v>
      </c>
      <c r="O32" s="212">
        <v>0</v>
      </c>
      <c r="P32" s="209">
        <v>0</v>
      </c>
      <c r="Q32" s="214">
        <v>0</v>
      </c>
      <c r="R32" s="209">
        <v>0</v>
      </c>
      <c r="S32" s="212">
        <v>0</v>
      </c>
      <c r="T32" s="209">
        <v>0</v>
      </c>
      <c r="U32" s="188"/>
      <c r="V32" s="163"/>
      <c r="W32" s="163"/>
      <c r="X32" s="207"/>
      <c r="Y32" s="188"/>
      <c r="Z32" s="163"/>
      <c r="AA32" s="163"/>
      <c r="AB32" s="207"/>
      <c r="AC32" s="188"/>
      <c r="AD32" s="163"/>
      <c r="AE32" s="163"/>
      <c r="AF32" s="207"/>
      <c r="AG32" s="188"/>
      <c r="AH32" s="163"/>
      <c r="AI32" s="163"/>
      <c r="AJ32" s="207"/>
      <c r="AK32" s="188"/>
      <c r="AL32" s="163"/>
      <c r="AM32" s="163"/>
      <c r="AN32" s="207"/>
      <c r="AO32" s="225">
        <v>36116735.850055203</v>
      </c>
      <c r="AP32" s="188"/>
      <c r="AQ32" s="213">
        <v>36116735.850055203</v>
      </c>
    </row>
    <row r="33" spans="1:44">
      <c r="A33" s="157">
        <f t="shared" si="0"/>
        <v>22</v>
      </c>
      <c r="C33" s="321" t="s">
        <v>209</v>
      </c>
      <c r="D33" s="322">
        <f>D32</f>
        <v>2007</v>
      </c>
      <c r="E33" s="214">
        <v>160095792.07291701</v>
      </c>
      <c r="F33" s="209">
        <v>0</v>
      </c>
      <c r="G33" s="212">
        <v>160095792.07291701</v>
      </c>
      <c r="H33" s="209">
        <v>38536105.584638901</v>
      </c>
      <c r="I33" s="214">
        <v>0</v>
      </c>
      <c r="J33" s="209">
        <v>0</v>
      </c>
      <c r="K33" s="212">
        <v>0</v>
      </c>
      <c r="L33" s="207">
        <v>0</v>
      </c>
      <c r="M33" s="214">
        <v>0</v>
      </c>
      <c r="N33" s="209">
        <v>0</v>
      </c>
      <c r="O33" s="212">
        <v>0</v>
      </c>
      <c r="P33" s="207">
        <v>0</v>
      </c>
      <c r="Q33" s="214">
        <v>0</v>
      </c>
      <c r="R33" s="209">
        <v>0</v>
      </c>
      <c r="S33" s="212">
        <v>0</v>
      </c>
      <c r="T33" s="207">
        <v>0</v>
      </c>
      <c r="U33" s="188"/>
      <c r="V33" s="163"/>
      <c r="W33" s="163"/>
      <c r="X33" s="207"/>
      <c r="Y33" s="188"/>
      <c r="Z33" s="163"/>
      <c r="AA33" s="163"/>
      <c r="AB33" s="207"/>
      <c r="AC33" s="188"/>
      <c r="AD33" s="163"/>
      <c r="AE33" s="163"/>
      <c r="AF33" s="207"/>
      <c r="AG33" s="188"/>
      <c r="AH33" s="163"/>
      <c r="AI33" s="163"/>
      <c r="AJ33" s="207"/>
      <c r="AK33" s="188"/>
      <c r="AL33" s="163"/>
      <c r="AM33" s="163"/>
      <c r="AN33" s="207"/>
      <c r="AO33" s="225">
        <v>38536105.584638901</v>
      </c>
      <c r="AP33" s="350">
        <v>38536105.584638901</v>
      </c>
      <c r="AQ33" s="187"/>
      <c r="AR33" s="286"/>
    </row>
    <row r="34" spans="1:44">
      <c r="A34" s="157">
        <f t="shared" si="0"/>
        <v>23</v>
      </c>
      <c r="C34" s="321" t="str">
        <f t="shared" ref="C34:C71" si="1">+C32</f>
        <v>W  11.5 % ROE</v>
      </c>
      <c r="D34" s="211">
        <f t="shared" ref="D34:D71" si="2">+D32+1</f>
        <v>2008</v>
      </c>
      <c r="E34" s="212">
        <v>66113655.877083398</v>
      </c>
      <c r="F34" s="209">
        <v>0</v>
      </c>
      <c r="G34" s="212">
        <v>66113655.877083398</v>
      </c>
      <c r="H34" s="209">
        <v>13349133.9393613</v>
      </c>
      <c r="I34" s="214">
        <v>187558717.4725</v>
      </c>
      <c r="J34" s="212">
        <v>3282441.6778526399</v>
      </c>
      <c r="K34" s="212">
        <v>184276275.79464701</v>
      </c>
      <c r="L34" s="207">
        <v>40490014.830407597</v>
      </c>
      <c r="M34" s="214">
        <v>0</v>
      </c>
      <c r="N34" s="212">
        <v>0</v>
      </c>
      <c r="O34" s="212">
        <v>0</v>
      </c>
      <c r="P34" s="207">
        <v>0</v>
      </c>
      <c r="Q34" s="214">
        <v>0</v>
      </c>
      <c r="R34" s="212">
        <v>0</v>
      </c>
      <c r="S34" s="212">
        <v>0</v>
      </c>
      <c r="T34" s="207">
        <v>0</v>
      </c>
      <c r="U34" s="214"/>
      <c r="V34" s="209"/>
      <c r="W34" s="212"/>
      <c r="X34" s="207"/>
      <c r="Y34" s="214"/>
      <c r="Z34" s="209"/>
      <c r="AA34" s="212"/>
      <c r="AB34" s="207"/>
      <c r="AC34" s="214"/>
      <c r="AD34" s="209"/>
      <c r="AE34" s="212"/>
      <c r="AF34" s="207"/>
      <c r="AG34" s="214"/>
      <c r="AH34" s="209"/>
      <c r="AI34" s="212"/>
      <c r="AJ34" s="207"/>
      <c r="AK34" s="214"/>
      <c r="AL34" s="209"/>
      <c r="AM34" s="212"/>
      <c r="AN34" s="207"/>
      <c r="AO34" s="225">
        <v>53839148.769768797</v>
      </c>
      <c r="AP34" s="188"/>
      <c r="AQ34" s="213">
        <v>53839148.769768797</v>
      </c>
    </row>
    <row r="35" spans="1:44">
      <c r="A35" s="157">
        <f t="shared" si="0"/>
        <v>24</v>
      </c>
      <c r="C35" s="321" t="str">
        <f t="shared" si="1"/>
        <v>W Increased ROE</v>
      </c>
      <c r="D35" s="211">
        <f t="shared" si="2"/>
        <v>2008</v>
      </c>
      <c r="E35" s="212">
        <v>66113655.877083398</v>
      </c>
      <c r="F35" s="209">
        <v>0</v>
      </c>
      <c r="G35" s="212">
        <v>66113655.877083398</v>
      </c>
      <c r="H35" s="209">
        <v>14249837.5370993</v>
      </c>
      <c r="I35" s="214">
        <v>187558717.4725</v>
      </c>
      <c r="J35" s="212">
        <v>3282441.6778526399</v>
      </c>
      <c r="K35" s="212">
        <v>184276275.79464701</v>
      </c>
      <c r="L35" s="207">
        <v>43000514.3994314</v>
      </c>
      <c r="M35" s="214">
        <v>0</v>
      </c>
      <c r="N35" s="212">
        <v>0</v>
      </c>
      <c r="O35" s="212">
        <v>0</v>
      </c>
      <c r="P35" s="207">
        <v>0</v>
      </c>
      <c r="Q35" s="214">
        <v>0</v>
      </c>
      <c r="R35" s="212">
        <v>0</v>
      </c>
      <c r="S35" s="212">
        <v>0</v>
      </c>
      <c r="T35" s="207">
        <v>0</v>
      </c>
      <c r="U35" s="214"/>
      <c r="V35" s="209"/>
      <c r="W35" s="212"/>
      <c r="X35" s="207"/>
      <c r="Y35" s="214"/>
      <c r="Z35" s="209"/>
      <c r="AA35" s="212"/>
      <c r="AB35" s="207"/>
      <c r="AC35" s="214"/>
      <c r="AD35" s="209"/>
      <c r="AE35" s="212"/>
      <c r="AF35" s="207"/>
      <c r="AG35" s="214"/>
      <c r="AH35" s="209"/>
      <c r="AI35" s="212"/>
      <c r="AJ35" s="207"/>
      <c r="AK35" s="214"/>
      <c r="AL35" s="209"/>
      <c r="AM35" s="212"/>
      <c r="AN35" s="207"/>
      <c r="AO35" s="225">
        <v>57250351.936530702</v>
      </c>
      <c r="AP35" s="350">
        <v>57250351.936530702</v>
      </c>
      <c r="AQ35" s="187"/>
      <c r="AR35" s="932"/>
    </row>
    <row r="36" spans="1:44">
      <c r="A36" s="157">
        <f t="shared" si="0"/>
        <v>25</v>
      </c>
      <c r="C36" s="321" t="s">
        <v>575</v>
      </c>
      <c r="D36" s="211">
        <v>2009</v>
      </c>
      <c r="E36" s="212">
        <v>85888.163750000007</v>
      </c>
      <c r="F36" s="212">
        <v>0</v>
      </c>
      <c r="G36" s="212">
        <v>85888.163750000007</v>
      </c>
      <c r="H36" s="209">
        <v>16772.504721592501</v>
      </c>
      <c r="I36" s="214">
        <v>256015811.11583301</v>
      </c>
      <c r="J36" s="212">
        <v>4966706.7356471699</v>
      </c>
      <c r="K36" s="212">
        <v>251049104.38018599</v>
      </c>
      <c r="L36" s="207">
        <v>53992347.810296804</v>
      </c>
      <c r="M36" s="214">
        <v>0</v>
      </c>
      <c r="N36" s="212">
        <v>0</v>
      </c>
      <c r="O36" s="212">
        <v>0</v>
      </c>
      <c r="P36" s="207">
        <v>0</v>
      </c>
      <c r="Q36" s="214">
        <v>0</v>
      </c>
      <c r="R36" s="212">
        <v>0</v>
      </c>
      <c r="S36" s="212">
        <v>0</v>
      </c>
      <c r="T36" s="207">
        <v>0</v>
      </c>
      <c r="U36" s="214">
        <v>0</v>
      </c>
      <c r="V36" s="209">
        <v>0</v>
      </c>
      <c r="W36" s="212">
        <v>0</v>
      </c>
      <c r="X36" s="207">
        <v>0</v>
      </c>
      <c r="Y36" s="214"/>
      <c r="Z36" s="212"/>
      <c r="AA36" s="212"/>
      <c r="AB36" s="207"/>
      <c r="AC36" s="214"/>
      <c r="AD36" s="212"/>
      <c r="AE36" s="212"/>
      <c r="AF36" s="207"/>
      <c r="AG36" s="214"/>
      <c r="AH36" s="212"/>
      <c r="AI36" s="212"/>
      <c r="AJ36" s="207"/>
      <c r="AK36" s="214"/>
      <c r="AL36" s="212"/>
      <c r="AM36" s="212"/>
      <c r="AN36" s="207"/>
      <c r="AO36" s="225">
        <v>54009120.315018304</v>
      </c>
      <c r="AP36" s="188"/>
      <c r="AQ36" s="213">
        <v>54009120.315018304</v>
      </c>
      <c r="AR36" s="932"/>
    </row>
    <row r="37" spans="1:44">
      <c r="A37" s="157">
        <f t="shared" si="0"/>
        <v>26</v>
      </c>
      <c r="C37" s="321" t="s">
        <v>209</v>
      </c>
      <c r="D37" s="211">
        <v>2009</v>
      </c>
      <c r="E37" s="212">
        <v>85888.163750000007</v>
      </c>
      <c r="F37" s="212">
        <v>0</v>
      </c>
      <c r="G37" s="212">
        <v>85888.163750000007</v>
      </c>
      <c r="H37" s="209">
        <v>17888.280991256801</v>
      </c>
      <c r="I37" s="214">
        <v>256015811.11583301</v>
      </c>
      <c r="J37" s="212">
        <v>4966706.7356471699</v>
      </c>
      <c r="K37" s="212">
        <v>251049104.38018599</v>
      </c>
      <c r="L37" s="207">
        <v>57253735.8870432</v>
      </c>
      <c r="M37" s="214">
        <v>0</v>
      </c>
      <c r="N37" s="212">
        <v>0</v>
      </c>
      <c r="O37" s="212">
        <v>0</v>
      </c>
      <c r="P37" s="207">
        <v>0</v>
      </c>
      <c r="Q37" s="214">
        <v>0</v>
      </c>
      <c r="R37" s="212">
        <v>0</v>
      </c>
      <c r="S37" s="212">
        <v>0</v>
      </c>
      <c r="T37" s="207">
        <v>0</v>
      </c>
      <c r="U37" s="214">
        <v>0</v>
      </c>
      <c r="V37" s="209">
        <v>0</v>
      </c>
      <c r="W37" s="212">
        <v>0</v>
      </c>
      <c r="X37" s="207">
        <v>0</v>
      </c>
      <c r="Y37" s="214"/>
      <c r="Z37" s="212"/>
      <c r="AA37" s="212"/>
      <c r="AB37" s="207"/>
      <c r="AC37" s="214"/>
      <c r="AD37" s="212"/>
      <c r="AE37" s="212"/>
      <c r="AF37" s="207"/>
      <c r="AG37" s="214"/>
      <c r="AH37" s="212"/>
      <c r="AI37" s="212"/>
      <c r="AJ37" s="207"/>
      <c r="AK37" s="214"/>
      <c r="AL37" s="212"/>
      <c r="AM37" s="212"/>
      <c r="AN37" s="207"/>
      <c r="AO37" s="225">
        <v>57271624.168034501</v>
      </c>
      <c r="AP37" s="350">
        <v>57271624.168034501</v>
      </c>
      <c r="AQ37" s="187"/>
      <c r="AR37" s="932"/>
    </row>
    <row r="38" spans="1:44">
      <c r="A38" s="157">
        <f t="shared" si="0"/>
        <v>27</v>
      </c>
      <c r="C38" s="321" t="str">
        <f t="shared" si="1"/>
        <v>W  11.5 % ROE</v>
      </c>
      <c r="D38" s="211">
        <f t="shared" si="2"/>
        <v>2010</v>
      </c>
      <c r="E38" s="1042"/>
      <c r="F38" s="1043">
        <v>0</v>
      </c>
      <c r="G38" s="1043">
        <v>0</v>
      </c>
      <c r="H38" s="1044">
        <v>0</v>
      </c>
      <c r="I38" s="214">
        <v>257094519.52000001</v>
      </c>
      <c r="J38" s="212">
        <v>13236782.0921878</v>
      </c>
      <c r="K38" s="212">
        <v>243857737.42781201</v>
      </c>
      <c r="L38" s="207">
        <v>57724269.569188401</v>
      </c>
      <c r="M38" s="935">
        <v>0</v>
      </c>
      <c r="N38" s="933">
        <v>0</v>
      </c>
      <c r="O38" s="933">
        <v>0</v>
      </c>
      <c r="P38" s="936">
        <v>0</v>
      </c>
      <c r="Q38" s="935">
        <v>0</v>
      </c>
      <c r="R38" s="933">
        <v>0</v>
      </c>
      <c r="S38" s="933">
        <v>0</v>
      </c>
      <c r="T38" s="936">
        <v>0</v>
      </c>
      <c r="U38" s="935">
        <v>0</v>
      </c>
      <c r="V38" s="933">
        <v>0</v>
      </c>
      <c r="W38" s="933">
        <v>0</v>
      </c>
      <c r="X38" s="936">
        <v>0</v>
      </c>
      <c r="Y38" s="935">
        <v>0</v>
      </c>
      <c r="Z38" s="934">
        <v>0</v>
      </c>
      <c r="AA38" s="933">
        <v>0</v>
      </c>
      <c r="AB38" s="936">
        <v>0</v>
      </c>
      <c r="AC38" s="935">
        <v>0</v>
      </c>
      <c r="AD38" s="934">
        <v>0</v>
      </c>
      <c r="AE38" s="933">
        <v>0</v>
      </c>
      <c r="AF38" s="936">
        <v>0</v>
      </c>
      <c r="AG38" s="935"/>
      <c r="AH38" s="933"/>
      <c r="AI38" s="933"/>
      <c r="AJ38" s="936"/>
      <c r="AK38" s="935"/>
      <c r="AL38" s="933"/>
      <c r="AM38" s="933"/>
      <c r="AN38" s="936"/>
      <c r="AO38" s="937">
        <v>57724269.569188401</v>
      </c>
      <c r="AP38" s="938"/>
      <c r="AQ38" s="939">
        <v>57724269.569188401</v>
      </c>
      <c r="AR38" s="932"/>
    </row>
    <row r="39" spans="1:44">
      <c r="A39" s="157">
        <f t="shared" si="0"/>
        <v>28</v>
      </c>
      <c r="C39" s="321" t="str">
        <f t="shared" si="1"/>
        <v>W Increased ROE</v>
      </c>
      <c r="D39" s="211">
        <f t="shared" si="2"/>
        <v>2010</v>
      </c>
      <c r="E39" s="1045">
        <v>0</v>
      </c>
      <c r="F39" s="1045">
        <v>0</v>
      </c>
      <c r="G39" s="1045">
        <v>0</v>
      </c>
      <c r="H39" s="227">
        <v>0</v>
      </c>
      <c r="I39" s="214">
        <v>257094519.52000001</v>
      </c>
      <c r="J39" s="212">
        <v>13236782.0921878</v>
      </c>
      <c r="K39" s="212">
        <v>243857737.42781201</v>
      </c>
      <c r="L39" s="207">
        <v>60708360.293064997</v>
      </c>
      <c r="M39" s="214">
        <v>0</v>
      </c>
      <c r="N39" s="212">
        <v>0</v>
      </c>
      <c r="O39" s="212">
        <v>0</v>
      </c>
      <c r="P39" s="207">
        <v>0</v>
      </c>
      <c r="Q39" s="214">
        <v>0</v>
      </c>
      <c r="R39" s="212">
        <v>0</v>
      </c>
      <c r="S39" s="212">
        <v>0</v>
      </c>
      <c r="T39" s="207">
        <v>0</v>
      </c>
      <c r="U39" s="214">
        <v>0</v>
      </c>
      <c r="V39" s="212">
        <v>0</v>
      </c>
      <c r="W39" s="212">
        <v>0</v>
      </c>
      <c r="X39" s="207">
        <v>0</v>
      </c>
      <c r="Y39" s="214">
        <v>0</v>
      </c>
      <c r="Z39" s="209">
        <v>0</v>
      </c>
      <c r="AA39" s="212">
        <v>0</v>
      </c>
      <c r="AB39" s="207">
        <v>0</v>
      </c>
      <c r="AC39" s="214">
        <v>0</v>
      </c>
      <c r="AD39" s="209">
        <v>0</v>
      </c>
      <c r="AE39" s="212">
        <v>0</v>
      </c>
      <c r="AF39" s="207">
        <v>0</v>
      </c>
      <c r="AG39" s="214"/>
      <c r="AH39" s="212"/>
      <c r="AI39" s="212"/>
      <c r="AJ39" s="207"/>
      <c r="AK39" s="214"/>
      <c r="AL39" s="212"/>
      <c r="AM39" s="212"/>
      <c r="AN39" s="207"/>
      <c r="AO39" s="225">
        <v>60708360.293064997</v>
      </c>
      <c r="AP39" s="350">
        <v>60708360.293064997</v>
      </c>
      <c r="AQ39" s="187"/>
      <c r="AR39" s="932"/>
    </row>
    <row r="40" spans="1:44">
      <c r="A40" s="157">
        <f t="shared" si="0"/>
        <v>29</v>
      </c>
      <c r="C40" s="321" t="str">
        <f t="shared" si="1"/>
        <v>W  11.5 % ROE</v>
      </c>
      <c r="D40" s="211">
        <f t="shared" si="2"/>
        <v>2011</v>
      </c>
      <c r="E40" s="1045"/>
      <c r="F40" s="1045">
        <v>0</v>
      </c>
      <c r="G40" s="1045">
        <v>0</v>
      </c>
      <c r="H40" s="227">
        <v>0</v>
      </c>
      <c r="I40" s="1050">
        <v>257105641.16999999</v>
      </c>
      <c r="J40" s="1045">
        <v>18224631.530885801</v>
      </c>
      <c r="K40" s="1045">
        <v>238881009.63911399</v>
      </c>
      <c r="L40" s="228">
        <v>44770917.466037601</v>
      </c>
      <c r="M40" s="1050">
        <v>0</v>
      </c>
      <c r="N40" s="1045">
        <v>0</v>
      </c>
      <c r="O40" s="1045">
        <v>0</v>
      </c>
      <c r="P40" s="228">
        <v>0</v>
      </c>
      <c r="Q40" s="1050">
        <v>0</v>
      </c>
      <c r="R40" s="1045">
        <v>0</v>
      </c>
      <c r="S40" s="1045">
        <v>0</v>
      </c>
      <c r="T40" s="228">
        <v>0</v>
      </c>
      <c r="U40" s="214">
        <v>0</v>
      </c>
      <c r="V40" s="212">
        <v>0</v>
      </c>
      <c r="W40" s="212">
        <v>0</v>
      </c>
      <c r="X40" s="207">
        <v>0</v>
      </c>
      <c r="Y40" s="214">
        <v>0</v>
      </c>
      <c r="Z40" s="212">
        <v>0</v>
      </c>
      <c r="AA40" s="212">
        <v>0</v>
      </c>
      <c r="AB40" s="207">
        <v>0</v>
      </c>
      <c r="AC40" s="214">
        <v>0</v>
      </c>
      <c r="AD40" s="212">
        <v>0</v>
      </c>
      <c r="AE40" s="212">
        <v>0</v>
      </c>
      <c r="AF40" s="207">
        <v>0</v>
      </c>
      <c r="AG40" s="214">
        <v>0</v>
      </c>
      <c r="AH40" s="209">
        <v>0</v>
      </c>
      <c r="AI40" s="212">
        <v>0</v>
      </c>
      <c r="AJ40" s="207">
        <v>0</v>
      </c>
      <c r="AK40" s="214">
        <v>0</v>
      </c>
      <c r="AL40" s="209">
        <v>0</v>
      </c>
      <c r="AM40" s="212">
        <v>0</v>
      </c>
      <c r="AN40" s="207">
        <v>0</v>
      </c>
      <c r="AO40" s="225">
        <v>41895731.592004202</v>
      </c>
      <c r="AP40" s="226"/>
      <c r="AQ40" s="1039">
        <v>41895731.592004202</v>
      </c>
      <c r="AR40" s="932"/>
    </row>
    <row r="41" spans="1:44">
      <c r="A41" s="157">
        <f t="shared" si="0"/>
        <v>30</v>
      </c>
      <c r="C41" s="321" t="str">
        <f t="shared" si="1"/>
        <v>W Increased ROE</v>
      </c>
      <c r="D41" s="211">
        <f t="shared" si="2"/>
        <v>2011</v>
      </c>
      <c r="E41" s="1045">
        <v>0</v>
      </c>
      <c r="F41" s="1045">
        <v>0</v>
      </c>
      <c r="G41" s="1045">
        <v>0</v>
      </c>
      <c r="H41" s="227">
        <v>0</v>
      </c>
      <c r="I41" s="1050">
        <v>257105641.16999999</v>
      </c>
      <c r="J41" s="1045">
        <v>18224631.530885801</v>
      </c>
      <c r="K41" s="1045">
        <v>238881009.63911399</v>
      </c>
      <c r="L41" s="228">
        <v>47683926.621980101</v>
      </c>
      <c r="M41" s="1050">
        <v>0</v>
      </c>
      <c r="N41" s="1045">
        <v>0</v>
      </c>
      <c r="O41" s="1045">
        <v>0</v>
      </c>
      <c r="P41" s="228">
        <v>0</v>
      </c>
      <c r="Q41" s="1050">
        <v>0</v>
      </c>
      <c r="R41" s="1045">
        <v>0</v>
      </c>
      <c r="S41" s="1045">
        <v>0</v>
      </c>
      <c r="T41" s="228">
        <v>0</v>
      </c>
      <c r="U41" s="214">
        <v>0</v>
      </c>
      <c r="V41" s="212">
        <v>0</v>
      </c>
      <c r="W41" s="212">
        <v>0</v>
      </c>
      <c r="X41" s="207">
        <v>0</v>
      </c>
      <c r="Y41" s="214">
        <v>0</v>
      </c>
      <c r="Z41" s="212">
        <v>0</v>
      </c>
      <c r="AA41" s="212">
        <v>0</v>
      </c>
      <c r="AB41" s="207">
        <v>0</v>
      </c>
      <c r="AC41" s="214">
        <v>0</v>
      </c>
      <c r="AD41" s="212">
        <v>0</v>
      </c>
      <c r="AE41" s="212">
        <v>0</v>
      </c>
      <c r="AF41" s="207">
        <v>0</v>
      </c>
      <c r="AG41" s="214">
        <v>0</v>
      </c>
      <c r="AH41" s="209">
        <v>0</v>
      </c>
      <c r="AI41" s="212">
        <v>0</v>
      </c>
      <c r="AJ41" s="207">
        <v>0</v>
      </c>
      <c r="AK41" s="214">
        <v>0</v>
      </c>
      <c r="AL41" s="209">
        <v>0</v>
      </c>
      <c r="AM41" s="212">
        <v>0</v>
      </c>
      <c r="AN41" s="207">
        <v>0</v>
      </c>
      <c r="AO41" s="225">
        <v>44720676.646150097</v>
      </c>
      <c r="AP41" s="1040">
        <v>44720676.646150097</v>
      </c>
      <c r="AQ41" s="1041"/>
      <c r="AR41" s="932"/>
    </row>
    <row r="42" spans="1:44">
      <c r="A42" s="157">
        <f t="shared" si="0"/>
        <v>31</v>
      </c>
      <c r="C42" s="321" t="str">
        <f t="shared" si="1"/>
        <v>W  11.5 % ROE</v>
      </c>
      <c r="D42" s="211">
        <f t="shared" si="2"/>
        <v>2012</v>
      </c>
      <c r="E42" s="1045"/>
      <c r="F42" s="1045">
        <f>+E$29</f>
        <v>0</v>
      </c>
      <c r="G42" s="1045">
        <f>+E42-F42</f>
        <v>0</v>
      </c>
      <c r="H42" s="227">
        <f>+E$26*G42+F42</f>
        <v>0</v>
      </c>
      <c r="I42" s="1119">
        <v>257105641.16999999</v>
      </c>
      <c r="J42" s="1120">
        <v>23212480.969583798</v>
      </c>
      <c r="K42" s="1120">
        <v>233893160.200416</v>
      </c>
      <c r="L42" s="1121">
        <v>43836098.093454003</v>
      </c>
      <c r="M42" s="1119">
        <v>0</v>
      </c>
      <c r="N42" s="1120">
        <v>0</v>
      </c>
      <c r="O42" s="1120">
        <v>0</v>
      </c>
      <c r="P42" s="1121">
        <v>0</v>
      </c>
      <c r="Q42" s="1119">
        <v>0</v>
      </c>
      <c r="R42" s="1120">
        <v>0</v>
      </c>
      <c r="S42" s="1120">
        <v>0</v>
      </c>
      <c r="T42" s="1121">
        <v>0</v>
      </c>
      <c r="U42" s="1119">
        <v>0</v>
      </c>
      <c r="V42" s="1120">
        <v>0</v>
      </c>
      <c r="W42" s="1120">
        <v>0</v>
      </c>
      <c r="X42" s="1121">
        <v>0</v>
      </c>
      <c r="Y42" s="1119">
        <v>0</v>
      </c>
      <c r="Z42" s="1120">
        <v>0</v>
      </c>
      <c r="AA42" s="1120">
        <v>0</v>
      </c>
      <c r="AB42" s="1121">
        <v>0</v>
      </c>
      <c r="AC42" s="1119">
        <v>0</v>
      </c>
      <c r="AD42" s="1120">
        <v>0</v>
      </c>
      <c r="AE42" s="1120">
        <v>0</v>
      </c>
      <c r="AF42" s="1121">
        <v>0</v>
      </c>
      <c r="AG42" s="1119">
        <v>0</v>
      </c>
      <c r="AH42" s="1122">
        <v>0</v>
      </c>
      <c r="AI42" s="1120">
        <v>0</v>
      </c>
      <c r="AJ42" s="1121">
        <v>0</v>
      </c>
      <c r="AK42" s="1119">
        <v>0</v>
      </c>
      <c r="AL42" s="1122">
        <v>0</v>
      </c>
      <c r="AM42" s="1120">
        <v>0</v>
      </c>
      <c r="AN42" s="1121">
        <v>0</v>
      </c>
      <c r="AO42" s="1123">
        <v>42294051.258690901</v>
      </c>
      <c r="AP42" s="1124"/>
      <c r="AQ42" s="1125">
        <v>42294051.258690901</v>
      </c>
      <c r="AR42" s="932"/>
    </row>
    <row r="43" spans="1:44">
      <c r="A43" s="157">
        <f t="shared" si="0"/>
        <v>32</v>
      </c>
      <c r="C43" s="321" t="str">
        <f t="shared" si="1"/>
        <v>W Increased ROE</v>
      </c>
      <c r="D43" s="211">
        <f t="shared" si="2"/>
        <v>2012</v>
      </c>
      <c r="E43" s="1045">
        <f>+E42</f>
        <v>0</v>
      </c>
      <c r="F43" s="1045">
        <f>+F42</f>
        <v>0</v>
      </c>
      <c r="G43" s="1045">
        <f t="shared" ref="G43" si="3">+E43-F43</f>
        <v>0</v>
      </c>
      <c r="H43" s="227">
        <f>+E$27*G43+F43</f>
        <v>0</v>
      </c>
      <c r="I43" s="1119">
        <v>257105641.16999999</v>
      </c>
      <c r="J43" s="1120">
        <v>23212480.969583798</v>
      </c>
      <c r="K43" s="1120">
        <v>233893160.200416</v>
      </c>
      <c r="L43" s="1121">
        <v>46688283.448017903</v>
      </c>
      <c r="M43" s="1119">
        <v>0</v>
      </c>
      <c r="N43" s="1120">
        <v>0</v>
      </c>
      <c r="O43" s="1120">
        <v>0</v>
      </c>
      <c r="P43" s="1121">
        <v>0</v>
      </c>
      <c r="Q43" s="1119">
        <v>0</v>
      </c>
      <c r="R43" s="1120">
        <v>0</v>
      </c>
      <c r="S43" s="1120">
        <v>0</v>
      </c>
      <c r="T43" s="1121">
        <v>0</v>
      </c>
      <c r="U43" s="1119">
        <v>0</v>
      </c>
      <c r="V43" s="1120">
        <v>0</v>
      </c>
      <c r="W43" s="1120">
        <v>0</v>
      </c>
      <c r="X43" s="1121">
        <v>0</v>
      </c>
      <c r="Y43" s="1119">
        <v>0</v>
      </c>
      <c r="Z43" s="1120">
        <v>0</v>
      </c>
      <c r="AA43" s="1120">
        <v>0</v>
      </c>
      <c r="AB43" s="1121">
        <v>0</v>
      </c>
      <c r="AC43" s="1119">
        <v>0</v>
      </c>
      <c r="AD43" s="1120">
        <v>0</v>
      </c>
      <c r="AE43" s="1120">
        <v>0</v>
      </c>
      <c r="AF43" s="1121">
        <v>0</v>
      </c>
      <c r="AG43" s="1119">
        <v>0</v>
      </c>
      <c r="AH43" s="1122">
        <v>0</v>
      </c>
      <c r="AI43" s="1120">
        <v>0</v>
      </c>
      <c r="AJ43" s="1121">
        <v>0</v>
      </c>
      <c r="AK43" s="1119">
        <v>0</v>
      </c>
      <c r="AL43" s="1122">
        <v>0</v>
      </c>
      <c r="AM43" s="1120">
        <v>0</v>
      </c>
      <c r="AN43" s="1121">
        <v>0</v>
      </c>
      <c r="AO43" s="1123">
        <v>45045903.700668</v>
      </c>
      <c r="AP43" s="1126">
        <v>45045903.700668</v>
      </c>
      <c r="AQ43" s="1127"/>
      <c r="AR43" s="932"/>
    </row>
    <row r="44" spans="1:44">
      <c r="A44" s="157">
        <f t="shared" si="0"/>
        <v>33</v>
      </c>
      <c r="C44" s="321" t="str">
        <f t="shared" si="1"/>
        <v>W  11.5 % ROE</v>
      </c>
      <c r="D44" s="211">
        <f t="shared" si="2"/>
        <v>2013</v>
      </c>
      <c r="E44" s="212"/>
      <c r="F44" s="212">
        <f>+E$29</f>
        <v>0</v>
      </c>
      <c r="G44" s="212">
        <f t="shared" ref="G44:G71" si="4">+E44-F44</f>
        <v>0</v>
      </c>
      <c r="H44" s="209">
        <f>+E$26*G44+F44</f>
        <v>0</v>
      </c>
      <c r="I44" s="1119">
        <v>257105641.16999999</v>
      </c>
      <c r="J44" s="1120">
        <v>28200330.408281799</v>
      </c>
      <c r="K44" s="1120">
        <v>228905310.761718</v>
      </c>
      <c r="L44" s="1121">
        <v>41325806.8930794</v>
      </c>
      <c r="M44" s="1119">
        <v>0</v>
      </c>
      <c r="N44" s="1120">
        <v>0</v>
      </c>
      <c r="O44" s="1120">
        <v>0</v>
      </c>
      <c r="P44" s="1121">
        <v>0</v>
      </c>
      <c r="Q44" s="1119">
        <v>0</v>
      </c>
      <c r="R44" s="1120">
        <v>0</v>
      </c>
      <c r="S44" s="1120">
        <v>0</v>
      </c>
      <c r="T44" s="1121">
        <v>0</v>
      </c>
      <c r="U44" s="1119">
        <v>0</v>
      </c>
      <c r="V44" s="1120">
        <v>0</v>
      </c>
      <c r="W44" s="1120">
        <v>0</v>
      </c>
      <c r="X44" s="1121">
        <v>0</v>
      </c>
      <c r="Y44" s="1119">
        <v>0</v>
      </c>
      <c r="Z44" s="1120">
        <v>0</v>
      </c>
      <c r="AA44" s="1120">
        <v>0</v>
      </c>
      <c r="AB44" s="1121">
        <v>0</v>
      </c>
      <c r="AC44" s="1119">
        <v>0</v>
      </c>
      <c r="AD44" s="1120">
        <v>0</v>
      </c>
      <c r="AE44" s="1120">
        <v>0</v>
      </c>
      <c r="AF44" s="1121">
        <v>0</v>
      </c>
      <c r="AG44" s="1119">
        <v>0</v>
      </c>
      <c r="AH44" s="1120">
        <v>0</v>
      </c>
      <c r="AI44" s="1120">
        <v>0</v>
      </c>
      <c r="AJ44" s="1121">
        <v>0</v>
      </c>
      <c r="AK44" s="1119">
        <v>0</v>
      </c>
      <c r="AL44" s="1120">
        <v>0</v>
      </c>
      <c r="AM44" s="1120">
        <v>0</v>
      </c>
      <c r="AN44" s="1121">
        <v>0</v>
      </c>
      <c r="AO44" s="1123">
        <v>37454481.159902498</v>
      </c>
      <c r="AP44" s="1124"/>
      <c r="AQ44" s="1125">
        <v>37454481.159902498</v>
      </c>
      <c r="AR44" s="932"/>
    </row>
    <row r="45" spans="1:44">
      <c r="A45" s="157">
        <f t="shared" si="0"/>
        <v>34</v>
      </c>
      <c r="C45" s="321" t="str">
        <f t="shared" si="1"/>
        <v>W Increased ROE</v>
      </c>
      <c r="D45" s="211">
        <f t="shared" si="2"/>
        <v>2013</v>
      </c>
      <c r="E45" s="212">
        <f>+E44</f>
        <v>0</v>
      </c>
      <c r="F45" s="212">
        <f>+F44</f>
        <v>0</v>
      </c>
      <c r="G45" s="212">
        <f t="shared" si="4"/>
        <v>0</v>
      </c>
      <c r="H45" s="209">
        <f>+E$27*G45+F45</f>
        <v>0</v>
      </c>
      <c r="I45" s="1119">
        <v>257105641.16999999</v>
      </c>
      <c r="J45" s="1120">
        <v>28200330.408281799</v>
      </c>
      <c r="K45" s="1120">
        <v>228905310.761718</v>
      </c>
      <c r="L45" s="1121">
        <v>44000978.457277</v>
      </c>
      <c r="M45" s="1119">
        <v>0</v>
      </c>
      <c r="N45" s="1120">
        <v>0</v>
      </c>
      <c r="O45" s="1120">
        <v>0</v>
      </c>
      <c r="P45" s="1121">
        <v>0</v>
      </c>
      <c r="Q45" s="1119">
        <v>0</v>
      </c>
      <c r="R45" s="1120">
        <v>0</v>
      </c>
      <c r="S45" s="1120">
        <v>0</v>
      </c>
      <c r="T45" s="1121">
        <v>0</v>
      </c>
      <c r="U45" s="1119">
        <v>0</v>
      </c>
      <c r="V45" s="1120">
        <v>0</v>
      </c>
      <c r="W45" s="1120">
        <v>0</v>
      </c>
      <c r="X45" s="1121">
        <v>0</v>
      </c>
      <c r="Y45" s="1119">
        <v>0</v>
      </c>
      <c r="Z45" s="1120">
        <v>0</v>
      </c>
      <c r="AA45" s="1120">
        <v>0</v>
      </c>
      <c r="AB45" s="1121">
        <v>0</v>
      </c>
      <c r="AC45" s="1119">
        <v>0</v>
      </c>
      <c r="AD45" s="1120">
        <v>0</v>
      </c>
      <c r="AE45" s="1120">
        <v>0</v>
      </c>
      <c r="AF45" s="1121">
        <v>0</v>
      </c>
      <c r="AG45" s="1119">
        <v>0</v>
      </c>
      <c r="AH45" s="1120">
        <v>0</v>
      </c>
      <c r="AI45" s="1120">
        <v>0</v>
      </c>
      <c r="AJ45" s="1121">
        <v>0</v>
      </c>
      <c r="AK45" s="1119">
        <v>0</v>
      </c>
      <c r="AL45" s="1120">
        <v>0</v>
      </c>
      <c r="AM45" s="1120">
        <v>0</v>
      </c>
      <c r="AN45" s="1121">
        <v>0</v>
      </c>
      <c r="AO45" s="1123">
        <v>39879047.562440701</v>
      </c>
      <c r="AP45" s="1126">
        <v>39879047.562440701</v>
      </c>
      <c r="AQ45" s="1127"/>
      <c r="AR45" s="932"/>
    </row>
    <row r="46" spans="1:44">
      <c r="A46" s="157">
        <f t="shared" si="0"/>
        <v>35</v>
      </c>
      <c r="C46" s="321" t="str">
        <f t="shared" si="1"/>
        <v>W  11.5 % ROE</v>
      </c>
      <c r="D46" s="211">
        <f t="shared" si="2"/>
        <v>2014</v>
      </c>
      <c r="E46" s="1045"/>
      <c r="F46" s="1045">
        <f>+E$29</f>
        <v>0</v>
      </c>
      <c r="G46" s="1045">
        <f t="shared" si="4"/>
        <v>0</v>
      </c>
      <c r="H46" s="209">
        <f t="shared" ref="H46:H47" si="5">+E$27*G46+F46</f>
        <v>0</v>
      </c>
      <c r="I46" s="1119">
        <v>257105641.16999999</v>
      </c>
      <c r="J46" s="1120">
        <v>33805233.3857878</v>
      </c>
      <c r="K46" s="1120">
        <v>223300407.78421217</v>
      </c>
      <c r="L46" s="1121">
        <v>36013332.816592418</v>
      </c>
      <c r="M46" s="214">
        <f>+O45</f>
        <v>0</v>
      </c>
      <c r="N46" s="212">
        <f t="shared" ref="N46:N73" si="6">+N45</f>
        <v>0</v>
      </c>
      <c r="O46" s="212">
        <f t="shared" ref="O46:O71" si="7">+M46-N46</f>
        <v>0</v>
      </c>
      <c r="P46" s="207">
        <f>+M$26*O46+N46</f>
        <v>0</v>
      </c>
      <c r="Q46" s="214">
        <f>+S45</f>
        <v>0</v>
      </c>
      <c r="R46" s="212">
        <v>0</v>
      </c>
      <c r="S46" s="212">
        <v>0</v>
      </c>
      <c r="T46" s="207">
        <v>0</v>
      </c>
      <c r="U46" s="214">
        <f>+W45</f>
        <v>0</v>
      </c>
      <c r="V46" s="212">
        <f>+U$29</f>
        <v>0</v>
      </c>
      <c r="W46" s="212">
        <f t="shared" ref="W46:W71" si="8">+U46-V46</f>
        <v>0</v>
      </c>
      <c r="X46" s="207">
        <f>+U$26*W46+V46</f>
        <v>0</v>
      </c>
      <c r="Y46" s="214">
        <f>+AA45</f>
        <v>0</v>
      </c>
      <c r="Z46" s="212">
        <f>+Y$29</f>
        <v>0</v>
      </c>
      <c r="AA46" s="212">
        <f t="shared" ref="AA46:AA71" si="9">+Y46-Z46</f>
        <v>0</v>
      </c>
      <c r="AB46" s="207">
        <f>+Y$26*AA46+Z46</f>
        <v>0</v>
      </c>
      <c r="AC46" s="214">
        <f>+AE45</f>
        <v>0</v>
      </c>
      <c r="AD46" s="212">
        <f>+AC$29</f>
        <v>0</v>
      </c>
      <c r="AE46" s="212">
        <f t="shared" ref="AE46:AE71" si="10">+AC46-AD46</f>
        <v>0</v>
      </c>
      <c r="AF46" s="207">
        <f>+AC$26*AE46+AD46</f>
        <v>0</v>
      </c>
      <c r="AG46" s="214">
        <f>+AI45</f>
        <v>0</v>
      </c>
      <c r="AH46" s="212">
        <f>+AG$29</f>
        <v>0</v>
      </c>
      <c r="AI46" s="212">
        <f t="shared" ref="AI46:AI71" si="11">+AG46-AH46</f>
        <v>0</v>
      </c>
      <c r="AJ46" s="207">
        <f>+AG$26*AI46+AH46</f>
        <v>0</v>
      </c>
      <c r="AK46" s="214">
        <f>+AM45</f>
        <v>0</v>
      </c>
      <c r="AL46" s="212">
        <f>+AK$29</f>
        <v>0</v>
      </c>
      <c r="AM46" s="212">
        <f t="shared" ref="AM46:AM71" si="12">+AK46-AL46</f>
        <v>0</v>
      </c>
      <c r="AN46" s="207">
        <f>+AK$26*AM46+AL46</f>
        <v>0</v>
      </c>
      <c r="AO46" s="225">
        <f t="shared" ref="AO46:AO71" si="13">+P46+L46+H46</f>
        <v>36013332.816592418</v>
      </c>
      <c r="AP46" s="188"/>
      <c r="AQ46" s="213">
        <f>+AO46</f>
        <v>36013332.816592418</v>
      </c>
    </row>
    <row r="47" spans="1:44">
      <c r="A47" s="157">
        <f t="shared" si="0"/>
        <v>36</v>
      </c>
      <c r="C47" s="321" t="str">
        <f t="shared" si="1"/>
        <v>W Increased ROE</v>
      </c>
      <c r="D47" s="211">
        <f t="shared" si="2"/>
        <v>2014</v>
      </c>
      <c r="E47" s="1045">
        <f>+E46</f>
        <v>0</v>
      </c>
      <c r="F47" s="1045">
        <f>+F46</f>
        <v>0</v>
      </c>
      <c r="G47" s="1045">
        <f t="shared" si="4"/>
        <v>0</v>
      </c>
      <c r="H47" s="209">
        <f t="shared" si="5"/>
        <v>0</v>
      </c>
      <c r="I47" s="1119">
        <v>257105641.16999999</v>
      </c>
      <c r="J47" s="1120">
        <v>33805233.3857878</v>
      </c>
      <c r="K47" s="1120">
        <v>223300407.78421217</v>
      </c>
      <c r="L47" s="1121">
        <v>38467832.299898364</v>
      </c>
      <c r="M47" s="214">
        <f>+M46</f>
        <v>0</v>
      </c>
      <c r="N47" s="212">
        <f t="shared" si="6"/>
        <v>0</v>
      </c>
      <c r="O47" s="212">
        <f t="shared" si="7"/>
        <v>0</v>
      </c>
      <c r="P47" s="207">
        <f>+M$27*O47+N47</f>
        <v>0</v>
      </c>
      <c r="Q47" s="214">
        <v>0</v>
      </c>
      <c r="R47" s="212">
        <v>0</v>
      </c>
      <c r="S47" s="212">
        <v>0</v>
      </c>
      <c r="T47" s="207">
        <v>0</v>
      </c>
      <c r="U47" s="214">
        <f>+U46</f>
        <v>0</v>
      </c>
      <c r="V47" s="212">
        <f>+V46</f>
        <v>0</v>
      </c>
      <c r="W47" s="212">
        <f t="shared" si="8"/>
        <v>0</v>
      </c>
      <c r="X47" s="207">
        <f>+U$27*W47+V47</f>
        <v>0</v>
      </c>
      <c r="Y47" s="214">
        <f>+Y46</f>
        <v>0</v>
      </c>
      <c r="Z47" s="212">
        <f>+Z46</f>
        <v>0</v>
      </c>
      <c r="AA47" s="212">
        <f t="shared" si="9"/>
        <v>0</v>
      </c>
      <c r="AB47" s="207">
        <f>+Y$27*AA47+Z47</f>
        <v>0</v>
      </c>
      <c r="AC47" s="214">
        <f>+AC46</f>
        <v>0</v>
      </c>
      <c r="AD47" s="212">
        <f>+AD46</f>
        <v>0</v>
      </c>
      <c r="AE47" s="212">
        <f t="shared" si="10"/>
        <v>0</v>
      </c>
      <c r="AF47" s="207">
        <f>+AC$27*AE47+AD47</f>
        <v>0</v>
      </c>
      <c r="AG47" s="214">
        <f>+AG46</f>
        <v>0</v>
      </c>
      <c r="AH47" s="212">
        <f>+AH46</f>
        <v>0</v>
      </c>
      <c r="AI47" s="212">
        <f t="shared" si="11"/>
        <v>0</v>
      </c>
      <c r="AJ47" s="207">
        <f>+AG$27*AI47+AH47</f>
        <v>0</v>
      </c>
      <c r="AK47" s="214">
        <f>+AK46</f>
        <v>0</v>
      </c>
      <c r="AL47" s="212">
        <f>+AL46</f>
        <v>0</v>
      </c>
      <c r="AM47" s="212">
        <f t="shared" si="12"/>
        <v>0</v>
      </c>
      <c r="AN47" s="207">
        <f>+AK$27*AM47+AL47</f>
        <v>0</v>
      </c>
      <c r="AO47" s="225">
        <f t="shared" si="13"/>
        <v>38467832.299898364</v>
      </c>
      <c r="AP47" s="350">
        <f>+AO47</f>
        <v>38467832.299898364</v>
      </c>
      <c r="AQ47" s="187"/>
    </row>
    <row r="48" spans="1:44">
      <c r="A48" s="157">
        <f t="shared" si="0"/>
        <v>37</v>
      </c>
      <c r="C48" s="321" t="str">
        <f t="shared" si="1"/>
        <v>W  11.5 % ROE</v>
      </c>
      <c r="D48" s="211">
        <f t="shared" si="2"/>
        <v>2015</v>
      </c>
      <c r="E48" s="212"/>
      <c r="F48" s="212">
        <f>+E$29</f>
        <v>0</v>
      </c>
      <c r="G48" s="212">
        <f t="shared" si="4"/>
        <v>0</v>
      </c>
      <c r="H48" s="209">
        <f>+E$26*G48+F48</f>
        <v>0</v>
      </c>
      <c r="I48" s="1119">
        <v>257105641.16999999</v>
      </c>
      <c r="J48" s="1120">
        <v>39410136.363293797</v>
      </c>
      <c r="K48" s="1120">
        <v>217695504.80670619</v>
      </c>
      <c r="L48" s="1121">
        <v>36052076.248595484</v>
      </c>
      <c r="M48" s="935">
        <v>28403548.373749986</v>
      </c>
      <c r="N48" s="212">
        <v>0</v>
      </c>
      <c r="O48" s="212">
        <v>28403548.373749986</v>
      </c>
      <c r="P48" s="207">
        <v>4704122.3205070822</v>
      </c>
      <c r="Q48" s="214">
        <v>0</v>
      </c>
      <c r="R48" s="212">
        <v>0</v>
      </c>
      <c r="S48" s="212">
        <v>0</v>
      </c>
      <c r="T48" s="207">
        <v>0</v>
      </c>
      <c r="U48" s="214">
        <f>+W47</f>
        <v>0</v>
      </c>
      <c r="V48" s="212">
        <f>+U$29</f>
        <v>0</v>
      </c>
      <c r="W48" s="212">
        <f t="shared" si="8"/>
        <v>0</v>
      </c>
      <c r="X48" s="207">
        <f>+U$26*W48+V48</f>
        <v>0</v>
      </c>
      <c r="Y48" s="214">
        <f>+AA47</f>
        <v>0</v>
      </c>
      <c r="Z48" s="212">
        <f>+Y$29</f>
        <v>0</v>
      </c>
      <c r="AA48" s="212">
        <f t="shared" si="9"/>
        <v>0</v>
      </c>
      <c r="AB48" s="207">
        <f>+Y$26*AA48+Z48</f>
        <v>0</v>
      </c>
      <c r="AC48" s="214">
        <f>+AE47</f>
        <v>0</v>
      </c>
      <c r="AD48" s="212">
        <f>+AC$29</f>
        <v>0</v>
      </c>
      <c r="AE48" s="212">
        <f t="shared" si="10"/>
        <v>0</v>
      </c>
      <c r="AF48" s="207">
        <f>+AC$26*AE48+AD48</f>
        <v>0</v>
      </c>
      <c r="AG48" s="214">
        <f>+AI47</f>
        <v>0</v>
      </c>
      <c r="AH48" s="212">
        <f>+AG$29</f>
        <v>0</v>
      </c>
      <c r="AI48" s="212">
        <f t="shared" si="11"/>
        <v>0</v>
      </c>
      <c r="AJ48" s="207">
        <f>+AG$26*AI48+AH48</f>
        <v>0</v>
      </c>
      <c r="AK48" s="214">
        <f>+AM47</f>
        <v>0</v>
      </c>
      <c r="AL48" s="212">
        <f>+AK$29</f>
        <v>0</v>
      </c>
      <c r="AM48" s="212">
        <f t="shared" si="12"/>
        <v>0</v>
      </c>
      <c r="AN48" s="207">
        <f>+AK$26*AM48+AL48</f>
        <v>0</v>
      </c>
      <c r="AO48" s="225">
        <f t="shared" si="13"/>
        <v>40756198.569102563</v>
      </c>
      <c r="AP48" s="188"/>
      <c r="AQ48" s="213">
        <f>+AO48</f>
        <v>40756198.569102563</v>
      </c>
    </row>
    <row r="49" spans="1:43">
      <c r="A49" s="157">
        <f t="shared" si="0"/>
        <v>38</v>
      </c>
      <c r="C49" s="321" t="str">
        <f t="shared" si="1"/>
        <v>W Increased ROE</v>
      </c>
      <c r="D49" s="211">
        <f t="shared" si="2"/>
        <v>2015</v>
      </c>
      <c r="E49" s="212">
        <f>+E48</f>
        <v>0</v>
      </c>
      <c r="F49" s="212">
        <f>+F48</f>
        <v>0</v>
      </c>
      <c r="G49" s="212">
        <f t="shared" si="4"/>
        <v>0</v>
      </c>
      <c r="H49" s="209">
        <f>+E$27*G49+F49</f>
        <v>0</v>
      </c>
      <c r="I49" s="1119">
        <v>257105641.16999999</v>
      </c>
      <c r="J49" s="1120">
        <v>39410136.363293797</v>
      </c>
      <c r="K49" s="1120">
        <v>217695504.80670619</v>
      </c>
      <c r="L49" s="1121">
        <v>38493561.643816933</v>
      </c>
      <c r="M49" s="935">
        <v>28403548.373749986</v>
      </c>
      <c r="N49" s="212">
        <v>0</v>
      </c>
      <c r="O49" s="212">
        <v>28403548.373749986</v>
      </c>
      <c r="P49" s="207">
        <v>4704122.3205070822</v>
      </c>
      <c r="Q49" s="214">
        <v>0</v>
      </c>
      <c r="R49" s="212">
        <v>0</v>
      </c>
      <c r="S49" s="212">
        <v>0</v>
      </c>
      <c r="T49" s="207">
        <v>0</v>
      </c>
      <c r="U49" s="214">
        <f>+U48</f>
        <v>0</v>
      </c>
      <c r="V49" s="212">
        <f>+V48</f>
        <v>0</v>
      </c>
      <c r="W49" s="212">
        <f t="shared" si="8"/>
        <v>0</v>
      </c>
      <c r="X49" s="207">
        <f>+U$27*W49+V49</f>
        <v>0</v>
      </c>
      <c r="Y49" s="214">
        <f>+Y48</f>
        <v>0</v>
      </c>
      <c r="Z49" s="212">
        <f>+Z48</f>
        <v>0</v>
      </c>
      <c r="AA49" s="212">
        <f t="shared" si="9"/>
        <v>0</v>
      </c>
      <c r="AB49" s="207">
        <f>+Y$27*AA49+Z49</f>
        <v>0</v>
      </c>
      <c r="AC49" s="214">
        <f>+AC48</f>
        <v>0</v>
      </c>
      <c r="AD49" s="212">
        <f>+AD48</f>
        <v>0</v>
      </c>
      <c r="AE49" s="212">
        <f t="shared" si="10"/>
        <v>0</v>
      </c>
      <c r="AF49" s="207">
        <f>+AC$27*AE49+AD49</f>
        <v>0</v>
      </c>
      <c r="AG49" s="214">
        <f>+AG48</f>
        <v>0</v>
      </c>
      <c r="AH49" s="212">
        <f>+AH48</f>
        <v>0</v>
      </c>
      <c r="AI49" s="212">
        <f t="shared" si="11"/>
        <v>0</v>
      </c>
      <c r="AJ49" s="207">
        <f>+AG$27*AI49+AH49</f>
        <v>0</v>
      </c>
      <c r="AK49" s="214">
        <f>+AK48</f>
        <v>0</v>
      </c>
      <c r="AL49" s="212">
        <f>+AL48</f>
        <v>0</v>
      </c>
      <c r="AM49" s="212">
        <f t="shared" si="12"/>
        <v>0</v>
      </c>
      <c r="AN49" s="207">
        <f>+AK$27*AM49+AL49</f>
        <v>0</v>
      </c>
      <c r="AO49" s="225">
        <f t="shared" si="13"/>
        <v>43197683.964324012</v>
      </c>
      <c r="AP49" s="350">
        <f>+AO49</f>
        <v>43197683.964324012</v>
      </c>
      <c r="AQ49" s="187"/>
    </row>
    <row r="50" spans="1:43">
      <c r="A50" s="157">
        <f t="shared" si="0"/>
        <v>39</v>
      </c>
      <c r="C50" s="321" t="str">
        <f t="shared" si="1"/>
        <v>W  11.5 % ROE</v>
      </c>
      <c r="D50" s="211">
        <f t="shared" si="2"/>
        <v>2016</v>
      </c>
      <c r="E50" s="212"/>
      <c r="F50" s="212">
        <f>+E$29</f>
        <v>0</v>
      </c>
      <c r="G50" s="212">
        <f t="shared" si="4"/>
        <v>0</v>
      </c>
      <c r="H50" s="209">
        <f>+E$26*G50+F50</f>
        <v>0</v>
      </c>
      <c r="I50" s="1119">
        <v>257105641.16999999</v>
      </c>
      <c r="J50" s="1120">
        <v>45015039.340799794</v>
      </c>
      <c r="K50" s="1120">
        <v>212090601.82920021</v>
      </c>
      <c r="L50" s="1121">
        <v>33940421.811594538</v>
      </c>
      <c r="M50" s="214">
        <v>120264742.83333333</v>
      </c>
      <c r="N50" s="212">
        <v>0</v>
      </c>
      <c r="O50" s="212">
        <v>120264742.83333333</v>
      </c>
      <c r="P50" s="207">
        <v>19245718.884391867</v>
      </c>
      <c r="Q50" s="214">
        <v>18746458</v>
      </c>
      <c r="R50" s="212">
        <v>189887.20141666668</v>
      </c>
      <c r="S50" s="212">
        <v>18556570.798583332</v>
      </c>
      <c r="T50" s="207">
        <v>3159456.974186881</v>
      </c>
      <c r="U50" s="214">
        <f>+W49</f>
        <v>0</v>
      </c>
      <c r="V50" s="212">
        <f>+U$29</f>
        <v>0</v>
      </c>
      <c r="W50" s="212">
        <f t="shared" si="8"/>
        <v>0</v>
      </c>
      <c r="X50" s="207">
        <f>+U$26*W50+V50</f>
        <v>0</v>
      </c>
      <c r="Y50" s="214">
        <f>+AA49</f>
        <v>0</v>
      </c>
      <c r="Z50" s="212">
        <f>+Y$29</f>
        <v>0</v>
      </c>
      <c r="AA50" s="212">
        <f t="shared" si="9"/>
        <v>0</v>
      </c>
      <c r="AB50" s="207">
        <f>+Y$26*AA50+Z50</f>
        <v>0</v>
      </c>
      <c r="AC50" s="214">
        <f>+AE49</f>
        <v>0</v>
      </c>
      <c r="AD50" s="212">
        <f>+AC$29</f>
        <v>0</v>
      </c>
      <c r="AE50" s="212">
        <f t="shared" si="10"/>
        <v>0</v>
      </c>
      <c r="AF50" s="207">
        <f>+AC$26*AE50+AD50</f>
        <v>0</v>
      </c>
      <c r="AG50" s="214">
        <f>+AI49</f>
        <v>0</v>
      </c>
      <c r="AH50" s="212">
        <f>+AG$29</f>
        <v>0</v>
      </c>
      <c r="AI50" s="212">
        <f t="shared" si="11"/>
        <v>0</v>
      </c>
      <c r="AJ50" s="207">
        <f>+AG$26*AI50+AH50</f>
        <v>0</v>
      </c>
      <c r="AK50" s="214">
        <f>+AM49</f>
        <v>0</v>
      </c>
      <c r="AL50" s="212">
        <f>+AK$29</f>
        <v>0</v>
      </c>
      <c r="AM50" s="212">
        <f t="shared" si="12"/>
        <v>0</v>
      </c>
      <c r="AN50" s="207">
        <f>+AK$26*AM50+AL50</f>
        <v>0</v>
      </c>
      <c r="AO50" s="225">
        <f>+P50+L50+H50+T50</f>
        <v>56345597.670173287</v>
      </c>
      <c r="AP50" s="188"/>
      <c r="AQ50" s="213">
        <f>+AO50</f>
        <v>56345597.670173287</v>
      </c>
    </row>
    <row r="51" spans="1:43">
      <c r="A51" s="157">
        <f t="shared" si="0"/>
        <v>40</v>
      </c>
      <c r="C51" s="321" t="str">
        <f t="shared" si="1"/>
        <v>W Increased ROE</v>
      </c>
      <c r="D51" s="211">
        <f t="shared" si="2"/>
        <v>2016</v>
      </c>
      <c r="E51" s="212">
        <f>+E50</f>
        <v>0</v>
      </c>
      <c r="F51" s="212">
        <f>+F50</f>
        <v>0</v>
      </c>
      <c r="G51" s="212">
        <f t="shared" si="4"/>
        <v>0</v>
      </c>
      <c r="H51" s="209">
        <f>+E$27*G51+F51</f>
        <v>0</v>
      </c>
      <c r="I51" s="1119">
        <v>257105641.16999999</v>
      </c>
      <c r="J51" s="1120">
        <v>45015039.340799794</v>
      </c>
      <c r="K51" s="1120">
        <v>212090601.82920021</v>
      </c>
      <c r="L51" s="1121">
        <v>36284834.343049973</v>
      </c>
      <c r="M51" s="935">
        <v>120264742.83333333</v>
      </c>
      <c r="N51" s="212">
        <v>0</v>
      </c>
      <c r="O51" s="212">
        <v>120264742.83333333</v>
      </c>
      <c r="P51" s="207">
        <v>19245718.884391867</v>
      </c>
      <c r="Q51" s="935">
        <v>18746458</v>
      </c>
      <c r="R51" s="212">
        <v>189887.20141666668</v>
      </c>
      <c r="S51" s="212">
        <v>18556570.798583332</v>
      </c>
      <c r="T51" s="207">
        <v>3159456.974186881</v>
      </c>
      <c r="U51" s="214">
        <f>+U50</f>
        <v>0</v>
      </c>
      <c r="V51" s="212">
        <f>+V50</f>
        <v>0</v>
      </c>
      <c r="W51" s="212">
        <f t="shared" si="8"/>
        <v>0</v>
      </c>
      <c r="X51" s="207">
        <f>+U$27*W51+V51</f>
        <v>0</v>
      </c>
      <c r="Y51" s="214">
        <f>+Y50</f>
        <v>0</v>
      </c>
      <c r="Z51" s="212">
        <f>+Z50</f>
        <v>0</v>
      </c>
      <c r="AA51" s="212">
        <f t="shared" si="9"/>
        <v>0</v>
      </c>
      <c r="AB51" s="207">
        <f>+Y$27*AA51+Z51</f>
        <v>0</v>
      </c>
      <c r="AC51" s="214">
        <f>+AC50</f>
        <v>0</v>
      </c>
      <c r="AD51" s="212">
        <f>+AD50</f>
        <v>0</v>
      </c>
      <c r="AE51" s="212">
        <f t="shared" si="10"/>
        <v>0</v>
      </c>
      <c r="AF51" s="207">
        <f>+AC$27*AE51+AD51</f>
        <v>0</v>
      </c>
      <c r="AG51" s="214">
        <f>+AG50</f>
        <v>0</v>
      </c>
      <c r="AH51" s="212">
        <f>+AH50</f>
        <v>0</v>
      </c>
      <c r="AI51" s="212">
        <f t="shared" si="11"/>
        <v>0</v>
      </c>
      <c r="AJ51" s="207">
        <f>+AG$27*AI51+AH51</f>
        <v>0</v>
      </c>
      <c r="AK51" s="214">
        <f>+AK50</f>
        <v>0</v>
      </c>
      <c r="AL51" s="212">
        <f>+AL50</f>
        <v>0</v>
      </c>
      <c r="AM51" s="212">
        <f t="shared" si="12"/>
        <v>0</v>
      </c>
      <c r="AN51" s="207">
        <f>+AK$27*AM51+AL51</f>
        <v>0</v>
      </c>
      <c r="AO51" s="225">
        <f>+P51+L51+H51+T51</f>
        <v>58690010.201628722</v>
      </c>
      <c r="AP51" s="350">
        <f>+AO51</f>
        <v>58690010.201628722</v>
      </c>
      <c r="AQ51" s="187"/>
    </row>
    <row r="52" spans="1:43">
      <c r="A52" s="157">
        <f t="shared" si="0"/>
        <v>41</v>
      </c>
      <c r="C52" s="321" t="str">
        <f t="shared" si="1"/>
        <v>W  11.5 % ROE</v>
      </c>
      <c r="D52" s="211">
        <f t="shared" si="2"/>
        <v>2017</v>
      </c>
      <c r="E52" s="212"/>
      <c r="F52" s="212">
        <f>+E$29</f>
        <v>0</v>
      </c>
      <c r="G52" s="212">
        <f t="shared" si="4"/>
        <v>0</v>
      </c>
      <c r="H52" s="209">
        <f>+E$26*G52+F52</f>
        <v>0</v>
      </c>
      <c r="I52" s="1119">
        <f>$I$28</f>
        <v>257105641.16999999</v>
      </c>
      <c r="J52" s="1120">
        <f>J50+$I$29</f>
        <v>50619942.31830579</v>
      </c>
      <c r="K52" s="1120">
        <f>I52-J52</f>
        <v>206485698.8516942</v>
      </c>
      <c r="L52" s="1121">
        <f>+I$26*K52</f>
        <v>35391524.529623725</v>
      </c>
      <c r="M52" s="935">
        <f>$M$28</f>
        <v>80140043.583333343</v>
      </c>
      <c r="N52" s="933">
        <f t="shared" si="6"/>
        <v>0</v>
      </c>
      <c r="O52" s="933">
        <f t="shared" si="7"/>
        <v>80140043.583333343</v>
      </c>
      <c r="P52" s="936">
        <f>+M$26*O52+N52</f>
        <v>13735955.245606517</v>
      </c>
      <c r="Q52" s="935">
        <f t="shared" ref="Q52:Q53" si="14">$Q$28</f>
        <v>176580790</v>
      </c>
      <c r="R52" s="1045">
        <f>(6069360/$Q$23)+(12677098/$Q$23)+(157834332/$Q$23*(6.5/12))+R50</f>
        <v>2462320.389516667</v>
      </c>
      <c r="S52" s="1045">
        <f t="shared" ref="S52:S53" si="15">+Q52-R52</f>
        <v>174118469.61048332</v>
      </c>
      <c r="T52" s="228">
        <f>+Q$26*S52+R52</f>
        <v>32306121.304300465</v>
      </c>
      <c r="U52" s="935">
        <f>+W51</f>
        <v>0</v>
      </c>
      <c r="V52" s="933">
        <f>+U$29</f>
        <v>0</v>
      </c>
      <c r="W52" s="933">
        <f t="shared" ref="W52:W53" si="16">+U52-V52</f>
        <v>0</v>
      </c>
      <c r="X52" s="936">
        <f>+U$26*W52+V52</f>
        <v>0</v>
      </c>
      <c r="Y52" s="935">
        <f>+AA51</f>
        <v>0</v>
      </c>
      <c r="Z52" s="933">
        <f>+Y$29</f>
        <v>0</v>
      </c>
      <c r="AA52" s="933">
        <f t="shared" ref="AA52:AA53" si="17">+Y52-Z52</f>
        <v>0</v>
      </c>
      <c r="AB52" s="936">
        <f>+Y$26*AA52+Z52</f>
        <v>0</v>
      </c>
      <c r="AC52" s="935">
        <f>+AE51</f>
        <v>0</v>
      </c>
      <c r="AD52" s="933">
        <f>+AC$29</f>
        <v>0</v>
      </c>
      <c r="AE52" s="933">
        <f t="shared" ref="AE52:AE53" si="18">+AC52-AD52</f>
        <v>0</v>
      </c>
      <c r="AF52" s="936">
        <f>+AC$26*AE52+AD52</f>
        <v>0</v>
      </c>
      <c r="AG52" s="935">
        <f>+AI51</f>
        <v>0</v>
      </c>
      <c r="AH52" s="933">
        <f>+AG$29</f>
        <v>0</v>
      </c>
      <c r="AI52" s="933">
        <f t="shared" ref="AI52:AI53" si="19">+AG52-AH52</f>
        <v>0</v>
      </c>
      <c r="AJ52" s="936">
        <f>+AG$26*AI52+AH52</f>
        <v>0</v>
      </c>
      <c r="AK52" s="935">
        <f>+AM51</f>
        <v>0</v>
      </c>
      <c r="AL52" s="933">
        <f>+AK$29</f>
        <v>0</v>
      </c>
      <c r="AM52" s="933">
        <f t="shared" ref="AM52:AM53" si="20">+AK52-AL52</f>
        <v>0</v>
      </c>
      <c r="AN52" s="936">
        <f>+AK$26*AM52+AL52</f>
        <v>0</v>
      </c>
      <c r="AO52" s="937">
        <f>+P52+L52+H52+T52</f>
        <v>81433601.079530716</v>
      </c>
      <c r="AP52" s="938"/>
      <c r="AQ52" s="939">
        <f>+AO52</f>
        <v>81433601.079530716</v>
      </c>
    </row>
    <row r="53" spans="1:43">
      <c r="A53" s="157">
        <f t="shared" ref="A53:A73" si="21">+A52+1</f>
        <v>42</v>
      </c>
      <c r="C53" s="321" t="str">
        <f t="shared" si="1"/>
        <v>W Increased ROE</v>
      </c>
      <c r="D53" s="211">
        <f t="shared" si="2"/>
        <v>2017</v>
      </c>
      <c r="E53" s="212">
        <f>+E52</f>
        <v>0</v>
      </c>
      <c r="F53" s="212">
        <f>+F52</f>
        <v>0</v>
      </c>
      <c r="G53" s="212">
        <f t="shared" si="4"/>
        <v>0</v>
      </c>
      <c r="H53" s="209">
        <f>+E$27*G53+F53</f>
        <v>0</v>
      </c>
      <c r="I53" s="1119">
        <f>$I$28</f>
        <v>257105641.16999999</v>
      </c>
      <c r="J53" s="1120">
        <f>J52</f>
        <v>50619942.31830579</v>
      </c>
      <c r="K53" s="1120">
        <f>I53-J53</f>
        <v>206485698.8516942</v>
      </c>
      <c r="L53" s="1121">
        <f>+I$27*K53</f>
        <v>37923058.880868264</v>
      </c>
      <c r="M53" s="935">
        <f>$M$28</f>
        <v>80140043.583333343</v>
      </c>
      <c r="N53" s="933">
        <f t="shared" si="6"/>
        <v>0</v>
      </c>
      <c r="O53" s="933">
        <f t="shared" si="7"/>
        <v>80140043.583333343</v>
      </c>
      <c r="P53" s="936">
        <f>+M$27*O53+N53</f>
        <v>13735955.245606517</v>
      </c>
      <c r="Q53" s="935">
        <f t="shared" si="14"/>
        <v>176580790</v>
      </c>
      <c r="R53" s="1045">
        <f>+R52</f>
        <v>2462320.389516667</v>
      </c>
      <c r="S53" s="1045">
        <f t="shared" si="15"/>
        <v>174118469.61048332</v>
      </c>
      <c r="T53" s="228">
        <f>+Q$27*S53+R53</f>
        <v>32306121.304300465</v>
      </c>
      <c r="U53" s="935">
        <f>+U52</f>
        <v>0</v>
      </c>
      <c r="V53" s="933">
        <f>+V52</f>
        <v>0</v>
      </c>
      <c r="W53" s="933">
        <f t="shared" si="16"/>
        <v>0</v>
      </c>
      <c r="X53" s="936">
        <f>+U$27*W53+V53</f>
        <v>0</v>
      </c>
      <c r="Y53" s="935">
        <f>+Y52</f>
        <v>0</v>
      </c>
      <c r="Z53" s="933">
        <f>+Z52</f>
        <v>0</v>
      </c>
      <c r="AA53" s="933">
        <f t="shared" si="17"/>
        <v>0</v>
      </c>
      <c r="AB53" s="936">
        <f>+Y$27*AA53+Z53</f>
        <v>0</v>
      </c>
      <c r="AC53" s="935">
        <f>+AC52</f>
        <v>0</v>
      </c>
      <c r="AD53" s="933">
        <f>+AD52</f>
        <v>0</v>
      </c>
      <c r="AE53" s="933">
        <f t="shared" si="18"/>
        <v>0</v>
      </c>
      <c r="AF53" s="936">
        <f>+AC$27*AE53+AD53</f>
        <v>0</v>
      </c>
      <c r="AG53" s="935">
        <f>+AG52</f>
        <v>0</v>
      </c>
      <c r="AH53" s="933">
        <f>+AH52</f>
        <v>0</v>
      </c>
      <c r="AI53" s="933">
        <f t="shared" si="19"/>
        <v>0</v>
      </c>
      <c r="AJ53" s="936">
        <f>+AG$27*AI53+AH53</f>
        <v>0</v>
      </c>
      <c r="AK53" s="935">
        <f>+AK52</f>
        <v>0</v>
      </c>
      <c r="AL53" s="933">
        <f>+AL52</f>
        <v>0</v>
      </c>
      <c r="AM53" s="933">
        <f t="shared" si="20"/>
        <v>0</v>
      </c>
      <c r="AN53" s="936">
        <f>+AK$27*AM53+AL53</f>
        <v>0</v>
      </c>
      <c r="AO53" s="937">
        <f>+P53+L53+H53+T53</f>
        <v>83965135.430775255</v>
      </c>
      <c r="AP53" s="350">
        <f>+AO53</f>
        <v>83965135.430775255</v>
      </c>
      <c r="AQ53" s="187"/>
    </row>
    <row r="54" spans="1:43">
      <c r="A54" s="157">
        <f t="shared" si="21"/>
        <v>43</v>
      </c>
      <c r="C54" s="321" t="str">
        <f t="shared" si="1"/>
        <v>W  11.5 % ROE</v>
      </c>
      <c r="D54" s="211">
        <f t="shared" si="2"/>
        <v>2018</v>
      </c>
      <c r="E54" s="212"/>
      <c r="F54" s="212">
        <f>+E$29</f>
        <v>0</v>
      </c>
      <c r="G54" s="212">
        <f t="shared" si="4"/>
        <v>0</v>
      </c>
      <c r="H54" s="209">
        <f>+E$26*G54+F54</f>
        <v>0</v>
      </c>
      <c r="I54" s="214">
        <v>0</v>
      </c>
      <c r="J54" s="212">
        <v>0</v>
      </c>
      <c r="K54" s="212">
        <v>0</v>
      </c>
      <c r="L54" s="207">
        <v>0</v>
      </c>
      <c r="M54" s="214">
        <v>0</v>
      </c>
      <c r="N54" s="212">
        <f t="shared" si="6"/>
        <v>0</v>
      </c>
      <c r="O54" s="212">
        <f t="shared" si="7"/>
        <v>0</v>
      </c>
      <c r="P54" s="207">
        <f>+M$26*O54+N54</f>
        <v>0</v>
      </c>
      <c r="Q54" s="214">
        <v>0</v>
      </c>
      <c r="R54" s="212">
        <v>0</v>
      </c>
      <c r="S54" s="212">
        <f t="shared" ref="S54:S71" si="22">+Q54-R54</f>
        <v>0</v>
      </c>
      <c r="T54" s="207">
        <f>+Q$26*S54+R54</f>
        <v>0</v>
      </c>
      <c r="U54" s="214">
        <f>+W53</f>
        <v>0</v>
      </c>
      <c r="V54" s="212">
        <f>+U$29</f>
        <v>0</v>
      </c>
      <c r="W54" s="212">
        <f t="shared" si="8"/>
        <v>0</v>
      </c>
      <c r="X54" s="207">
        <f>+U$26*W54+V54</f>
        <v>0</v>
      </c>
      <c r="Y54" s="214">
        <f>+AA53</f>
        <v>0</v>
      </c>
      <c r="Z54" s="212">
        <f>+Y$29</f>
        <v>0</v>
      </c>
      <c r="AA54" s="212">
        <f t="shared" si="9"/>
        <v>0</v>
      </c>
      <c r="AB54" s="207">
        <f>+Y$26*AA54+Z54</f>
        <v>0</v>
      </c>
      <c r="AC54" s="214">
        <f>+AE53</f>
        <v>0</v>
      </c>
      <c r="AD54" s="212">
        <f>+AC$29</f>
        <v>0</v>
      </c>
      <c r="AE54" s="212">
        <f t="shared" si="10"/>
        <v>0</v>
      </c>
      <c r="AF54" s="207">
        <f>+AC$26*AE54+AD54</f>
        <v>0</v>
      </c>
      <c r="AG54" s="214">
        <f>+AI53</f>
        <v>0</v>
      </c>
      <c r="AH54" s="212">
        <f>+AG$29</f>
        <v>0</v>
      </c>
      <c r="AI54" s="212">
        <f t="shared" si="11"/>
        <v>0</v>
      </c>
      <c r="AJ54" s="207">
        <f>+AG$26*AI54+AH54</f>
        <v>0</v>
      </c>
      <c r="AK54" s="214">
        <f>+AM53</f>
        <v>0</v>
      </c>
      <c r="AL54" s="212">
        <f>+AK$29</f>
        <v>0</v>
      </c>
      <c r="AM54" s="212">
        <f t="shared" si="12"/>
        <v>0</v>
      </c>
      <c r="AN54" s="207">
        <f>+AK$26*AM54+AL54</f>
        <v>0</v>
      </c>
      <c r="AO54" s="225">
        <f t="shared" si="13"/>
        <v>0</v>
      </c>
      <c r="AP54" s="188"/>
      <c r="AQ54" s="213">
        <f>+AO54</f>
        <v>0</v>
      </c>
    </row>
    <row r="55" spans="1:43">
      <c r="A55" s="157">
        <f t="shared" si="21"/>
        <v>44</v>
      </c>
      <c r="C55" s="321" t="str">
        <f t="shared" si="1"/>
        <v>W Increased ROE</v>
      </c>
      <c r="D55" s="211">
        <f t="shared" si="2"/>
        <v>2018</v>
      </c>
      <c r="E55" s="212">
        <f>+E54</f>
        <v>0</v>
      </c>
      <c r="F55" s="212">
        <f>+F54</f>
        <v>0</v>
      </c>
      <c r="G55" s="212">
        <f t="shared" si="4"/>
        <v>0</v>
      </c>
      <c r="H55" s="209">
        <f>+E$27*G55+F55</f>
        <v>0</v>
      </c>
      <c r="I55" s="214">
        <v>0</v>
      </c>
      <c r="J55" s="212">
        <v>0</v>
      </c>
      <c r="K55" s="212">
        <v>0</v>
      </c>
      <c r="L55" s="207">
        <v>0</v>
      </c>
      <c r="M55" s="214">
        <v>0</v>
      </c>
      <c r="N55" s="212">
        <f t="shared" si="6"/>
        <v>0</v>
      </c>
      <c r="O55" s="212">
        <f t="shared" si="7"/>
        <v>0</v>
      </c>
      <c r="P55" s="207">
        <f>+M$27*O55+N55</f>
        <v>0</v>
      </c>
      <c r="Q55" s="214">
        <v>0</v>
      </c>
      <c r="R55" s="212">
        <v>0</v>
      </c>
      <c r="S55" s="212">
        <f t="shared" si="22"/>
        <v>0</v>
      </c>
      <c r="T55" s="207">
        <f>+Q$27*S55+R55</f>
        <v>0</v>
      </c>
      <c r="U55" s="214">
        <f>+U54</f>
        <v>0</v>
      </c>
      <c r="V55" s="212">
        <f>+V54</f>
        <v>0</v>
      </c>
      <c r="W55" s="212">
        <f t="shared" si="8"/>
        <v>0</v>
      </c>
      <c r="X55" s="207">
        <f>+U$27*W55+V55</f>
        <v>0</v>
      </c>
      <c r="Y55" s="214">
        <f>+Y54</f>
        <v>0</v>
      </c>
      <c r="Z55" s="212">
        <f>+Z54</f>
        <v>0</v>
      </c>
      <c r="AA55" s="212">
        <f t="shared" si="9"/>
        <v>0</v>
      </c>
      <c r="AB55" s="207">
        <f>+Y$27*AA55+Z55</f>
        <v>0</v>
      </c>
      <c r="AC55" s="214">
        <f>+AC54</f>
        <v>0</v>
      </c>
      <c r="AD55" s="212">
        <f>+AD54</f>
        <v>0</v>
      </c>
      <c r="AE55" s="212">
        <f t="shared" si="10"/>
        <v>0</v>
      </c>
      <c r="AF55" s="207">
        <f>+AC$27*AE55+AD55</f>
        <v>0</v>
      </c>
      <c r="AG55" s="214">
        <f>+AG54</f>
        <v>0</v>
      </c>
      <c r="AH55" s="212">
        <f>+AH54</f>
        <v>0</v>
      </c>
      <c r="AI55" s="212">
        <f t="shared" si="11"/>
        <v>0</v>
      </c>
      <c r="AJ55" s="207">
        <f>+AG$27*AI55+AH55</f>
        <v>0</v>
      </c>
      <c r="AK55" s="214">
        <f>+AK54</f>
        <v>0</v>
      </c>
      <c r="AL55" s="212">
        <f>+AL54</f>
        <v>0</v>
      </c>
      <c r="AM55" s="212">
        <f t="shared" si="12"/>
        <v>0</v>
      </c>
      <c r="AN55" s="207">
        <f>+AK$27*AM55+AL55</f>
        <v>0</v>
      </c>
      <c r="AO55" s="225">
        <f t="shared" si="13"/>
        <v>0</v>
      </c>
      <c r="AP55" s="350">
        <f>+AO55</f>
        <v>0</v>
      </c>
      <c r="AQ55" s="187"/>
    </row>
    <row r="56" spans="1:43">
      <c r="A56" s="157">
        <f t="shared" si="21"/>
        <v>45</v>
      </c>
      <c r="C56" s="321" t="str">
        <f t="shared" si="1"/>
        <v>W  11.5 % ROE</v>
      </c>
      <c r="D56" s="211">
        <f t="shared" si="2"/>
        <v>2019</v>
      </c>
      <c r="E56" s="212"/>
      <c r="F56" s="212">
        <f>+E$29</f>
        <v>0</v>
      </c>
      <c r="G56" s="212">
        <f t="shared" si="4"/>
        <v>0</v>
      </c>
      <c r="H56" s="209">
        <f>+E$26*G56+F56</f>
        <v>0</v>
      </c>
      <c r="I56" s="214">
        <v>0</v>
      </c>
      <c r="J56" s="212">
        <v>0</v>
      </c>
      <c r="K56" s="212">
        <v>0</v>
      </c>
      <c r="L56" s="207">
        <v>0</v>
      </c>
      <c r="M56" s="214">
        <v>0</v>
      </c>
      <c r="N56" s="212">
        <f t="shared" si="6"/>
        <v>0</v>
      </c>
      <c r="O56" s="212">
        <f t="shared" si="7"/>
        <v>0</v>
      </c>
      <c r="P56" s="207">
        <f>+M$26*O56+N56</f>
        <v>0</v>
      </c>
      <c r="Q56" s="214">
        <v>0</v>
      </c>
      <c r="R56" s="212">
        <v>0</v>
      </c>
      <c r="S56" s="212">
        <f t="shared" si="22"/>
        <v>0</v>
      </c>
      <c r="T56" s="207">
        <f>+Q$26*S56+R56</f>
        <v>0</v>
      </c>
      <c r="U56" s="214">
        <f>+W55</f>
        <v>0</v>
      </c>
      <c r="V56" s="212">
        <f>+U$29</f>
        <v>0</v>
      </c>
      <c r="W56" s="212">
        <f t="shared" si="8"/>
        <v>0</v>
      </c>
      <c r="X56" s="207">
        <f>+U$26*W56+V56</f>
        <v>0</v>
      </c>
      <c r="Y56" s="214">
        <f>+AA55</f>
        <v>0</v>
      </c>
      <c r="Z56" s="212">
        <f>+Y$29</f>
        <v>0</v>
      </c>
      <c r="AA56" s="212">
        <f t="shared" si="9"/>
        <v>0</v>
      </c>
      <c r="AB56" s="207">
        <f>+Y$26*AA56+Z56</f>
        <v>0</v>
      </c>
      <c r="AC56" s="214">
        <f>+AE55</f>
        <v>0</v>
      </c>
      <c r="AD56" s="212">
        <f>+AC$29</f>
        <v>0</v>
      </c>
      <c r="AE56" s="212">
        <f t="shared" si="10"/>
        <v>0</v>
      </c>
      <c r="AF56" s="207">
        <f>+AC$26*AE56+AD56</f>
        <v>0</v>
      </c>
      <c r="AG56" s="214">
        <f>+AI55</f>
        <v>0</v>
      </c>
      <c r="AH56" s="212">
        <f>+AG$29</f>
        <v>0</v>
      </c>
      <c r="AI56" s="212">
        <f t="shared" si="11"/>
        <v>0</v>
      </c>
      <c r="AJ56" s="207">
        <f>+AG$26*AI56+AH56</f>
        <v>0</v>
      </c>
      <c r="AK56" s="214">
        <f>+AM55</f>
        <v>0</v>
      </c>
      <c r="AL56" s="212">
        <f>+AK$29</f>
        <v>0</v>
      </c>
      <c r="AM56" s="212">
        <f t="shared" si="12"/>
        <v>0</v>
      </c>
      <c r="AN56" s="207">
        <f>+AK$26*AM56+AL56</f>
        <v>0</v>
      </c>
      <c r="AO56" s="225">
        <f t="shared" si="13"/>
        <v>0</v>
      </c>
      <c r="AP56" s="188"/>
      <c r="AQ56" s="213">
        <f>+AO56</f>
        <v>0</v>
      </c>
    </row>
    <row r="57" spans="1:43">
      <c r="A57" s="157">
        <f t="shared" si="21"/>
        <v>46</v>
      </c>
      <c r="C57" s="321" t="str">
        <f t="shared" si="1"/>
        <v>W Increased ROE</v>
      </c>
      <c r="D57" s="211">
        <f t="shared" si="2"/>
        <v>2019</v>
      </c>
      <c r="E57" s="212">
        <f>+E56</f>
        <v>0</v>
      </c>
      <c r="F57" s="212">
        <f>+F56</f>
        <v>0</v>
      </c>
      <c r="G57" s="212">
        <f t="shared" si="4"/>
        <v>0</v>
      </c>
      <c r="H57" s="209">
        <f>+E$27*G57+F57</f>
        <v>0</v>
      </c>
      <c r="I57" s="214">
        <v>0</v>
      </c>
      <c r="J57" s="212">
        <v>0</v>
      </c>
      <c r="K57" s="212">
        <v>0</v>
      </c>
      <c r="L57" s="207">
        <v>0</v>
      </c>
      <c r="M57" s="214">
        <v>0</v>
      </c>
      <c r="N57" s="212">
        <f t="shared" si="6"/>
        <v>0</v>
      </c>
      <c r="O57" s="212">
        <f t="shared" si="7"/>
        <v>0</v>
      </c>
      <c r="P57" s="207">
        <f>+M$27*O57+N57</f>
        <v>0</v>
      </c>
      <c r="Q57" s="214">
        <v>0</v>
      </c>
      <c r="R57" s="212">
        <v>0</v>
      </c>
      <c r="S57" s="212">
        <f t="shared" si="22"/>
        <v>0</v>
      </c>
      <c r="T57" s="207">
        <f>+Q$27*S57+R57</f>
        <v>0</v>
      </c>
      <c r="U57" s="214">
        <f>+U56</f>
        <v>0</v>
      </c>
      <c r="V57" s="212">
        <f>+V56</f>
        <v>0</v>
      </c>
      <c r="W57" s="212">
        <f t="shared" si="8"/>
        <v>0</v>
      </c>
      <c r="X57" s="207">
        <f>+U$27*W57+V57</f>
        <v>0</v>
      </c>
      <c r="Y57" s="214">
        <f>+Y56</f>
        <v>0</v>
      </c>
      <c r="Z57" s="212">
        <f>+Z56</f>
        <v>0</v>
      </c>
      <c r="AA57" s="212">
        <f t="shared" si="9"/>
        <v>0</v>
      </c>
      <c r="AB57" s="207">
        <f>+Y$27*AA57+Z57</f>
        <v>0</v>
      </c>
      <c r="AC57" s="214">
        <f>+AC56</f>
        <v>0</v>
      </c>
      <c r="AD57" s="212">
        <f>+AD56</f>
        <v>0</v>
      </c>
      <c r="AE57" s="212">
        <f t="shared" si="10"/>
        <v>0</v>
      </c>
      <c r="AF57" s="207">
        <f>+AC$27*AE57+AD57</f>
        <v>0</v>
      </c>
      <c r="AG57" s="214">
        <f>+AG56</f>
        <v>0</v>
      </c>
      <c r="AH57" s="212">
        <f>+AH56</f>
        <v>0</v>
      </c>
      <c r="AI57" s="212">
        <f t="shared" si="11"/>
        <v>0</v>
      </c>
      <c r="AJ57" s="207">
        <f>+AG$27*AI57+AH57</f>
        <v>0</v>
      </c>
      <c r="AK57" s="214">
        <f>+AK56</f>
        <v>0</v>
      </c>
      <c r="AL57" s="212">
        <f>+AL56</f>
        <v>0</v>
      </c>
      <c r="AM57" s="212">
        <f t="shared" si="12"/>
        <v>0</v>
      </c>
      <c r="AN57" s="207">
        <f>+AK$27*AM57+AL57</f>
        <v>0</v>
      </c>
      <c r="AO57" s="225">
        <f t="shared" si="13"/>
        <v>0</v>
      </c>
      <c r="AP57" s="350">
        <f>+AO57</f>
        <v>0</v>
      </c>
      <c r="AQ57" s="187"/>
    </row>
    <row r="58" spans="1:43">
      <c r="A58" s="157">
        <f t="shared" si="21"/>
        <v>47</v>
      </c>
      <c r="C58" s="321" t="str">
        <f t="shared" si="1"/>
        <v>W  11.5 % ROE</v>
      </c>
      <c r="D58" s="211">
        <f t="shared" si="2"/>
        <v>2020</v>
      </c>
      <c r="E58" s="212"/>
      <c r="F58" s="212">
        <f>+E$29</f>
        <v>0</v>
      </c>
      <c r="G58" s="212">
        <f t="shared" si="4"/>
        <v>0</v>
      </c>
      <c r="H58" s="209">
        <f>+E$26*G58+F58</f>
        <v>0</v>
      </c>
      <c r="I58" s="214">
        <v>0</v>
      </c>
      <c r="J58" s="212">
        <v>0</v>
      </c>
      <c r="K58" s="212">
        <v>0</v>
      </c>
      <c r="L58" s="207">
        <v>0</v>
      </c>
      <c r="M58" s="214">
        <v>0</v>
      </c>
      <c r="N58" s="212">
        <f t="shared" si="6"/>
        <v>0</v>
      </c>
      <c r="O58" s="212">
        <f t="shared" si="7"/>
        <v>0</v>
      </c>
      <c r="P58" s="207">
        <f>+M$26*O58+N58</f>
        <v>0</v>
      </c>
      <c r="Q58" s="214">
        <v>0</v>
      </c>
      <c r="R58" s="212">
        <v>0</v>
      </c>
      <c r="S58" s="212">
        <f t="shared" si="22"/>
        <v>0</v>
      </c>
      <c r="T58" s="207">
        <f>+Q$26*S58+R58</f>
        <v>0</v>
      </c>
      <c r="U58" s="214">
        <f>+W57</f>
        <v>0</v>
      </c>
      <c r="V58" s="212">
        <f>+U$29</f>
        <v>0</v>
      </c>
      <c r="W58" s="212">
        <f t="shared" si="8"/>
        <v>0</v>
      </c>
      <c r="X58" s="207">
        <f>+U$26*W58+V58</f>
        <v>0</v>
      </c>
      <c r="Y58" s="214">
        <f>+AA57</f>
        <v>0</v>
      </c>
      <c r="Z58" s="212">
        <f>+Y$29</f>
        <v>0</v>
      </c>
      <c r="AA58" s="212">
        <f t="shared" si="9"/>
        <v>0</v>
      </c>
      <c r="AB58" s="207">
        <f>+Y$26*AA58+Z58</f>
        <v>0</v>
      </c>
      <c r="AC58" s="214">
        <f>+AE57</f>
        <v>0</v>
      </c>
      <c r="AD58" s="212">
        <f>+AC$29</f>
        <v>0</v>
      </c>
      <c r="AE58" s="212">
        <f t="shared" si="10"/>
        <v>0</v>
      </c>
      <c r="AF58" s="207">
        <f>+AC$26*AE58+AD58</f>
        <v>0</v>
      </c>
      <c r="AG58" s="214">
        <f>+AI57</f>
        <v>0</v>
      </c>
      <c r="AH58" s="212">
        <f>+AG$29</f>
        <v>0</v>
      </c>
      <c r="AI58" s="212">
        <f t="shared" si="11"/>
        <v>0</v>
      </c>
      <c r="AJ58" s="207">
        <f>+AG$26*AI58+AH58</f>
        <v>0</v>
      </c>
      <c r="AK58" s="214">
        <f>+AM57</f>
        <v>0</v>
      </c>
      <c r="AL58" s="212">
        <f>+AK$29</f>
        <v>0</v>
      </c>
      <c r="AM58" s="212">
        <f t="shared" si="12"/>
        <v>0</v>
      </c>
      <c r="AN58" s="207">
        <f>+AK$26*AM58+AL58</f>
        <v>0</v>
      </c>
      <c r="AO58" s="225">
        <f t="shared" si="13"/>
        <v>0</v>
      </c>
      <c r="AP58" s="188"/>
      <c r="AQ58" s="213">
        <f>+AO58</f>
        <v>0</v>
      </c>
    </row>
    <row r="59" spans="1:43">
      <c r="A59" s="157">
        <f t="shared" si="21"/>
        <v>48</v>
      </c>
      <c r="C59" s="321" t="str">
        <f t="shared" si="1"/>
        <v>W Increased ROE</v>
      </c>
      <c r="D59" s="211">
        <f t="shared" si="2"/>
        <v>2020</v>
      </c>
      <c r="E59" s="212">
        <f>+E58</f>
        <v>0</v>
      </c>
      <c r="F59" s="212">
        <f>+F58</f>
        <v>0</v>
      </c>
      <c r="G59" s="212">
        <f t="shared" si="4"/>
        <v>0</v>
      </c>
      <c r="H59" s="209">
        <f>+E$27*G59+F59</f>
        <v>0</v>
      </c>
      <c r="I59" s="214">
        <v>0</v>
      </c>
      <c r="J59" s="212">
        <v>0</v>
      </c>
      <c r="K59" s="212">
        <v>0</v>
      </c>
      <c r="L59" s="207">
        <v>0</v>
      </c>
      <c r="M59" s="214">
        <v>0</v>
      </c>
      <c r="N59" s="212">
        <f t="shared" si="6"/>
        <v>0</v>
      </c>
      <c r="O59" s="212">
        <f t="shared" si="7"/>
        <v>0</v>
      </c>
      <c r="P59" s="207">
        <f>+M$27*O59+N59</f>
        <v>0</v>
      </c>
      <c r="Q59" s="214">
        <v>0</v>
      </c>
      <c r="R59" s="212">
        <v>0</v>
      </c>
      <c r="S59" s="212">
        <f t="shared" si="22"/>
        <v>0</v>
      </c>
      <c r="T59" s="207">
        <f>+Q$27*S59+R59</f>
        <v>0</v>
      </c>
      <c r="U59" s="214">
        <f>+U58</f>
        <v>0</v>
      </c>
      <c r="V59" s="212">
        <f>+V58</f>
        <v>0</v>
      </c>
      <c r="W59" s="212">
        <f t="shared" si="8"/>
        <v>0</v>
      </c>
      <c r="X59" s="207">
        <f>+U$27*W59+V59</f>
        <v>0</v>
      </c>
      <c r="Y59" s="214">
        <f>+Y58</f>
        <v>0</v>
      </c>
      <c r="Z59" s="212">
        <f>+Z58</f>
        <v>0</v>
      </c>
      <c r="AA59" s="212">
        <f t="shared" si="9"/>
        <v>0</v>
      </c>
      <c r="AB59" s="207">
        <f>+Y$27*AA59+Z59</f>
        <v>0</v>
      </c>
      <c r="AC59" s="214">
        <f>+AC58</f>
        <v>0</v>
      </c>
      <c r="AD59" s="212">
        <f>+AD58</f>
        <v>0</v>
      </c>
      <c r="AE59" s="212">
        <f t="shared" si="10"/>
        <v>0</v>
      </c>
      <c r="AF59" s="207">
        <f>+AC$27*AE59+AD59</f>
        <v>0</v>
      </c>
      <c r="AG59" s="214">
        <f>+AG58</f>
        <v>0</v>
      </c>
      <c r="AH59" s="212">
        <f>+AH58</f>
        <v>0</v>
      </c>
      <c r="AI59" s="212">
        <f t="shared" si="11"/>
        <v>0</v>
      </c>
      <c r="AJ59" s="207">
        <f>+AG$27*AI59+AH59</f>
        <v>0</v>
      </c>
      <c r="AK59" s="214">
        <f>+AK58</f>
        <v>0</v>
      </c>
      <c r="AL59" s="212">
        <f>+AL58</f>
        <v>0</v>
      </c>
      <c r="AM59" s="212">
        <f t="shared" si="12"/>
        <v>0</v>
      </c>
      <c r="AN59" s="207">
        <f>+AK$27*AM59+AL59</f>
        <v>0</v>
      </c>
      <c r="AO59" s="225">
        <f t="shared" si="13"/>
        <v>0</v>
      </c>
      <c r="AP59" s="350">
        <f>+AO59</f>
        <v>0</v>
      </c>
      <c r="AQ59" s="187"/>
    </row>
    <row r="60" spans="1:43">
      <c r="A60" s="157">
        <f t="shared" si="21"/>
        <v>49</v>
      </c>
      <c r="C60" s="321" t="str">
        <f t="shared" si="1"/>
        <v>W  11.5 % ROE</v>
      </c>
      <c r="D60" s="211">
        <f t="shared" si="2"/>
        <v>2021</v>
      </c>
      <c r="E60" s="212"/>
      <c r="F60" s="212">
        <f>+E$29</f>
        <v>0</v>
      </c>
      <c r="G60" s="212">
        <f t="shared" si="4"/>
        <v>0</v>
      </c>
      <c r="H60" s="209">
        <f>+E$26*G60+F60</f>
        <v>0</v>
      </c>
      <c r="I60" s="214">
        <v>0</v>
      </c>
      <c r="J60" s="212">
        <v>0</v>
      </c>
      <c r="K60" s="212">
        <v>0</v>
      </c>
      <c r="L60" s="207">
        <v>0</v>
      </c>
      <c r="M60" s="214">
        <v>0</v>
      </c>
      <c r="N60" s="212">
        <f t="shared" si="6"/>
        <v>0</v>
      </c>
      <c r="O60" s="212">
        <f t="shared" si="7"/>
        <v>0</v>
      </c>
      <c r="P60" s="207">
        <f>+M$26*O60+N60</f>
        <v>0</v>
      </c>
      <c r="Q60" s="214">
        <v>0</v>
      </c>
      <c r="R60" s="212">
        <v>0</v>
      </c>
      <c r="S60" s="212">
        <f t="shared" si="22"/>
        <v>0</v>
      </c>
      <c r="T60" s="207">
        <f>+Q$26*S60+R60</f>
        <v>0</v>
      </c>
      <c r="U60" s="214">
        <f>+W59</f>
        <v>0</v>
      </c>
      <c r="V60" s="212">
        <f>+U$29</f>
        <v>0</v>
      </c>
      <c r="W60" s="212">
        <f t="shared" si="8"/>
        <v>0</v>
      </c>
      <c r="X60" s="207">
        <f>+U$26*W60+V60</f>
        <v>0</v>
      </c>
      <c r="Y60" s="214">
        <f>+AA59</f>
        <v>0</v>
      </c>
      <c r="Z60" s="212">
        <f>+Y$29</f>
        <v>0</v>
      </c>
      <c r="AA60" s="212">
        <f t="shared" si="9"/>
        <v>0</v>
      </c>
      <c r="AB60" s="207">
        <f>+Y$26*AA60+Z60</f>
        <v>0</v>
      </c>
      <c r="AC60" s="214">
        <f>+AE59</f>
        <v>0</v>
      </c>
      <c r="AD60" s="212">
        <f>+AC$29</f>
        <v>0</v>
      </c>
      <c r="AE60" s="212">
        <f t="shared" si="10"/>
        <v>0</v>
      </c>
      <c r="AF60" s="207">
        <f>+AC$26*AE60+AD60</f>
        <v>0</v>
      </c>
      <c r="AG60" s="214">
        <f>+AI59</f>
        <v>0</v>
      </c>
      <c r="AH60" s="212">
        <f>+AG$29</f>
        <v>0</v>
      </c>
      <c r="AI60" s="212">
        <f t="shared" si="11"/>
        <v>0</v>
      </c>
      <c r="AJ60" s="207">
        <f>+AG$26*AI60+AH60</f>
        <v>0</v>
      </c>
      <c r="AK60" s="214">
        <f>+AM59</f>
        <v>0</v>
      </c>
      <c r="AL60" s="212">
        <f>+AK$29</f>
        <v>0</v>
      </c>
      <c r="AM60" s="212">
        <f t="shared" si="12"/>
        <v>0</v>
      </c>
      <c r="AN60" s="207">
        <f>+AK$26*AM60+AL60</f>
        <v>0</v>
      </c>
      <c r="AO60" s="225">
        <f t="shared" si="13"/>
        <v>0</v>
      </c>
      <c r="AP60" s="188"/>
      <c r="AQ60" s="213">
        <f>+AO60</f>
        <v>0</v>
      </c>
    </row>
    <row r="61" spans="1:43">
      <c r="A61" s="157">
        <f t="shared" si="21"/>
        <v>50</v>
      </c>
      <c r="C61" s="321" t="str">
        <f t="shared" si="1"/>
        <v>W Increased ROE</v>
      </c>
      <c r="D61" s="211">
        <f t="shared" si="2"/>
        <v>2021</v>
      </c>
      <c r="E61" s="212">
        <f>+E60</f>
        <v>0</v>
      </c>
      <c r="F61" s="212">
        <f>+F60</f>
        <v>0</v>
      </c>
      <c r="G61" s="212">
        <f t="shared" si="4"/>
        <v>0</v>
      </c>
      <c r="H61" s="209">
        <f>+E$27*G61+F61</f>
        <v>0</v>
      </c>
      <c r="I61" s="214">
        <v>0</v>
      </c>
      <c r="J61" s="212">
        <v>0</v>
      </c>
      <c r="K61" s="212">
        <v>0</v>
      </c>
      <c r="L61" s="207">
        <v>0</v>
      </c>
      <c r="M61" s="214">
        <v>0</v>
      </c>
      <c r="N61" s="212">
        <f t="shared" si="6"/>
        <v>0</v>
      </c>
      <c r="O61" s="212">
        <f t="shared" si="7"/>
        <v>0</v>
      </c>
      <c r="P61" s="207">
        <f>+M$27*O61+N61</f>
        <v>0</v>
      </c>
      <c r="Q61" s="214">
        <v>0</v>
      </c>
      <c r="R61" s="212">
        <v>0</v>
      </c>
      <c r="S61" s="212">
        <f t="shared" si="22"/>
        <v>0</v>
      </c>
      <c r="T61" s="207">
        <f>+Q$27*S61+R61</f>
        <v>0</v>
      </c>
      <c r="U61" s="214">
        <f>+U60</f>
        <v>0</v>
      </c>
      <c r="V61" s="212">
        <f>+V60</f>
        <v>0</v>
      </c>
      <c r="W61" s="212">
        <f t="shared" si="8"/>
        <v>0</v>
      </c>
      <c r="X61" s="207">
        <f>+U$27*W61+V61</f>
        <v>0</v>
      </c>
      <c r="Y61" s="214">
        <f>+Y60</f>
        <v>0</v>
      </c>
      <c r="Z61" s="212">
        <f>+Z60</f>
        <v>0</v>
      </c>
      <c r="AA61" s="212">
        <f t="shared" si="9"/>
        <v>0</v>
      </c>
      <c r="AB61" s="207">
        <f>+Y$27*AA61+Z61</f>
        <v>0</v>
      </c>
      <c r="AC61" s="214">
        <f>+AC60</f>
        <v>0</v>
      </c>
      <c r="AD61" s="212">
        <f>+AD60</f>
        <v>0</v>
      </c>
      <c r="AE61" s="212">
        <f t="shared" si="10"/>
        <v>0</v>
      </c>
      <c r="AF61" s="207">
        <f>+AC$27*AE61+AD61</f>
        <v>0</v>
      </c>
      <c r="AG61" s="214">
        <f>+AG60</f>
        <v>0</v>
      </c>
      <c r="AH61" s="212">
        <f>+AH60</f>
        <v>0</v>
      </c>
      <c r="AI61" s="212">
        <f t="shared" si="11"/>
        <v>0</v>
      </c>
      <c r="AJ61" s="207">
        <f>+AG$27*AI61+AH61</f>
        <v>0</v>
      </c>
      <c r="AK61" s="214">
        <f>+AK60</f>
        <v>0</v>
      </c>
      <c r="AL61" s="212">
        <f>+AL60</f>
        <v>0</v>
      </c>
      <c r="AM61" s="212">
        <f t="shared" si="12"/>
        <v>0</v>
      </c>
      <c r="AN61" s="207">
        <f>+AK$27*AM61+AL61</f>
        <v>0</v>
      </c>
      <c r="AO61" s="225">
        <f t="shared" si="13"/>
        <v>0</v>
      </c>
      <c r="AP61" s="350">
        <f>+AO61</f>
        <v>0</v>
      </c>
      <c r="AQ61" s="187"/>
    </row>
    <row r="62" spans="1:43">
      <c r="A62" s="157">
        <f t="shared" si="21"/>
        <v>51</v>
      </c>
      <c r="C62" s="321" t="str">
        <f t="shared" si="1"/>
        <v>W  11.5 % ROE</v>
      </c>
      <c r="D62" s="211">
        <f t="shared" si="2"/>
        <v>2022</v>
      </c>
      <c r="E62" s="212"/>
      <c r="F62" s="212">
        <f>+E$29</f>
        <v>0</v>
      </c>
      <c r="G62" s="212">
        <f t="shared" si="4"/>
        <v>0</v>
      </c>
      <c r="H62" s="209">
        <f>+E$26*G62+F62</f>
        <v>0</v>
      </c>
      <c r="I62" s="214">
        <v>0</v>
      </c>
      <c r="J62" s="212">
        <v>0</v>
      </c>
      <c r="K62" s="212">
        <v>0</v>
      </c>
      <c r="L62" s="207">
        <v>0</v>
      </c>
      <c r="M62" s="214">
        <v>0</v>
      </c>
      <c r="N62" s="212">
        <f t="shared" si="6"/>
        <v>0</v>
      </c>
      <c r="O62" s="212">
        <f t="shared" si="7"/>
        <v>0</v>
      </c>
      <c r="P62" s="207">
        <f>+M$26*O62+N62</f>
        <v>0</v>
      </c>
      <c r="Q62" s="214">
        <v>0</v>
      </c>
      <c r="R62" s="212">
        <v>0</v>
      </c>
      <c r="S62" s="212">
        <f t="shared" si="22"/>
        <v>0</v>
      </c>
      <c r="T62" s="207">
        <f>+Q$26*S62+R62</f>
        <v>0</v>
      </c>
      <c r="U62" s="214">
        <f>+W61</f>
        <v>0</v>
      </c>
      <c r="V62" s="212">
        <f>+U$29</f>
        <v>0</v>
      </c>
      <c r="W62" s="212">
        <f t="shared" si="8"/>
        <v>0</v>
      </c>
      <c r="X62" s="207">
        <f>+U$26*W62+V62</f>
        <v>0</v>
      </c>
      <c r="Y62" s="214">
        <f>+AA61</f>
        <v>0</v>
      </c>
      <c r="Z62" s="212">
        <f>+Y$29</f>
        <v>0</v>
      </c>
      <c r="AA62" s="212">
        <f t="shared" si="9"/>
        <v>0</v>
      </c>
      <c r="AB62" s="207">
        <f>+Y$26*AA62+Z62</f>
        <v>0</v>
      </c>
      <c r="AC62" s="214">
        <f>+AE61</f>
        <v>0</v>
      </c>
      <c r="AD62" s="212">
        <f>+AC$29</f>
        <v>0</v>
      </c>
      <c r="AE62" s="212">
        <f t="shared" si="10"/>
        <v>0</v>
      </c>
      <c r="AF62" s="207">
        <f>+AC$26*AE62+AD62</f>
        <v>0</v>
      </c>
      <c r="AG62" s="214">
        <f>+AI61</f>
        <v>0</v>
      </c>
      <c r="AH62" s="212">
        <f>+AG$29</f>
        <v>0</v>
      </c>
      <c r="AI62" s="212">
        <f t="shared" si="11"/>
        <v>0</v>
      </c>
      <c r="AJ62" s="207">
        <f>+AG$26*AI62+AH62</f>
        <v>0</v>
      </c>
      <c r="AK62" s="214">
        <f>+AM61</f>
        <v>0</v>
      </c>
      <c r="AL62" s="212">
        <f>+AK$29</f>
        <v>0</v>
      </c>
      <c r="AM62" s="212">
        <f t="shared" si="12"/>
        <v>0</v>
      </c>
      <c r="AN62" s="207">
        <f>+AK$26*AM62+AL62</f>
        <v>0</v>
      </c>
      <c r="AO62" s="225">
        <f t="shared" si="13"/>
        <v>0</v>
      </c>
      <c r="AP62" s="188"/>
      <c r="AQ62" s="213">
        <f>+AO62</f>
        <v>0</v>
      </c>
    </row>
    <row r="63" spans="1:43">
      <c r="A63" s="157">
        <f t="shared" si="21"/>
        <v>52</v>
      </c>
      <c r="C63" s="321" t="str">
        <f t="shared" si="1"/>
        <v>W Increased ROE</v>
      </c>
      <c r="D63" s="211">
        <f t="shared" si="2"/>
        <v>2022</v>
      </c>
      <c r="E63" s="212">
        <f>+E62</f>
        <v>0</v>
      </c>
      <c r="F63" s="212">
        <f>+F62</f>
        <v>0</v>
      </c>
      <c r="G63" s="212">
        <f t="shared" si="4"/>
        <v>0</v>
      </c>
      <c r="H63" s="209">
        <f>+E$27*G63+F63</f>
        <v>0</v>
      </c>
      <c r="I63" s="214">
        <v>0</v>
      </c>
      <c r="J63" s="212">
        <v>0</v>
      </c>
      <c r="K63" s="212">
        <v>0</v>
      </c>
      <c r="L63" s="207">
        <v>0</v>
      </c>
      <c r="M63" s="214">
        <v>0</v>
      </c>
      <c r="N63" s="212">
        <f t="shared" si="6"/>
        <v>0</v>
      </c>
      <c r="O63" s="212">
        <f t="shared" si="7"/>
        <v>0</v>
      </c>
      <c r="P63" s="207">
        <f>+M$27*O63+N63</f>
        <v>0</v>
      </c>
      <c r="Q63" s="214">
        <v>0</v>
      </c>
      <c r="R63" s="212">
        <v>0</v>
      </c>
      <c r="S63" s="212">
        <f t="shared" si="22"/>
        <v>0</v>
      </c>
      <c r="T63" s="207">
        <f>+Q$27*S63+R63</f>
        <v>0</v>
      </c>
      <c r="U63" s="214">
        <f>+U62</f>
        <v>0</v>
      </c>
      <c r="V63" s="212">
        <f>+V62</f>
        <v>0</v>
      </c>
      <c r="W63" s="212">
        <f t="shared" si="8"/>
        <v>0</v>
      </c>
      <c r="X63" s="207">
        <f>+U$27*W63+V63</f>
        <v>0</v>
      </c>
      <c r="Y63" s="214">
        <f>+Y62</f>
        <v>0</v>
      </c>
      <c r="Z63" s="212">
        <f>+Z62</f>
        <v>0</v>
      </c>
      <c r="AA63" s="212">
        <f t="shared" si="9"/>
        <v>0</v>
      </c>
      <c r="AB63" s="207">
        <f>+Y$27*AA63+Z63</f>
        <v>0</v>
      </c>
      <c r="AC63" s="214">
        <f>+AC62</f>
        <v>0</v>
      </c>
      <c r="AD63" s="212">
        <f>+AD62</f>
        <v>0</v>
      </c>
      <c r="AE63" s="212">
        <f t="shared" si="10"/>
        <v>0</v>
      </c>
      <c r="AF63" s="207">
        <f>+AC$27*AE63+AD63</f>
        <v>0</v>
      </c>
      <c r="AG63" s="214">
        <f>+AG62</f>
        <v>0</v>
      </c>
      <c r="AH63" s="212">
        <f>+AH62</f>
        <v>0</v>
      </c>
      <c r="AI63" s="212">
        <f t="shared" si="11"/>
        <v>0</v>
      </c>
      <c r="AJ63" s="207">
        <f>+AG$27*AI63+AH63</f>
        <v>0</v>
      </c>
      <c r="AK63" s="214">
        <f>+AK62</f>
        <v>0</v>
      </c>
      <c r="AL63" s="212">
        <f>+AL62</f>
        <v>0</v>
      </c>
      <c r="AM63" s="212">
        <f t="shared" si="12"/>
        <v>0</v>
      </c>
      <c r="AN63" s="207">
        <f>+AK$27*AM63+AL63</f>
        <v>0</v>
      </c>
      <c r="AO63" s="225">
        <f t="shared" si="13"/>
        <v>0</v>
      </c>
      <c r="AP63" s="350">
        <f>+AO63</f>
        <v>0</v>
      </c>
      <c r="AQ63" s="187"/>
    </row>
    <row r="64" spans="1:43">
      <c r="A64" s="157">
        <f t="shared" si="21"/>
        <v>53</v>
      </c>
      <c r="C64" s="321" t="str">
        <f t="shared" si="1"/>
        <v>W  11.5 % ROE</v>
      </c>
      <c r="D64" s="211">
        <f t="shared" si="2"/>
        <v>2023</v>
      </c>
      <c r="E64" s="212"/>
      <c r="F64" s="212">
        <f>+E$29</f>
        <v>0</v>
      </c>
      <c r="G64" s="212">
        <f t="shared" si="4"/>
        <v>0</v>
      </c>
      <c r="H64" s="209">
        <f>+E$26*G64+F64</f>
        <v>0</v>
      </c>
      <c r="I64" s="214">
        <v>0</v>
      </c>
      <c r="J64" s="212">
        <v>0</v>
      </c>
      <c r="K64" s="212">
        <v>0</v>
      </c>
      <c r="L64" s="207">
        <v>0</v>
      </c>
      <c r="M64" s="214">
        <v>0</v>
      </c>
      <c r="N64" s="212">
        <f t="shared" si="6"/>
        <v>0</v>
      </c>
      <c r="O64" s="212">
        <f t="shared" si="7"/>
        <v>0</v>
      </c>
      <c r="P64" s="207">
        <f>+M$26*O64+N64</f>
        <v>0</v>
      </c>
      <c r="Q64" s="214">
        <v>0</v>
      </c>
      <c r="R64" s="212">
        <v>0</v>
      </c>
      <c r="S64" s="212">
        <f t="shared" si="22"/>
        <v>0</v>
      </c>
      <c r="T64" s="207">
        <f>+Q$26*S64+R64</f>
        <v>0</v>
      </c>
      <c r="U64" s="214">
        <f>+W63</f>
        <v>0</v>
      </c>
      <c r="V64" s="212">
        <f>+U$29</f>
        <v>0</v>
      </c>
      <c r="W64" s="212">
        <f t="shared" si="8"/>
        <v>0</v>
      </c>
      <c r="X64" s="207">
        <f>+U$26*W64+V64</f>
        <v>0</v>
      </c>
      <c r="Y64" s="214">
        <f>+AA63</f>
        <v>0</v>
      </c>
      <c r="Z64" s="212">
        <f>+Y$29</f>
        <v>0</v>
      </c>
      <c r="AA64" s="212">
        <f t="shared" si="9"/>
        <v>0</v>
      </c>
      <c r="AB64" s="207">
        <f>+Y$26*AA64+Z64</f>
        <v>0</v>
      </c>
      <c r="AC64" s="214">
        <f>+AE63</f>
        <v>0</v>
      </c>
      <c r="AD64" s="212">
        <f>+AC$29</f>
        <v>0</v>
      </c>
      <c r="AE64" s="212">
        <f t="shared" si="10"/>
        <v>0</v>
      </c>
      <c r="AF64" s="207">
        <f>+AC$26*AE64+AD64</f>
        <v>0</v>
      </c>
      <c r="AG64" s="214">
        <f>+AI63</f>
        <v>0</v>
      </c>
      <c r="AH64" s="212">
        <f>+AG$29</f>
        <v>0</v>
      </c>
      <c r="AI64" s="212">
        <f t="shared" si="11"/>
        <v>0</v>
      </c>
      <c r="AJ64" s="207">
        <f>+AG$26*AI64+AH64</f>
        <v>0</v>
      </c>
      <c r="AK64" s="214">
        <f>+AM63</f>
        <v>0</v>
      </c>
      <c r="AL64" s="212">
        <f>+AK$29</f>
        <v>0</v>
      </c>
      <c r="AM64" s="212">
        <f t="shared" si="12"/>
        <v>0</v>
      </c>
      <c r="AN64" s="207">
        <f>+AK$26*AM64+AL64</f>
        <v>0</v>
      </c>
      <c r="AO64" s="225">
        <f t="shared" si="13"/>
        <v>0</v>
      </c>
      <c r="AP64" s="188"/>
      <c r="AQ64" s="213">
        <f>+AO64</f>
        <v>0</v>
      </c>
    </row>
    <row r="65" spans="1:43">
      <c r="A65" s="157">
        <f t="shared" si="21"/>
        <v>54</v>
      </c>
      <c r="C65" s="321" t="str">
        <f t="shared" si="1"/>
        <v>W Increased ROE</v>
      </c>
      <c r="D65" s="211">
        <f t="shared" si="2"/>
        <v>2023</v>
      </c>
      <c r="E65" s="212">
        <f>+E64</f>
        <v>0</v>
      </c>
      <c r="F65" s="212">
        <f>+F64</f>
        <v>0</v>
      </c>
      <c r="G65" s="212">
        <f t="shared" si="4"/>
        <v>0</v>
      </c>
      <c r="H65" s="209">
        <f>+E$27*G65+F65</f>
        <v>0</v>
      </c>
      <c r="I65" s="214">
        <v>0</v>
      </c>
      <c r="J65" s="212">
        <v>0</v>
      </c>
      <c r="K65" s="212">
        <v>0</v>
      </c>
      <c r="L65" s="207">
        <v>0</v>
      </c>
      <c r="M65" s="214">
        <v>0</v>
      </c>
      <c r="N65" s="212">
        <f t="shared" si="6"/>
        <v>0</v>
      </c>
      <c r="O65" s="212">
        <f t="shared" si="7"/>
        <v>0</v>
      </c>
      <c r="P65" s="207">
        <f>+M$27*O65+N65</f>
        <v>0</v>
      </c>
      <c r="Q65" s="214">
        <v>0</v>
      </c>
      <c r="R65" s="212">
        <v>0</v>
      </c>
      <c r="S65" s="212">
        <f t="shared" si="22"/>
        <v>0</v>
      </c>
      <c r="T65" s="207">
        <f>+Q$27*S65+R65</f>
        <v>0</v>
      </c>
      <c r="U65" s="214">
        <f>+U64</f>
        <v>0</v>
      </c>
      <c r="V65" s="212">
        <f>+V64</f>
        <v>0</v>
      </c>
      <c r="W65" s="212">
        <f t="shared" si="8"/>
        <v>0</v>
      </c>
      <c r="X65" s="207">
        <f>+U$27*W65+V65</f>
        <v>0</v>
      </c>
      <c r="Y65" s="214">
        <f>+Y64</f>
        <v>0</v>
      </c>
      <c r="Z65" s="212">
        <f>+Z64</f>
        <v>0</v>
      </c>
      <c r="AA65" s="212">
        <f t="shared" si="9"/>
        <v>0</v>
      </c>
      <c r="AB65" s="207">
        <f>+Y$27*AA65+Z65</f>
        <v>0</v>
      </c>
      <c r="AC65" s="214">
        <f>+AC64</f>
        <v>0</v>
      </c>
      <c r="AD65" s="212">
        <f>+AD64</f>
        <v>0</v>
      </c>
      <c r="AE65" s="212">
        <f t="shared" si="10"/>
        <v>0</v>
      </c>
      <c r="AF65" s="207">
        <f>+AC$27*AE65+AD65</f>
        <v>0</v>
      </c>
      <c r="AG65" s="214">
        <f>+AG64</f>
        <v>0</v>
      </c>
      <c r="AH65" s="212">
        <f>+AH64</f>
        <v>0</v>
      </c>
      <c r="AI65" s="212">
        <f t="shared" si="11"/>
        <v>0</v>
      </c>
      <c r="AJ65" s="207">
        <f>+AG$27*AI65+AH65</f>
        <v>0</v>
      </c>
      <c r="AK65" s="214">
        <f>+AK64</f>
        <v>0</v>
      </c>
      <c r="AL65" s="212">
        <f>+AL64</f>
        <v>0</v>
      </c>
      <c r="AM65" s="212">
        <f t="shared" si="12"/>
        <v>0</v>
      </c>
      <c r="AN65" s="207">
        <f>+AK$27*AM65+AL65</f>
        <v>0</v>
      </c>
      <c r="AO65" s="225">
        <f t="shared" si="13"/>
        <v>0</v>
      </c>
      <c r="AP65" s="350">
        <f>+AO65</f>
        <v>0</v>
      </c>
      <c r="AQ65" s="187"/>
    </row>
    <row r="66" spans="1:43">
      <c r="A66" s="157">
        <f t="shared" si="21"/>
        <v>55</v>
      </c>
      <c r="C66" s="321" t="str">
        <f t="shared" si="1"/>
        <v>W  11.5 % ROE</v>
      </c>
      <c r="D66" s="211">
        <f t="shared" si="2"/>
        <v>2024</v>
      </c>
      <c r="E66" s="212"/>
      <c r="F66" s="212">
        <f>+E$29</f>
        <v>0</v>
      </c>
      <c r="G66" s="212">
        <f t="shared" si="4"/>
        <v>0</v>
      </c>
      <c r="H66" s="209">
        <f>+E$26*G66+F66</f>
        <v>0</v>
      </c>
      <c r="I66" s="214">
        <v>0</v>
      </c>
      <c r="J66" s="212">
        <v>0</v>
      </c>
      <c r="K66" s="212">
        <v>0</v>
      </c>
      <c r="L66" s="207">
        <v>0</v>
      </c>
      <c r="M66" s="214">
        <v>0</v>
      </c>
      <c r="N66" s="212">
        <f t="shared" si="6"/>
        <v>0</v>
      </c>
      <c r="O66" s="212">
        <f t="shared" si="7"/>
        <v>0</v>
      </c>
      <c r="P66" s="207">
        <f>+M$26*O66+N66</f>
        <v>0</v>
      </c>
      <c r="Q66" s="214">
        <v>0</v>
      </c>
      <c r="R66" s="212">
        <v>0</v>
      </c>
      <c r="S66" s="212">
        <f t="shared" si="22"/>
        <v>0</v>
      </c>
      <c r="T66" s="207">
        <f>+Q$26*S66+R66</f>
        <v>0</v>
      </c>
      <c r="U66" s="214">
        <f>+W65</f>
        <v>0</v>
      </c>
      <c r="V66" s="212">
        <f>+U$29</f>
        <v>0</v>
      </c>
      <c r="W66" s="212">
        <f t="shared" si="8"/>
        <v>0</v>
      </c>
      <c r="X66" s="207">
        <f>+U$26*W66+V66</f>
        <v>0</v>
      </c>
      <c r="Y66" s="214">
        <f>+AA65</f>
        <v>0</v>
      </c>
      <c r="Z66" s="212">
        <f>+Y$29</f>
        <v>0</v>
      </c>
      <c r="AA66" s="212">
        <f t="shared" si="9"/>
        <v>0</v>
      </c>
      <c r="AB66" s="207">
        <f>+Y$26*AA66+Z66</f>
        <v>0</v>
      </c>
      <c r="AC66" s="214">
        <f>+AE65</f>
        <v>0</v>
      </c>
      <c r="AD66" s="212">
        <f>+AC$29</f>
        <v>0</v>
      </c>
      <c r="AE66" s="212">
        <f t="shared" si="10"/>
        <v>0</v>
      </c>
      <c r="AF66" s="207">
        <f>+AC$26*AE66+AD66</f>
        <v>0</v>
      </c>
      <c r="AG66" s="214">
        <f>+AI65</f>
        <v>0</v>
      </c>
      <c r="AH66" s="212">
        <f>+AG$29</f>
        <v>0</v>
      </c>
      <c r="AI66" s="212">
        <f t="shared" si="11"/>
        <v>0</v>
      </c>
      <c r="AJ66" s="207">
        <f>+AG$26*AI66+AH66</f>
        <v>0</v>
      </c>
      <c r="AK66" s="214">
        <f>+AM65</f>
        <v>0</v>
      </c>
      <c r="AL66" s="212">
        <f>+AK$29</f>
        <v>0</v>
      </c>
      <c r="AM66" s="212">
        <f t="shared" si="12"/>
        <v>0</v>
      </c>
      <c r="AN66" s="207">
        <f>+AK$26*AM66+AL66</f>
        <v>0</v>
      </c>
      <c r="AO66" s="225">
        <f t="shared" si="13"/>
        <v>0</v>
      </c>
      <c r="AP66" s="188"/>
      <c r="AQ66" s="213">
        <f>+AO66</f>
        <v>0</v>
      </c>
    </row>
    <row r="67" spans="1:43">
      <c r="A67" s="157">
        <f t="shared" si="21"/>
        <v>56</v>
      </c>
      <c r="C67" s="321" t="str">
        <f t="shared" si="1"/>
        <v>W Increased ROE</v>
      </c>
      <c r="D67" s="211">
        <f t="shared" si="2"/>
        <v>2024</v>
      </c>
      <c r="E67" s="212">
        <f>+E66</f>
        <v>0</v>
      </c>
      <c r="F67" s="212">
        <f>+F66</f>
        <v>0</v>
      </c>
      <c r="G67" s="212">
        <f t="shared" si="4"/>
        <v>0</v>
      </c>
      <c r="H67" s="209">
        <f>+E$27*G67+F67</f>
        <v>0</v>
      </c>
      <c r="I67" s="214">
        <v>0</v>
      </c>
      <c r="J67" s="212">
        <v>0</v>
      </c>
      <c r="K67" s="212">
        <v>0</v>
      </c>
      <c r="L67" s="207">
        <v>0</v>
      </c>
      <c r="M67" s="214">
        <v>0</v>
      </c>
      <c r="N67" s="212">
        <f t="shared" si="6"/>
        <v>0</v>
      </c>
      <c r="O67" s="212">
        <f t="shared" si="7"/>
        <v>0</v>
      </c>
      <c r="P67" s="207">
        <f>+M$27*O67+N67</f>
        <v>0</v>
      </c>
      <c r="Q67" s="214">
        <v>0</v>
      </c>
      <c r="R67" s="212">
        <v>0</v>
      </c>
      <c r="S67" s="212">
        <f t="shared" si="22"/>
        <v>0</v>
      </c>
      <c r="T67" s="207">
        <f>+Q$27*S67+R67</f>
        <v>0</v>
      </c>
      <c r="U67" s="214">
        <f>+U66</f>
        <v>0</v>
      </c>
      <c r="V67" s="212">
        <f>+V66</f>
        <v>0</v>
      </c>
      <c r="W67" s="212">
        <f t="shared" si="8"/>
        <v>0</v>
      </c>
      <c r="X67" s="207">
        <f>+U$27*W67+V67</f>
        <v>0</v>
      </c>
      <c r="Y67" s="214">
        <f>+Y66</f>
        <v>0</v>
      </c>
      <c r="Z67" s="212">
        <f>+Z66</f>
        <v>0</v>
      </c>
      <c r="AA67" s="212">
        <f t="shared" si="9"/>
        <v>0</v>
      </c>
      <c r="AB67" s="207">
        <f>+Y$27*AA67+Z67</f>
        <v>0</v>
      </c>
      <c r="AC67" s="214">
        <f>+AC66</f>
        <v>0</v>
      </c>
      <c r="AD67" s="212">
        <f>+AD66</f>
        <v>0</v>
      </c>
      <c r="AE67" s="212">
        <f t="shared" si="10"/>
        <v>0</v>
      </c>
      <c r="AF67" s="207">
        <f>+AC$27*AE67+AD67</f>
        <v>0</v>
      </c>
      <c r="AG67" s="214">
        <f>+AG66</f>
        <v>0</v>
      </c>
      <c r="AH67" s="212">
        <f>+AH66</f>
        <v>0</v>
      </c>
      <c r="AI67" s="212">
        <f t="shared" si="11"/>
        <v>0</v>
      </c>
      <c r="AJ67" s="207">
        <f>+AG$27*AI67+AH67</f>
        <v>0</v>
      </c>
      <c r="AK67" s="214">
        <f>+AK66</f>
        <v>0</v>
      </c>
      <c r="AL67" s="212">
        <f>+AL66</f>
        <v>0</v>
      </c>
      <c r="AM67" s="212">
        <f t="shared" si="12"/>
        <v>0</v>
      </c>
      <c r="AN67" s="207">
        <f>+AK$27*AM67+AL67</f>
        <v>0</v>
      </c>
      <c r="AO67" s="225">
        <f t="shared" si="13"/>
        <v>0</v>
      </c>
      <c r="AP67" s="350">
        <f>+AO67</f>
        <v>0</v>
      </c>
      <c r="AQ67" s="187"/>
    </row>
    <row r="68" spans="1:43">
      <c r="A68" s="157">
        <f t="shared" si="21"/>
        <v>57</v>
      </c>
      <c r="C68" s="321" t="str">
        <f t="shared" si="1"/>
        <v>W  11.5 % ROE</v>
      </c>
      <c r="D68" s="211">
        <f t="shared" si="2"/>
        <v>2025</v>
      </c>
      <c r="E68" s="212"/>
      <c r="F68" s="212">
        <f>+E$29</f>
        <v>0</v>
      </c>
      <c r="G68" s="212">
        <f t="shared" si="4"/>
        <v>0</v>
      </c>
      <c r="H68" s="209">
        <f>+E$26*G68+F68</f>
        <v>0</v>
      </c>
      <c r="I68" s="214">
        <v>0</v>
      </c>
      <c r="J68" s="212">
        <v>0</v>
      </c>
      <c r="K68" s="212">
        <v>0</v>
      </c>
      <c r="L68" s="207">
        <v>0</v>
      </c>
      <c r="M68" s="214">
        <v>0</v>
      </c>
      <c r="N68" s="212">
        <f t="shared" si="6"/>
        <v>0</v>
      </c>
      <c r="O68" s="212">
        <f t="shared" si="7"/>
        <v>0</v>
      </c>
      <c r="P68" s="207">
        <f>+M$26*O68+N68</f>
        <v>0</v>
      </c>
      <c r="Q68" s="214">
        <v>0</v>
      </c>
      <c r="R68" s="212">
        <v>0</v>
      </c>
      <c r="S68" s="212">
        <f t="shared" si="22"/>
        <v>0</v>
      </c>
      <c r="T68" s="207">
        <f>+Q$26*S68+R68</f>
        <v>0</v>
      </c>
      <c r="U68" s="214">
        <f>+W67</f>
        <v>0</v>
      </c>
      <c r="V68" s="212">
        <f>+U$29</f>
        <v>0</v>
      </c>
      <c r="W68" s="212">
        <f t="shared" si="8"/>
        <v>0</v>
      </c>
      <c r="X68" s="207">
        <f>+U$26*W68+V68</f>
        <v>0</v>
      </c>
      <c r="Y68" s="214">
        <f>+AA67</f>
        <v>0</v>
      </c>
      <c r="Z68" s="212">
        <f>+Y$29</f>
        <v>0</v>
      </c>
      <c r="AA68" s="212">
        <f t="shared" si="9"/>
        <v>0</v>
      </c>
      <c r="AB68" s="207">
        <f>+Y$26*AA68+Z68</f>
        <v>0</v>
      </c>
      <c r="AC68" s="214">
        <f>+AE67</f>
        <v>0</v>
      </c>
      <c r="AD68" s="212">
        <f>+AC$29</f>
        <v>0</v>
      </c>
      <c r="AE68" s="212">
        <f t="shared" si="10"/>
        <v>0</v>
      </c>
      <c r="AF68" s="207">
        <f>+AC$26*AE68+AD68</f>
        <v>0</v>
      </c>
      <c r="AG68" s="214">
        <f>+AI67</f>
        <v>0</v>
      </c>
      <c r="AH68" s="212">
        <f>+AG$29</f>
        <v>0</v>
      </c>
      <c r="AI68" s="212">
        <f t="shared" si="11"/>
        <v>0</v>
      </c>
      <c r="AJ68" s="207">
        <f>+AG$26*AI68+AH68</f>
        <v>0</v>
      </c>
      <c r="AK68" s="214">
        <f>+AM67</f>
        <v>0</v>
      </c>
      <c r="AL68" s="212">
        <f>+AK$29</f>
        <v>0</v>
      </c>
      <c r="AM68" s="212">
        <f t="shared" si="12"/>
        <v>0</v>
      </c>
      <c r="AN68" s="207">
        <f>+AK$26*AM68+AL68</f>
        <v>0</v>
      </c>
      <c r="AO68" s="225">
        <f t="shared" si="13"/>
        <v>0</v>
      </c>
      <c r="AP68" s="188"/>
      <c r="AQ68" s="213">
        <f>+AO68</f>
        <v>0</v>
      </c>
    </row>
    <row r="69" spans="1:43">
      <c r="A69" s="157">
        <f t="shared" si="21"/>
        <v>58</v>
      </c>
      <c r="C69" s="321" t="str">
        <f t="shared" si="1"/>
        <v>W Increased ROE</v>
      </c>
      <c r="D69" s="211">
        <f t="shared" si="2"/>
        <v>2025</v>
      </c>
      <c r="E69" s="212">
        <f>+E68</f>
        <v>0</v>
      </c>
      <c r="F69" s="212">
        <f>+F68</f>
        <v>0</v>
      </c>
      <c r="G69" s="212">
        <f t="shared" si="4"/>
        <v>0</v>
      </c>
      <c r="H69" s="209">
        <f>+E$27*G69+F69</f>
        <v>0</v>
      </c>
      <c r="I69" s="214">
        <v>0</v>
      </c>
      <c r="J69" s="212">
        <v>0</v>
      </c>
      <c r="K69" s="212">
        <v>0</v>
      </c>
      <c r="L69" s="207">
        <v>0</v>
      </c>
      <c r="M69" s="214">
        <v>0</v>
      </c>
      <c r="N69" s="212">
        <f t="shared" si="6"/>
        <v>0</v>
      </c>
      <c r="O69" s="212">
        <f t="shared" si="7"/>
        <v>0</v>
      </c>
      <c r="P69" s="207">
        <f>+M$27*O69+N69</f>
        <v>0</v>
      </c>
      <c r="Q69" s="214">
        <v>0</v>
      </c>
      <c r="R69" s="212">
        <v>0</v>
      </c>
      <c r="S69" s="212">
        <f t="shared" si="22"/>
        <v>0</v>
      </c>
      <c r="T69" s="207">
        <f>+Q$27*S69+R69</f>
        <v>0</v>
      </c>
      <c r="U69" s="214">
        <f>+U68</f>
        <v>0</v>
      </c>
      <c r="V69" s="212">
        <f>+V68</f>
        <v>0</v>
      </c>
      <c r="W69" s="212">
        <f t="shared" si="8"/>
        <v>0</v>
      </c>
      <c r="X69" s="207">
        <f>+U$27*W69+V69</f>
        <v>0</v>
      </c>
      <c r="Y69" s="214">
        <f>+Y68</f>
        <v>0</v>
      </c>
      <c r="Z69" s="212">
        <f>+Z68</f>
        <v>0</v>
      </c>
      <c r="AA69" s="212">
        <f t="shared" si="9"/>
        <v>0</v>
      </c>
      <c r="AB69" s="207">
        <f>+Y$27*AA69+Z69</f>
        <v>0</v>
      </c>
      <c r="AC69" s="214">
        <f>+AC68</f>
        <v>0</v>
      </c>
      <c r="AD69" s="212">
        <f>+AD68</f>
        <v>0</v>
      </c>
      <c r="AE69" s="212">
        <f t="shared" si="10"/>
        <v>0</v>
      </c>
      <c r="AF69" s="207">
        <f>+AC$27*AE69+AD69</f>
        <v>0</v>
      </c>
      <c r="AG69" s="214">
        <f>+AG68</f>
        <v>0</v>
      </c>
      <c r="AH69" s="212">
        <f>+AH68</f>
        <v>0</v>
      </c>
      <c r="AI69" s="212">
        <f t="shared" si="11"/>
        <v>0</v>
      </c>
      <c r="AJ69" s="207">
        <f>+AG$27*AI69+AH69</f>
        <v>0</v>
      </c>
      <c r="AK69" s="214">
        <f>+AK68</f>
        <v>0</v>
      </c>
      <c r="AL69" s="212">
        <f>+AL68</f>
        <v>0</v>
      </c>
      <c r="AM69" s="212">
        <f t="shared" si="12"/>
        <v>0</v>
      </c>
      <c r="AN69" s="207">
        <f>+AK$27*AM69+AL69</f>
        <v>0</v>
      </c>
      <c r="AO69" s="225">
        <f t="shared" si="13"/>
        <v>0</v>
      </c>
      <c r="AP69" s="350">
        <f>+AO69</f>
        <v>0</v>
      </c>
      <c r="AQ69" s="187"/>
    </row>
    <row r="70" spans="1:43">
      <c r="A70" s="157">
        <f t="shared" si="21"/>
        <v>59</v>
      </c>
      <c r="C70" s="321" t="str">
        <f t="shared" si="1"/>
        <v>W  11.5 % ROE</v>
      </c>
      <c r="D70" s="211">
        <f t="shared" si="2"/>
        <v>2026</v>
      </c>
      <c r="E70" s="212"/>
      <c r="F70" s="212">
        <f>+E$29</f>
        <v>0</v>
      </c>
      <c r="G70" s="212">
        <f t="shared" si="4"/>
        <v>0</v>
      </c>
      <c r="H70" s="209">
        <f>+E$26*G70+F70</f>
        <v>0</v>
      </c>
      <c r="I70" s="214">
        <v>0</v>
      </c>
      <c r="J70" s="212">
        <v>0</v>
      </c>
      <c r="K70" s="212">
        <v>0</v>
      </c>
      <c r="L70" s="207">
        <v>0</v>
      </c>
      <c r="M70" s="214">
        <v>0</v>
      </c>
      <c r="N70" s="212">
        <f t="shared" si="6"/>
        <v>0</v>
      </c>
      <c r="O70" s="212">
        <f t="shared" si="7"/>
        <v>0</v>
      </c>
      <c r="P70" s="207">
        <f>+M$26*O70+N70</f>
        <v>0</v>
      </c>
      <c r="Q70" s="214">
        <v>0</v>
      </c>
      <c r="R70" s="212">
        <v>0</v>
      </c>
      <c r="S70" s="212">
        <f t="shared" si="22"/>
        <v>0</v>
      </c>
      <c r="T70" s="207">
        <f>+Q$26*S70+R70</f>
        <v>0</v>
      </c>
      <c r="U70" s="214">
        <f>+W69</f>
        <v>0</v>
      </c>
      <c r="V70" s="212">
        <f>+U$29</f>
        <v>0</v>
      </c>
      <c r="W70" s="212">
        <f t="shared" si="8"/>
        <v>0</v>
      </c>
      <c r="X70" s="207">
        <f>+U$26*W70+V70</f>
        <v>0</v>
      </c>
      <c r="Y70" s="214">
        <f>+AA69</f>
        <v>0</v>
      </c>
      <c r="Z70" s="212">
        <f>+Y$29</f>
        <v>0</v>
      </c>
      <c r="AA70" s="212">
        <f t="shared" si="9"/>
        <v>0</v>
      </c>
      <c r="AB70" s="207">
        <f>+Y$26*AA70+Z70</f>
        <v>0</v>
      </c>
      <c r="AC70" s="214">
        <f>+AE69</f>
        <v>0</v>
      </c>
      <c r="AD70" s="212">
        <f>+AC$29</f>
        <v>0</v>
      </c>
      <c r="AE70" s="212">
        <f t="shared" si="10"/>
        <v>0</v>
      </c>
      <c r="AF70" s="207">
        <f>+AC$26*AE70+AD70</f>
        <v>0</v>
      </c>
      <c r="AG70" s="214">
        <f>+AI69</f>
        <v>0</v>
      </c>
      <c r="AH70" s="212">
        <f>+AG$29</f>
        <v>0</v>
      </c>
      <c r="AI70" s="212">
        <f t="shared" si="11"/>
        <v>0</v>
      </c>
      <c r="AJ70" s="207">
        <f>+AG$26*AI70+AH70</f>
        <v>0</v>
      </c>
      <c r="AK70" s="214">
        <f>+AM69</f>
        <v>0</v>
      </c>
      <c r="AL70" s="212">
        <f>+AK$29</f>
        <v>0</v>
      </c>
      <c r="AM70" s="212">
        <f t="shared" si="12"/>
        <v>0</v>
      </c>
      <c r="AN70" s="207">
        <f>+AK$26*AM70+AL70</f>
        <v>0</v>
      </c>
      <c r="AO70" s="225">
        <f t="shared" si="13"/>
        <v>0</v>
      </c>
      <c r="AP70" s="188"/>
      <c r="AQ70" s="213">
        <f>+AO70</f>
        <v>0</v>
      </c>
    </row>
    <row r="71" spans="1:43">
      <c r="A71" s="157">
        <f t="shared" si="21"/>
        <v>60</v>
      </c>
      <c r="C71" s="321" t="str">
        <f t="shared" si="1"/>
        <v>W Increased ROE</v>
      </c>
      <c r="D71" s="211">
        <f t="shared" si="2"/>
        <v>2026</v>
      </c>
      <c r="E71" s="212">
        <f>+E70</f>
        <v>0</v>
      </c>
      <c r="F71" s="212">
        <f>+F70</f>
        <v>0</v>
      </c>
      <c r="G71" s="212">
        <f t="shared" si="4"/>
        <v>0</v>
      </c>
      <c r="H71" s="209">
        <f>+E$27*G71+F71</f>
        <v>0</v>
      </c>
      <c r="I71" s="214">
        <v>0</v>
      </c>
      <c r="J71" s="212">
        <v>0</v>
      </c>
      <c r="K71" s="212">
        <v>0</v>
      </c>
      <c r="L71" s="207">
        <v>0</v>
      </c>
      <c r="M71" s="214">
        <v>0</v>
      </c>
      <c r="N71" s="212">
        <f t="shared" si="6"/>
        <v>0</v>
      </c>
      <c r="O71" s="212">
        <f t="shared" si="7"/>
        <v>0</v>
      </c>
      <c r="P71" s="207">
        <f>+M$27*O71+N71</f>
        <v>0</v>
      </c>
      <c r="Q71" s="214">
        <v>0</v>
      </c>
      <c r="R71" s="212">
        <v>0</v>
      </c>
      <c r="S71" s="212">
        <f t="shared" si="22"/>
        <v>0</v>
      </c>
      <c r="T71" s="207">
        <f>+Q$27*S71+R71</f>
        <v>0</v>
      </c>
      <c r="U71" s="214">
        <f>+U70</f>
        <v>0</v>
      </c>
      <c r="V71" s="212">
        <f>+V70</f>
        <v>0</v>
      </c>
      <c r="W71" s="212">
        <f t="shared" si="8"/>
        <v>0</v>
      </c>
      <c r="X71" s="207">
        <f>+U$27*W71+V71</f>
        <v>0</v>
      </c>
      <c r="Y71" s="214">
        <f>+Y70</f>
        <v>0</v>
      </c>
      <c r="Z71" s="212">
        <f>+Z70</f>
        <v>0</v>
      </c>
      <c r="AA71" s="212">
        <f t="shared" si="9"/>
        <v>0</v>
      </c>
      <c r="AB71" s="207">
        <f>+Y$27*AA71+Z71</f>
        <v>0</v>
      </c>
      <c r="AC71" s="214">
        <f>+AC70</f>
        <v>0</v>
      </c>
      <c r="AD71" s="212">
        <f>+AD70</f>
        <v>0</v>
      </c>
      <c r="AE71" s="212">
        <f t="shared" si="10"/>
        <v>0</v>
      </c>
      <c r="AF71" s="207">
        <f>+AC$27*AE71+AD71</f>
        <v>0</v>
      </c>
      <c r="AG71" s="214">
        <f>+AG70</f>
        <v>0</v>
      </c>
      <c r="AH71" s="212">
        <f>+AH70</f>
        <v>0</v>
      </c>
      <c r="AI71" s="212">
        <f t="shared" si="11"/>
        <v>0</v>
      </c>
      <c r="AJ71" s="207">
        <f>+AG$27*AI71+AH71</f>
        <v>0</v>
      </c>
      <c r="AK71" s="214">
        <f>+AK70</f>
        <v>0</v>
      </c>
      <c r="AL71" s="212">
        <f>+AL70</f>
        <v>0</v>
      </c>
      <c r="AM71" s="212">
        <f t="shared" si="12"/>
        <v>0</v>
      </c>
      <c r="AN71" s="207">
        <f>+AK$27*AM71+AL71</f>
        <v>0</v>
      </c>
      <c r="AO71" s="225">
        <f t="shared" si="13"/>
        <v>0</v>
      </c>
      <c r="AP71" s="350">
        <f>+AO71</f>
        <v>0</v>
      </c>
      <c r="AQ71" s="187"/>
    </row>
    <row r="72" spans="1:43">
      <c r="A72" s="157">
        <f t="shared" si="21"/>
        <v>61</v>
      </c>
      <c r="C72" s="321" t="s">
        <v>113</v>
      </c>
      <c r="D72" s="215" t="s">
        <v>113</v>
      </c>
      <c r="E72" s="284" t="s">
        <v>113</v>
      </c>
      <c r="F72" s="216" t="s">
        <v>113</v>
      </c>
      <c r="G72" s="216" t="s">
        <v>113</v>
      </c>
      <c r="H72" s="216" t="s">
        <v>113</v>
      </c>
      <c r="I72" s="214">
        <v>0</v>
      </c>
      <c r="J72" s="212">
        <v>0</v>
      </c>
      <c r="K72" s="212">
        <v>0</v>
      </c>
      <c r="L72" s="207">
        <v>0</v>
      </c>
      <c r="M72" s="216">
        <v>0</v>
      </c>
      <c r="N72" s="933">
        <f t="shared" si="6"/>
        <v>0</v>
      </c>
      <c r="O72" s="933">
        <f t="shared" ref="O72" si="23">+M72-N72</f>
        <v>0</v>
      </c>
      <c r="P72" s="936">
        <f>+M$27*O72+N72</f>
        <v>0</v>
      </c>
      <c r="Q72" s="216" t="s">
        <v>113</v>
      </c>
      <c r="R72" s="216" t="s">
        <v>113</v>
      </c>
      <c r="S72" s="216" t="s">
        <v>114</v>
      </c>
      <c r="T72" s="217" t="s">
        <v>113</v>
      </c>
      <c r="U72" s="216" t="s">
        <v>113</v>
      </c>
      <c r="V72" s="216" t="s">
        <v>113</v>
      </c>
      <c r="W72" s="216" t="s">
        <v>114</v>
      </c>
      <c r="X72" s="217" t="s">
        <v>113</v>
      </c>
      <c r="Y72" s="216" t="s">
        <v>113</v>
      </c>
      <c r="Z72" s="216" t="s">
        <v>113</v>
      </c>
      <c r="AA72" s="216" t="s">
        <v>114</v>
      </c>
      <c r="AB72" s="217" t="s">
        <v>113</v>
      </c>
      <c r="AC72" s="216" t="s">
        <v>113</v>
      </c>
      <c r="AD72" s="216" t="s">
        <v>113</v>
      </c>
      <c r="AE72" s="216" t="s">
        <v>114</v>
      </c>
      <c r="AF72" s="217" t="s">
        <v>113</v>
      </c>
      <c r="AG72" s="216" t="s">
        <v>113</v>
      </c>
      <c r="AH72" s="216" t="s">
        <v>113</v>
      </c>
      <c r="AI72" s="216" t="s">
        <v>114</v>
      </c>
      <c r="AJ72" s="217" t="s">
        <v>113</v>
      </c>
      <c r="AK72" s="216" t="s">
        <v>113</v>
      </c>
      <c r="AL72" s="216" t="s">
        <v>113</v>
      </c>
      <c r="AM72" s="216" t="s">
        <v>114</v>
      </c>
      <c r="AN72" s="217" t="s">
        <v>113</v>
      </c>
      <c r="AO72" s="216" t="s">
        <v>113</v>
      </c>
      <c r="AP72" s="284" t="s">
        <v>113</v>
      </c>
      <c r="AQ72" s="217" t="s">
        <v>113</v>
      </c>
    </row>
    <row r="73" spans="1:43" ht="13.5" thickBot="1">
      <c r="A73" s="157">
        <f t="shared" si="21"/>
        <v>62</v>
      </c>
      <c r="C73" s="323" t="s">
        <v>113</v>
      </c>
      <c r="D73" s="218" t="s">
        <v>113</v>
      </c>
      <c r="E73" s="285" t="s">
        <v>113</v>
      </c>
      <c r="F73" s="219" t="s">
        <v>113</v>
      </c>
      <c r="G73" s="219" t="s">
        <v>113</v>
      </c>
      <c r="H73" s="219" t="s">
        <v>113</v>
      </c>
      <c r="I73" s="285">
        <v>0</v>
      </c>
      <c r="J73" s="219">
        <v>0</v>
      </c>
      <c r="K73" s="219">
        <v>0</v>
      </c>
      <c r="L73" s="219">
        <v>0</v>
      </c>
      <c r="M73" s="285">
        <v>0</v>
      </c>
      <c r="N73" s="1160">
        <f t="shared" si="6"/>
        <v>0</v>
      </c>
      <c r="O73" s="1160">
        <f t="shared" ref="O73" si="24">+M73-N73</f>
        <v>0</v>
      </c>
      <c r="P73" s="1161">
        <f>+M$27*O73+N73</f>
        <v>0</v>
      </c>
      <c r="Q73" s="219" t="s">
        <v>113</v>
      </c>
      <c r="R73" s="219" t="s">
        <v>114</v>
      </c>
      <c r="S73" s="219" t="s">
        <v>114</v>
      </c>
      <c r="T73" s="220" t="s">
        <v>113</v>
      </c>
      <c r="U73" s="219" t="s">
        <v>113</v>
      </c>
      <c r="V73" s="219" t="s">
        <v>114</v>
      </c>
      <c r="W73" s="219" t="s">
        <v>114</v>
      </c>
      <c r="X73" s="220" t="s">
        <v>113</v>
      </c>
      <c r="Y73" s="219" t="s">
        <v>113</v>
      </c>
      <c r="Z73" s="219" t="s">
        <v>114</v>
      </c>
      <c r="AA73" s="219" t="s">
        <v>114</v>
      </c>
      <c r="AB73" s="220" t="s">
        <v>113</v>
      </c>
      <c r="AC73" s="219" t="s">
        <v>113</v>
      </c>
      <c r="AD73" s="219" t="s">
        <v>114</v>
      </c>
      <c r="AE73" s="219" t="s">
        <v>114</v>
      </c>
      <c r="AF73" s="220" t="s">
        <v>113</v>
      </c>
      <c r="AG73" s="219" t="s">
        <v>113</v>
      </c>
      <c r="AH73" s="219" t="s">
        <v>114</v>
      </c>
      <c r="AI73" s="219" t="s">
        <v>114</v>
      </c>
      <c r="AJ73" s="220" t="s">
        <v>113</v>
      </c>
      <c r="AK73" s="219" t="s">
        <v>113</v>
      </c>
      <c r="AL73" s="219" t="s">
        <v>114</v>
      </c>
      <c r="AM73" s="219" t="s">
        <v>114</v>
      </c>
      <c r="AN73" s="220" t="s">
        <v>113</v>
      </c>
      <c r="AO73" s="219" t="s">
        <v>113</v>
      </c>
      <c r="AP73" s="285" t="s">
        <v>113</v>
      </c>
      <c r="AQ73" s="220" t="s">
        <v>113</v>
      </c>
    </row>
    <row r="74" spans="1:43">
      <c r="C74" s="162"/>
      <c r="D74" s="221"/>
      <c r="E74" s="221"/>
      <c r="F74" s="162"/>
      <c r="G74" s="162"/>
      <c r="H74" s="162"/>
      <c r="I74" s="162"/>
      <c r="J74" s="162"/>
      <c r="K74" s="162"/>
      <c r="L74" s="22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223"/>
      <c r="AQ74" s="223"/>
    </row>
    <row r="75" spans="1:43">
      <c r="B75" s="244" t="s">
        <v>267</v>
      </c>
    </row>
    <row r="76" spans="1:43">
      <c r="B76" s="361" t="s">
        <v>136</v>
      </c>
      <c r="N76" s="180" t="s">
        <v>268</v>
      </c>
      <c r="AP76" s="178"/>
    </row>
    <row r="77" spans="1:43">
      <c r="B77" s="244" t="s">
        <v>137</v>
      </c>
      <c r="N77" s="244" t="s">
        <v>269</v>
      </c>
    </row>
    <row r="78" spans="1:43">
      <c r="B78" s="244" t="s">
        <v>139</v>
      </c>
      <c r="N78" s="244" t="s">
        <v>270</v>
      </c>
    </row>
    <row r="79" spans="1:43">
      <c r="B79" s="244" t="s">
        <v>271</v>
      </c>
      <c r="N79" s="244" t="s">
        <v>272</v>
      </c>
    </row>
    <row r="80" spans="1:43">
      <c r="B80" s="244" t="s">
        <v>140</v>
      </c>
      <c r="N80" s="244" t="s">
        <v>135</v>
      </c>
    </row>
    <row r="306" spans="3:8">
      <c r="C306" s="231"/>
      <c r="D306" s="230"/>
      <c r="E306" s="230"/>
      <c r="F306" s="231"/>
      <c r="G306" s="231"/>
      <c r="H306" s="231"/>
    </row>
    <row r="307" spans="3:8">
      <c r="C307" s="231"/>
      <c r="D307" s="230"/>
      <c r="E307" s="230"/>
      <c r="F307" s="231"/>
      <c r="G307" s="231"/>
      <c r="H307" s="231"/>
    </row>
    <row r="308" spans="3:8">
      <c r="C308" s="231"/>
      <c r="D308" s="230"/>
      <c r="E308" s="230"/>
      <c r="F308" s="231"/>
      <c r="G308" s="231"/>
      <c r="H308" s="231"/>
    </row>
    <row r="309" spans="3:8">
      <c r="C309" s="231"/>
      <c r="D309" s="230"/>
      <c r="E309" s="230"/>
      <c r="F309" s="231"/>
      <c r="G309" s="231"/>
      <c r="H309" s="231"/>
    </row>
    <row r="310" spans="3:8">
      <c r="C310" s="231"/>
      <c r="D310" s="230"/>
      <c r="E310" s="230"/>
      <c r="F310" s="231"/>
      <c r="G310" s="231"/>
      <c r="H310" s="231"/>
    </row>
    <row r="311" spans="3:8">
      <c r="C311" s="231"/>
      <c r="D311" s="230"/>
      <c r="E311" s="230"/>
      <c r="F311" s="231"/>
      <c r="G311" s="231"/>
      <c r="H311" s="231"/>
    </row>
    <row r="312" spans="3:8">
      <c r="C312" s="231"/>
      <c r="D312" s="230"/>
      <c r="E312" s="230"/>
      <c r="F312" s="231"/>
      <c r="G312" s="231"/>
      <c r="H312" s="231"/>
    </row>
    <row r="313" spans="3:8">
      <c r="C313" s="231"/>
      <c r="D313" s="230"/>
      <c r="E313" s="230"/>
      <c r="F313" s="231"/>
      <c r="G313" s="231"/>
      <c r="H313" s="231"/>
    </row>
    <row r="314" spans="3:8">
      <c r="C314" s="231"/>
      <c r="D314" s="230"/>
      <c r="E314" s="230"/>
      <c r="F314" s="231"/>
      <c r="G314" s="231"/>
      <c r="H314" s="231"/>
    </row>
  </sheetData>
  <mergeCells count="5">
    <mergeCell ref="C2:AQ2"/>
    <mergeCell ref="I21:L21"/>
    <mergeCell ref="M21:P21"/>
    <mergeCell ref="E21:H21"/>
    <mergeCell ref="Q21:T21"/>
  </mergeCells>
  <printOptions horizontalCentered="1"/>
  <pageMargins left="0.25" right="0.25" top="0.75" bottom="0.25" header="0.4" footer="0.5"/>
  <pageSetup scale="10" orientation="landscape"/>
  <headerFooter alignWithMargins="0">
    <oddHeader>&amp;R&amp;14ATTACHMENT H-13A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85" zoomScaleNormal="85" workbookViewId="0">
      <selection activeCell="A2" sqref="A2"/>
    </sheetView>
  </sheetViews>
  <sheetFormatPr defaultColWidth="8.7109375" defaultRowHeight="12.75"/>
  <cols>
    <col min="2" max="2" width="1.42578125" customWidth="1"/>
    <col min="3" max="3" width="2.28515625" customWidth="1"/>
    <col min="4" max="4" width="43.42578125" customWidth="1"/>
    <col min="5" max="5" width="19.7109375" customWidth="1"/>
    <col min="6" max="6" width="19.42578125" customWidth="1"/>
    <col min="7" max="7" width="20.5703125" bestFit="1" customWidth="1"/>
  </cols>
  <sheetData>
    <row r="1" spans="1:8" ht="15.75">
      <c r="A1" s="1205" t="str">
        <f>+'Appendix A'!A3</f>
        <v>Commonwealth Edison Company</v>
      </c>
      <c r="B1" s="1205"/>
      <c r="C1" s="1205"/>
      <c r="D1" s="1205"/>
      <c r="E1" s="1205"/>
      <c r="F1" s="1205"/>
    </row>
    <row r="2" spans="1:8" ht="15.75">
      <c r="A2" s="362"/>
      <c r="B2" s="240"/>
      <c r="C2" s="240"/>
      <c r="D2" s="363"/>
      <c r="E2" s="240"/>
      <c r="F2" s="31"/>
    </row>
    <row r="3" spans="1:8" ht="15">
      <c r="A3" s="1208" t="s">
        <v>299</v>
      </c>
      <c r="B3" s="1206"/>
      <c r="C3" s="1206"/>
      <c r="D3" s="1206"/>
      <c r="E3" s="1206"/>
      <c r="F3" s="1206"/>
    </row>
    <row r="4" spans="1:8">
      <c r="B4" s="121"/>
      <c r="C4" s="157"/>
      <c r="D4" s="157"/>
    </row>
    <row r="5" spans="1:8">
      <c r="A5" s="121"/>
    </row>
    <row r="6" spans="1:8">
      <c r="E6" s="167"/>
    </row>
    <row r="8" spans="1:8">
      <c r="B8" s="2"/>
      <c r="C8" s="2"/>
      <c r="D8" s="2"/>
      <c r="E8" s="2"/>
      <c r="F8" s="2"/>
      <c r="G8" s="2"/>
      <c r="H8" s="2"/>
    </row>
    <row r="9" spans="1:8">
      <c r="B9" s="168"/>
      <c r="C9" s="168"/>
      <c r="D9" s="168"/>
      <c r="E9" s="168"/>
      <c r="F9" s="168"/>
      <c r="G9" s="168"/>
      <c r="H9" s="2"/>
    </row>
    <row r="10" spans="1:8">
      <c r="B10" s="2"/>
      <c r="C10" s="2"/>
      <c r="D10" s="2"/>
      <c r="E10" s="2"/>
      <c r="F10" s="2"/>
      <c r="G10" s="2"/>
      <c r="H10" s="2"/>
    </row>
    <row r="12" spans="1:8">
      <c r="A12" s="157" t="s">
        <v>62</v>
      </c>
    </row>
    <row r="13" spans="1:8">
      <c r="C13" t="s">
        <v>383</v>
      </c>
    </row>
    <row r="14" spans="1:8">
      <c r="A14" s="165">
        <f>+'Appendix A'!A172</f>
        <v>100</v>
      </c>
      <c r="B14" s="165">
        <f>+'Appendix A'!B172</f>
        <v>0</v>
      </c>
      <c r="C14" s="165" t="str">
        <f>+'Appendix A'!C172</f>
        <v xml:space="preserve">    Less LTD Interest on Securitization Bonds</v>
      </c>
      <c r="D14" s="165"/>
      <c r="E14" s="930">
        <v>0</v>
      </c>
      <c r="F14" s="165"/>
    </row>
    <row r="17" spans="1:6">
      <c r="C17" t="s">
        <v>441</v>
      </c>
    </row>
    <row r="18" spans="1:6">
      <c r="A18" s="165">
        <f>+'Appendix A'!A189</f>
        <v>112</v>
      </c>
      <c r="C18" s="165" t="str">
        <f>+'Appendix A'!C189</f>
        <v xml:space="preserve">      Less LTD on Securitization Bonds</v>
      </c>
      <c r="D18" s="165"/>
      <c r="E18" s="930">
        <v>0</v>
      </c>
      <c r="F18" s="165"/>
    </row>
    <row r="21" spans="1:6">
      <c r="C21" s="2" t="s">
        <v>292</v>
      </c>
      <c r="D21" s="2"/>
      <c r="E21" s="2"/>
    </row>
    <row r="22" spans="1:6">
      <c r="D22" s="155"/>
      <c r="E22" s="155"/>
      <c r="F22" s="155"/>
    </row>
    <row r="23" spans="1:6">
      <c r="D23" s="155"/>
      <c r="E23" s="155"/>
      <c r="F23" s="155"/>
    </row>
    <row r="24" spans="1:6">
      <c r="D24" s="155"/>
      <c r="E24" s="155"/>
      <c r="F24" s="155"/>
    </row>
    <row r="25" spans="1:6">
      <c r="D25" s="155"/>
      <c r="E25" s="155"/>
      <c r="F25" s="155"/>
    </row>
    <row r="26" spans="1:6">
      <c r="D26" s="155"/>
      <c r="E26" s="155"/>
      <c r="F26" s="155"/>
    </row>
    <row r="27" spans="1:6">
      <c r="D27" s="155"/>
      <c r="E27" s="155"/>
      <c r="F27" s="155"/>
    </row>
    <row r="28" spans="1:6">
      <c r="D28" s="155"/>
      <c r="E28" s="155"/>
      <c r="F28" s="155"/>
    </row>
    <row r="29" spans="1:6">
      <c r="D29" s="155"/>
      <c r="E29" s="155"/>
      <c r="F29" s="155"/>
    </row>
    <row r="30" spans="1:6">
      <c r="D30" s="155"/>
      <c r="E30" s="155"/>
      <c r="F30" s="155"/>
    </row>
    <row r="31" spans="1:6">
      <c r="D31" s="155"/>
      <c r="E31" s="155"/>
      <c r="F31" s="155"/>
    </row>
    <row r="32" spans="1:6">
      <c r="D32" s="155"/>
      <c r="E32" s="155"/>
      <c r="F32" s="155"/>
    </row>
    <row r="33" spans="4:6">
      <c r="D33" s="155"/>
      <c r="E33" s="155"/>
      <c r="F33" s="155"/>
    </row>
    <row r="34" spans="4:6">
      <c r="D34" s="155"/>
      <c r="E34" s="155"/>
      <c r="F34" s="155"/>
    </row>
    <row r="35" spans="4:6">
      <c r="D35" s="155"/>
      <c r="E35" s="155"/>
      <c r="F35" s="155"/>
    </row>
    <row r="36" spans="4:6">
      <c r="D36" s="155"/>
      <c r="E36" s="155"/>
      <c r="F36" s="155"/>
    </row>
    <row r="37" spans="4:6">
      <c r="D37" s="155"/>
      <c r="E37" s="155"/>
      <c r="F37" s="155"/>
    </row>
    <row r="38" spans="4:6">
      <c r="D38" s="155"/>
      <c r="E38" s="155"/>
      <c r="F38" s="155"/>
    </row>
    <row r="39" spans="4:6">
      <c r="D39" s="155"/>
      <c r="E39" s="155"/>
      <c r="F39" s="155"/>
    </row>
    <row r="40" spans="4:6">
      <c r="D40" s="155"/>
      <c r="E40" s="155"/>
      <c r="F40" s="155"/>
    </row>
    <row r="41" spans="4:6">
      <c r="D41" s="155"/>
      <c r="E41" s="155"/>
      <c r="F41" s="155"/>
    </row>
    <row r="42" spans="4:6">
      <c r="D42" s="155"/>
      <c r="E42" s="155"/>
      <c r="F42" s="155"/>
    </row>
    <row r="43" spans="4:6">
      <c r="D43" s="155"/>
      <c r="E43" s="155"/>
      <c r="F43" s="155"/>
    </row>
    <row r="44" spans="4:6">
      <c r="D44" s="155"/>
      <c r="E44" s="155"/>
      <c r="F44" s="155"/>
    </row>
    <row r="45" spans="4:6">
      <c r="D45" s="155"/>
      <c r="E45" s="155"/>
      <c r="F45" s="155"/>
    </row>
  </sheetData>
  <mergeCells count="2">
    <mergeCell ref="A3:F3"/>
    <mergeCell ref="A1:F1"/>
  </mergeCells>
  <pageMargins left="0.75" right="0.75" top="1" bottom="1" header="0.5" footer="0.5"/>
  <pageSetup scale="10" orientation="portrait"/>
  <headerFooter alignWithMargins="0">
    <oddHeader xml:space="preserve">&amp;R&amp;12ATTACHMENT H-13A
Page &amp;P of &amp;N </oddHeader>
  </headerFooter>
</worksheet>
</file>

<file path=docProps/app.xml><?xml version="1.0" encoding="utf-8"?>
<Properties xmlns="http://schemas.openxmlformats.org/officeDocument/2006/extended-properties" xmlns:vt="http://schemas.openxmlformats.org/officeDocument/2006/docPropsVTypes">
  <Template/>
  <TitlesOfParts>
    <vt:vector size="18" baseType="lpstr">
      <vt:lpstr>Appendix A</vt:lpstr>
      <vt:lpstr>1 - ADIT</vt:lpstr>
      <vt:lpstr>2 - Other Taxes</vt:lpstr>
      <vt:lpstr>3 - Revenue Credits</vt:lpstr>
      <vt:lpstr>4 - 100 Basis Pt ROE</vt:lpstr>
      <vt:lpstr>5 - Cost Support</vt:lpstr>
      <vt:lpstr>6 - Est &amp; Reconcile WS</vt:lpstr>
      <vt:lpstr>7 - Cap Add WS</vt:lpstr>
      <vt:lpstr>8 - Securitization</vt:lpstr>
      <vt:lpstr>9 - Depr Rates</vt:lpstr>
      <vt:lpstr>'1 - ADIT'!Print_Area</vt:lpstr>
      <vt:lpstr>'3 - Revenue Credits'!Print_Area</vt:lpstr>
      <vt:lpstr>'5 - Cost Support'!Print_Area</vt:lpstr>
      <vt:lpstr>'6 - Est &amp; Reconcile WS'!Print_Area</vt:lpstr>
      <vt:lpstr>'7 - Cap Add WS'!Print_Area</vt:lpstr>
      <vt:lpstr>'Appendix A'!Print_Area</vt:lpstr>
      <vt:lpstr>'5 - Cost Support'!Print_Titles</vt:lpstr>
      <vt:lpstr>'7 - Cap Add WS'!Print_Titles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