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525" yWindow="7260" windowWidth="20370" windowHeight="5190" tabRatio="650" activeTab="4"/>
  </bookViews>
  <sheets>
    <sheet name="Print" sheetId="49" r:id="rId1"/>
    <sheet name="INPUT" sheetId="67" r:id="rId2"/>
    <sheet name="Corrections to May 2016 filing" sheetId="69" r:id="rId3"/>
    <sheet name="Corrections due FERC Audit" sheetId="70" r:id="rId4"/>
    <sheet name="DE Ohio &amp; Kentucky" sheetId="4" r:id="rId5"/>
    <sheet name="DEO" sheetId="2" r:id="rId6"/>
    <sheet name="DEK" sheetId="1" r:id="rId7"/>
    <sheet name="Sch 1A - Appx A" sheetId="50" r:id="rId8"/>
    <sheet name="Appx B - DEOK(RTEP)" sheetId="42" r:id="rId9"/>
    <sheet name="Appx B - DEO(RTEP)" sheetId="40" r:id="rId10"/>
    <sheet name="Appx B - DEK(RTEP)" sheetId="41" r:id="rId11"/>
    <sheet name="Appx C - DEOK(MTEP)" sheetId="52" r:id="rId12"/>
    <sheet name="Appx C - DEO(MTEP)" sheetId="53" r:id="rId13"/>
    <sheet name="Appx C - DEK(MTEP)" sheetId="54" r:id="rId14"/>
    <sheet name="Appx D DEO" sheetId="63" r:id="rId15"/>
    <sheet name="Appx D DEK" sheetId="64" r:id="rId16"/>
    <sheet name="Appx E" sheetId="61" r:id="rId17"/>
    <sheet name="Appx E - Workpaper" sheetId="62" r:id="rId18"/>
    <sheet name="P1 ADIT 190 &amp; 282" sheetId="22" r:id="rId19"/>
    <sheet name="P2 Allocate M&amp;S" sheetId="12" r:id="rId20"/>
    <sheet name="P3 Land Held for Future Use" sheetId="32" r:id="rId21"/>
    <sheet name="P4 Advertising - EPRI Adj." sheetId="19" r:id="rId22"/>
    <sheet name="P5 Schedule 1 Charges acct 561" sheetId="9" r:id="rId23"/>
    <sheet name="P6 Statetax" sheetId="5" r:id="rId24"/>
    <sheet name="P7 Trans Plant In OATT" sheetId="37" r:id="rId25"/>
    <sheet name="P8 Rev Cred Support" sheetId="20" r:id="rId26"/>
    <sheet name="P9 Capital Structure - Confiden" sheetId="26" r:id="rId27"/>
    <sheet name="P10 Partner KW" sheetId="13" r:id="rId28"/>
    <sheet name="P11 Salaries and Wages" sheetId="68" r:id="rId29"/>
  </sheets>
  <definedNames>
    <definedName name="Appendix_A">'Sch 1A - Appx A'!$A$1:$H$38</definedName>
    <definedName name="AppxB_DEK_Pg1_RTEP">'Appx B - DEK(RTEP)'!$A$1:$I$45</definedName>
    <definedName name="AppxB_DEK_Pg2_RTEP">'Appx B - DEK(RTEP)'!$K$49:$X$100</definedName>
    <definedName name="AppxB_DEM_Pg1_RTEP">'Appx B - DEOK(RTEP)'!$A$1:$I$46</definedName>
    <definedName name="AppxB_DEM_Pg2_RTEP">'Appx B - DEOK(RTEP)'!$K$49:$X$100</definedName>
    <definedName name="AppxB_DEO_Pg1_RTEP">'Appx B - DEO(RTEP)'!$A$1:$I$45</definedName>
    <definedName name="AppxB_DEO_Pg2_RTEP">'Appx B - DEO(RTEP)'!$K$49:$X$100</definedName>
    <definedName name="AppxC_DEK_Pg1_MTEP">'Appx C - DEK(MTEP)'!$A$1:$I$45</definedName>
    <definedName name="AppxC_DEK_Pg2_MTEP">'Appx C - DEK(MTEP)'!$K$49:$X$100</definedName>
    <definedName name="AppxC_DEM_Pg1_MTEP">'Appx C - DEOK(MTEP)'!$A$1:$I$45</definedName>
    <definedName name="AppxC_DEM_Pg2_MTEP">'Appx C - DEOK(MTEP)'!$K$49:$X$100</definedName>
    <definedName name="AppxC_DEO_Pg1_MTEP">'Appx C - DEO(MTEP)'!$A$1:$I$45</definedName>
    <definedName name="AppxC_DEO_Pg2_MTEP">'Appx C - DEO(MTEP)'!$K$49:$X$100</definedName>
    <definedName name="AppxD_DEK">'Appx D DEK'!$A$1:$G$30</definedName>
    <definedName name="AppxD_DEO">'Appx D DEO'!$A$1:$G$67</definedName>
    <definedName name="AppxE_DEOK">'Appx E'!$A$1:$G$48</definedName>
    <definedName name="AppxE_DEOK_WP">'Appx E - Workpaper'!$A$1:$M$66</definedName>
    <definedName name="DEK_1of6">DEK!$A$1:$J$56</definedName>
    <definedName name="DEK_2of6">DEK!$A$57:$J$116</definedName>
    <definedName name="DEK_3of6">DEK!$A$117:$J$187</definedName>
    <definedName name="DEK_4of6">DEK!$A$188:$L$263</definedName>
    <definedName name="DEK_5of6">DEK!$A$264:$L$325</definedName>
    <definedName name="DEK_6of6">DEK!$A$326:$L$352</definedName>
    <definedName name="DEO_1of6">DEO!$A$1:$J$56</definedName>
    <definedName name="DEO_2of6">DEO!$A$57:$J$116</definedName>
    <definedName name="DEO_3of6">DEO!$A$117:$J$187</definedName>
    <definedName name="DEO_4of6">DEO!$A$188:$L$263</definedName>
    <definedName name="DEO_5of6">DEO!$A$264:$L$325</definedName>
    <definedName name="DEO_6of6">DEO!$A$326:$L$352</definedName>
    <definedName name="DEOK_1of6">'DE Ohio &amp; Kentucky'!$A$1:$J$58</definedName>
    <definedName name="DEOK_2of6">'DE Ohio &amp; Kentucky'!$A$59:$J$117</definedName>
    <definedName name="DEOK_3of6">'DE Ohio &amp; Kentucky'!$A$119:$J$189</definedName>
    <definedName name="DEOK_4of6">'DE Ohio &amp; Kentucky'!$A$190:$L$265</definedName>
    <definedName name="DEOK_5of6">'DE Ohio &amp; Kentucky'!$A$266:$L$326</definedName>
    <definedName name="DEOK_6of6">'DE Ohio &amp; Kentucky'!$A$328:$L$353</definedName>
    <definedName name="FERCrefund">'Appx E'!$G$33</definedName>
    <definedName name="FIT">INPUT!$C$87</definedName>
    <definedName name="PeakKW_DEK">'P10 Partner KW'!$B$16:$M$16</definedName>
    <definedName name="PeakKW_DEO">'P10 Partner KW'!$B$18:$M$18</definedName>
    <definedName name="PeakKW_DEOK">'P10 Partner KW'!$B$13:$M$13</definedName>
    <definedName name="PG1_Support_Corrections" localSheetId="2">'Corrections to May 2016 filing'!$A$1:$J$40</definedName>
    <definedName name="PG1_Support_Corrections" localSheetId="28">#REF!</definedName>
    <definedName name="PG1_Support_Corrections">'P11 Salaries and Wages'!$A$1:$E$45</definedName>
    <definedName name="PG1_Support_KW">'P10 Partner KW'!$A$1:$O$22</definedName>
    <definedName name="PG2_Support_FAS106">'P1 ADIT 190 &amp; 282'!$A$1:$F$45</definedName>
    <definedName name="PG2_Support_LandHeld">'P3 Land Held for Future Use'!$A$1:$D$34</definedName>
    <definedName name="PG2_Support_MS">'P2 Allocate M&amp;S'!$A$1:$H$39</definedName>
    <definedName name="PG3_Support_Adv">'P4 Advertising - EPRI Adj.'!$A$1:$E$32</definedName>
    <definedName name="PG3_Support_BAcosts" localSheetId="28">'P11 Salaries and Wages'!$A$1:$E$35</definedName>
    <definedName name="PG3_Support_BAcosts">'P5 Schedule 1 Charges acct 561'!$A$1:$E$40</definedName>
    <definedName name="PG3_Support_StateTax">'P6 Statetax'!$A$1:$E$18</definedName>
    <definedName name="PG4_Support_Ancillary">'P7 Trans Plant In OATT'!$A$1:$D$18</definedName>
    <definedName name="PG4_Support_CapStructure">'P9 Capital Structure - Confiden'!$A$1:$E$23</definedName>
    <definedName name="PG4_Support_RevCr">'P8 Rev Cred Support'!$A$1:$F$51</definedName>
    <definedName name="_xlnm.Print_Area" localSheetId="10">'Appx B - DEK(RTEP)'!$K$49:$X$100</definedName>
    <definedName name="_xlnm.Print_Area" localSheetId="9">'Appx B - DEO(RTEP)'!$K$49:$X$100</definedName>
    <definedName name="_xlnm.Print_Area" localSheetId="8">'Appx B - DEOK(RTEP)'!$K$49:$X$100</definedName>
    <definedName name="_xlnm.Print_Area" localSheetId="13">'Appx C - DEK(MTEP)'!$K$49:$X$100</definedName>
    <definedName name="_xlnm.Print_Area" localSheetId="12">'Appx C - DEO(MTEP)'!$K$49:$X$100</definedName>
    <definedName name="_xlnm.Print_Area" localSheetId="11">'Appx C - DEOK(MTEP)'!$K$49:$X$100</definedName>
    <definedName name="_xlnm.Print_Area" localSheetId="15">'Appx D DEK'!$A$1:$G$30</definedName>
    <definedName name="_xlnm.Print_Area" localSheetId="14">'Appx D DEO'!$A$1:$G$67</definedName>
    <definedName name="_xlnm.Print_Area" localSheetId="16">'Appx E'!$A$1:$G$48</definedName>
    <definedName name="_xlnm.Print_Area" localSheetId="17">'Appx E - Workpaper'!$A$1:$M$66</definedName>
    <definedName name="_xlnm.Print_Area" localSheetId="2">'Corrections to May 2016 filing'!$A$1:$J$40</definedName>
    <definedName name="_xlnm.Print_Area" localSheetId="4">'DE Ohio &amp; Kentucky'!$A$328:$L$353</definedName>
    <definedName name="_xlnm.Print_Area" localSheetId="6">DEK!$A$326:$L$352</definedName>
    <definedName name="_xlnm.Print_Area" localSheetId="5">DEO!$A$326:$L$352</definedName>
    <definedName name="_xlnm.Print_Area" localSheetId="1">INPUT!$A$1:$F$162</definedName>
    <definedName name="_xlnm.Print_Area" localSheetId="18">'P1 ADIT 190 &amp; 282'!$A$1:$F$45</definedName>
    <definedName name="_xlnm.Print_Area" localSheetId="27">'P10 Partner KW'!$A$1:$O$22</definedName>
    <definedName name="_xlnm.Print_Area" localSheetId="28">'P11 Salaries and Wages'!$A$1:$E$45</definedName>
    <definedName name="_xlnm.Print_Area" localSheetId="19">'P2 Allocate M&amp;S'!$A$1:$H$39</definedName>
    <definedName name="_xlnm.Print_Area" localSheetId="20">'P3 Land Held for Future Use'!$A$1:$D$34</definedName>
    <definedName name="_xlnm.Print_Area" localSheetId="21">'P4 Advertising - EPRI Adj.'!$A$1:$E$32</definedName>
    <definedName name="_xlnm.Print_Area" localSheetId="22">'P5 Schedule 1 Charges acct 561'!$A$1:$E$40</definedName>
    <definedName name="_xlnm.Print_Area" localSheetId="23">'P6 Statetax'!$A$1:$E$18</definedName>
    <definedName name="_xlnm.Print_Area" localSheetId="24">'P7 Trans Plant In OATT'!$A$1:$D$18</definedName>
    <definedName name="_xlnm.Print_Area" localSheetId="25">'P8 Rev Cred Support'!$A$1:$F$51</definedName>
    <definedName name="_xlnm.Print_Area" localSheetId="26">'P9 Capital Structure - Confiden'!$A$1:$E$23</definedName>
    <definedName name="_xlnm.Print_Area" localSheetId="7">'Sch 1A - Appx A'!$A$1:$H$40</definedName>
    <definedName name="_xlnm.Print_Titles" localSheetId="1">INPUT!$A:$B,INPUT!$1:$6</definedName>
    <definedName name="PriorYearCorrections">'Corrections to May 2016 filing'!$B$1:$J$40</definedName>
    <definedName name="ROE">INPUT!$C$147</definedName>
    <definedName name="SCH_1A">'Sch 1A - Appx A'!$A$1:$H$40</definedName>
    <definedName name="Workpaper">INPUT!$E$1</definedName>
  </definedNames>
  <calcPr calcId="145621"/>
</workbook>
</file>

<file path=xl/calcChain.xml><?xml version="1.0" encoding="utf-8"?>
<calcChain xmlns="http://schemas.openxmlformats.org/spreadsheetml/2006/main">
  <c r="E153" i="67" l="1"/>
  <c r="C125" i="67" l="1"/>
  <c r="B21" i="26"/>
  <c r="C35" i="20" l="1"/>
  <c r="C36" i="20" l="1"/>
  <c r="E29" i="20" l="1"/>
  <c r="C29" i="20"/>
  <c r="E25" i="4" l="1"/>
  <c r="L46" i="70"/>
  <c r="J46" i="70"/>
  <c r="H46" i="70"/>
  <c r="F46" i="70"/>
  <c r="J38" i="70"/>
  <c r="H38" i="70"/>
  <c r="F38" i="70"/>
  <c r="D30" i="70"/>
  <c r="L18" i="70"/>
  <c r="L22" i="70" s="1"/>
  <c r="L48" i="70" s="1"/>
  <c r="L50" i="70" s="1"/>
  <c r="J18" i="70"/>
  <c r="J22" i="70" s="1"/>
  <c r="J48" i="70" s="1"/>
  <c r="J50" i="70" s="1"/>
  <c r="H18" i="70"/>
  <c r="H22" i="70" s="1"/>
  <c r="H48" i="70" s="1"/>
  <c r="H50" i="70" s="1"/>
  <c r="F18" i="70"/>
  <c r="F22" i="70" s="1"/>
  <c r="D18" i="70"/>
  <c r="D22" i="70" s="1"/>
  <c r="D48" i="70" l="1"/>
  <c r="D50" i="70" s="1"/>
  <c r="F48" i="70"/>
  <c r="F50" i="70" s="1"/>
  <c r="F56" i="70"/>
  <c r="F58" i="70" s="1"/>
  <c r="H56" i="70"/>
  <c r="H58" i="70" s="1"/>
  <c r="H62" i="70" s="1"/>
  <c r="J56" i="70"/>
  <c r="J58" i="70" s="1"/>
  <c r="J62" i="70" s="1"/>
  <c r="L56" i="70"/>
  <c r="L58" i="70" s="1"/>
  <c r="L62" i="70" s="1"/>
  <c r="D58" i="70" l="1"/>
  <c r="D62" i="70" s="1"/>
  <c r="D56" i="70"/>
  <c r="F62" i="70"/>
  <c r="N62" i="70" l="1"/>
  <c r="N58" i="70"/>
  <c r="J25" i="4" l="1"/>
  <c r="F38" i="69" l="1"/>
  <c r="D31" i="69"/>
  <c r="F31" i="69" s="1"/>
  <c r="H30" i="69"/>
  <c r="D23" i="69"/>
  <c r="F23" i="69" s="1"/>
  <c r="H22" i="69"/>
  <c r="H33" i="69" s="1"/>
  <c r="H36" i="69" s="1"/>
  <c r="F16" i="69"/>
  <c r="F33" i="69" s="1"/>
  <c r="F36" i="69" s="1"/>
  <c r="D16" i="69"/>
  <c r="H15" i="69"/>
  <c r="A11" i="69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10" i="69"/>
  <c r="F40" i="69" l="1"/>
  <c r="E26" i="4" s="1"/>
  <c r="J16" i="69"/>
  <c r="J23" i="69" s="1"/>
  <c r="J31" i="69" s="1"/>
  <c r="D14" i="9" l="1"/>
  <c r="C14" i="9"/>
  <c r="E30" i="22" l="1"/>
  <c r="D30" i="22"/>
  <c r="D17" i="22"/>
  <c r="C16" i="9" l="1"/>
  <c r="D16" i="9"/>
  <c r="D54" i="67" l="1"/>
  <c r="C54" i="67"/>
  <c r="E137" i="2" s="1"/>
  <c r="E21" i="19"/>
  <c r="E54" i="67" l="1"/>
  <c r="E137" i="1"/>
  <c r="E139" i="4" s="1"/>
  <c r="E22" i="19"/>
  <c r="D20" i="19" l="1"/>
  <c r="D26" i="19" s="1"/>
  <c r="C20" i="19"/>
  <c r="C26" i="19" s="1"/>
  <c r="C18" i="19"/>
  <c r="E39" i="22"/>
  <c r="E27" i="22"/>
  <c r="E14" i="22"/>
  <c r="D39" i="22"/>
  <c r="D27" i="22"/>
  <c r="D14" i="22"/>
  <c r="C131" i="67" l="1"/>
  <c r="C120" i="67"/>
  <c r="C38" i="68"/>
  <c r="C101" i="67"/>
  <c r="C79" i="67"/>
  <c r="C76" i="67"/>
  <c r="C70" i="67"/>
  <c r="C52" i="67"/>
  <c r="C20" i="67"/>
  <c r="C13" i="67" l="1"/>
  <c r="C12" i="67"/>
  <c r="C57" i="67" l="1"/>
  <c r="D57" i="67"/>
  <c r="D131" i="67" l="1"/>
  <c r="D120" i="67"/>
  <c r="D101" i="67"/>
  <c r="D38" i="68"/>
  <c r="D79" i="67"/>
  <c r="D76" i="67"/>
  <c r="D70" i="67"/>
  <c r="D13" i="67"/>
  <c r="D20" i="67"/>
  <c r="D42" i="68" l="1"/>
  <c r="D109" i="67" s="1"/>
  <c r="C42" i="68"/>
  <c r="E40" i="68"/>
  <c r="E38" i="68"/>
  <c r="E42" i="68" s="1"/>
  <c r="D34" i="68"/>
  <c r="C34" i="68"/>
  <c r="E32" i="68"/>
  <c r="E30" i="68"/>
  <c r="E34" i="68" s="1"/>
  <c r="D25" i="68"/>
  <c r="C25" i="68"/>
  <c r="E23" i="68"/>
  <c r="E21" i="68"/>
  <c r="E25" i="68" s="1"/>
  <c r="D16" i="68"/>
  <c r="D106" i="67" s="1"/>
  <c r="C16" i="68"/>
  <c r="E14" i="68"/>
  <c r="E12" i="68"/>
  <c r="E16" i="68" s="1"/>
  <c r="E4" i="68"/>
  <c r="A1" i="68"/>
  <c r="M18" i="13"/>
  <c r="L18" i="13"/>
  <c r="K18" i="13"/>
  <c r="J18" i="13"/>
  <c r="I18" i="13"/>
  <c r="H18" i="13"/>
  <c r="G18" i="13"/>
  <c r="F18" i="13"/>
  <c r="E18" i="13"/>
  <c r="D18" i="13"/>
  <c r="C18" i="13"/>
  <c r="B18" i="13"/>
  <c r="N16" i="13"/>
  <c r="O16" i="13" s="1"/>
  <c r="J33" i="1" s="1"/>
  <c r="N13" i="13"/>
  <c r="O13" i="13" s="1"/>
  <c r="O4" i="13"/>
  <c r="A1" i="13"/>
  <c r="D4" i="26"/>
  <c r="A1" i="26"/>
  <c r="E48" i="20"/>
  <c r="C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E32" i="20"/>
  <c r="C32" i="20"/>
  <c r="F31" i="20"/>
  <c r="F29" i="20"/>
  <c r="F22" i="20"/>
  <c r="E20" i="20"/>
  <c r="C20" i="20"/>
  <c r="F18" i="20"/>
  <c r="F16" i="20"/>
  <c r="F20" i="20" s="1"/>
  <c r="F14" i="20"/>
  <c r="F4" i="20"/>
  <c r="A1" i="20"/>
  <c r="C18" i="37"/>
  <c r="B18" i="37"/>
  <c r="D16" i="37"/>
  <c r="D15" i="37"/>
  <c r="D14" i="37"/>
  <c r="C13" i="37"/>
  <c r="D13" i="37" s="1"/>
  <c r="D18" i="37" s="1"/>
  <c r="D4" i="37"/>
  <c r="A1" i="37"/>
  <c r="D4" i="5"/>
  <c r="A1" i="5"/>
  <c r="E37" i="9"/>
  <c r="D35" i="9"/>
  <c r="C35" i="9"/>
  <c r="E28" i="9"/>
  <c r="D26" i="9"/>
  <c r="D30" i="9" s="1"/>
  <c r="C26" i="9"/>
  <c r="C30" i="9" s="1"/>
  <c r="E19" i="9"/>
  <c r="E18" i="9"/>
  <c r="E17" i="9"/>
  <c r="E16" i="9"/>
  <c r="E15" i="9"/>
  <c r="E14" i="9"/>
  <c r="D12" i="9"/>
  <c r="C12" i="9"/>
  <c r="C21" i="9" s="1"/>
  <c r="E4" i="9"/>
  <c r="A1" i="9"/>
  <c r="E30" i="19"/>
  <c r="D28" i="19"/>
  <c r="D32" i="19" s="1"/>
  <c r="D62" i="67" s="1"/>
  <c r="C28" i="19"/>
  <c r="C32" i="19" s="1"/>
  <c r="C62" i="67" s="1"/>
  <c r="E25" i="19"/>
  <c r="E24" i="19"/>
  <c r="E23" i="19"/>
  <c r="E20" i="19"/>
  <c r="E18" i="19"/>
  <c r="E17" i="19"/>
  <c r="E16" i="19"/>
  <c r="E15" i="19"/>
  <c r="E14" i="19"/>
  <c r="E4" i="19"/>
  <c r="A1" i="19"/>
  <c r="D23" i="32"/>
  <c r="C17" i="32"/>
  <c r="C27" i="32" s="1"/>
  <c r="B17" i="32"/>
  <c r="C40" i="67" s="1"/>
  <c r="D16" i="32"/>
  <c r="D15" i="32"/>
  <c r="D17" i="32" s="1"/>
  <c r="D14" i="32"/>
  <c r="D4" i="32"/>
  <c r="A1" i="32"/>
  <c r="B32" i="12"/>
  <c r="B31" i="12"/>
  <c r="B30" i="12"/>
  <c r="B25" i="12"/>
  <c r="D23" i="12" s="1"/>
  <c r="F23" i="12" s="1"/>
  <c r="B17" i="12"/>
  <c r="D16" i="12" s="1"/>
  <c r="H4" i="12"/>
  <c r="A1" i="12"/>
  <c r="E45" i="22"/>
  <c r="D45" i="22"/>
  <c r="F43" i="22"/>
  <c r="F42" i="22"/>
  <c r="F39" i="22"/>
  <c r="E33" i="22"/>
  <c r="D34" i="67" s="1"/>
  <c r="D33" i="22"/>
  <c r="F31" i="22"/>
  <c r="F30" i="22"/>
  <c r="F27" i="22"/>
  <c r="E21" i="22"/>
  <c r="D21" i="22"/>
  <c r="C36" i="67" s="1"/>
  <c r="F19" i="22"/>
  <c r="F18" i="22"/>
  <c r="F17" i="22"/>
  <c r="F14" i="22"/>
  <c r="F4" i="22"/>
  <c r="K58" i="62"/>
  <c r="I58" i="62"/>
  <c r="M57" i="62"/>
  <c r="K57" i="62"/>
  <c r="I57" i="62"/>
  <c r="M56" i="62"/>
  <c r="K56" i="62"/>
  <c r="I56" i="62"/>
  <c r="M55" i="62"/>
  <c r="K55" i="62"/>
  <c r="I55" i="62"/>
  <c r="M54" i="62"/>
  <c r="K54" i="62"/>
  <c r="I54" i="62"/>
  <c r="M53" i="62"/>
  <c r="K53" i="62"/>
  <c r="I53" i="62"/>
  <c r="K51" i="62"/>
  <c r="I51" i="62"/>
  <c r="G51" i="62"/>
  <c r="E51" i="62"/>
  <c r="C51" i="62"/>
  <c r="M50" i="62"/>
  <c r="K50" i="62"/>
  <c r="I50" i="62"/>
  <c r="M49" i="62"/>
  <c r="K49" i="62"/>
  <c r="I49" i="62"/>
  <c r="M48" i="62"/>
  <c r="K48" i="62"/>
  <c r="I48" i="62"/>
  <c r="M47" i="62"/>
  <c r="K47" i="62"/>
  <c r="I47" i="62"/>
  <c r="M46" i="62"/>
  <c r="K46" i="62"/>
  <c r="I46" i="62"/>
  <c r="M45" i="62"/>
  <c r="K45" i="62"/>
  <c r="I45" i="62"/>
  <c r="M44" i="62"/>
  <c r="K44" i="62"/>
  <c r="I44" i="62"/>
  <c r="M43" i="62"/>
  <c r="K43" i="62"/>
  <c r="I43" i="62"/>
  <c r="G43" i="62"/>
  <c r="M42" i="62"/>
  <c r="K42" i="62"/>
  <c r="I42" i="62"/>
  <c r="G42" i="62"/>
  <c r="M41" i="62"/>
  <c r="K41" i="62"/>
  <c r="I41" i="62"/>
  <c r="G41" i="62"/>
  <c r="M40" i="62"/>
  <c r="K40" i="62"/>
  <c r="I40" i="62"/>
  <c r="G40" i="62"/>
  <c r="M39" i="62"/>
  <c r="K39" i="62"/>
  <c r="I39" i="62"/>
  <c r="G39" i="62"/>
  <c r="K37" i="62"/>
  <c r="I37" i="62"/>
  <c r="G37" i="62"/>
  <c r="E37" i="62"/>
  <c r="C37" i="62"/>
  <c r="M36" i="62"/>
  <c r="K36" i="62"/>
  <c r="I36" i="62"/>
  <c r="G36" i="62"/>
  <c r="M35" i="62"/>
  <c r="K35" i="62"/>
  <c r="I35" i="62"/>
  <c r="G35" i="62"/>
  <c r="M34" i="62"/>
  <c r="K34" i="62"/>
  <c r="I34" i="62"/>
  <c r="G34" i="62"/>
  <c r="M33" i="62"/>
  <c r="K33" i="62"/>
  <c r="I33" i="62"/>
  <c r="G33" i="62"/>
  <c r="M32" i="62"/>
  <c r="K32" i="62"/>
  <c r="I32" i="62"/>
  <c r="G32" i="62"/>
  <c r="M31" i="62"/>
  <c r="K31" i="62"/>
  <c r="I31" i="62"/>
  <c r="G31" i="62"/>
  <c r="M30" i="62"/>
  <c r="K30" i="62"/>
  <c r="I30" i="62"/>
  <c r="G30" i="62"/>
  <c r="M29" i="62"/>
  <c r="K29" i="62"/>
  <c r="G29" i="62"/>
  <c r="M28" i="62"/>
  <c r="K28" i="62"/>
  <c r="G28" i="62"/>
  <c r="M27" i="62"/>
  <c r="K27" i="62"/>
  <c r="G27" i="62"/>
  <c r="M26" i="62"/>
  <c r="K26" i="62"/>
  <c r="G26" i="62"/>
  <c r="M25" i="62"/>
  <c r="K25" i="62"/>
  <c r="G25" i="62"/>
  <c r="K23" i="62"/>
  <c r="G23" i="62"/>
  <c r="E23" i="62"/>
  <c r="C23" i="62"/>
  <c r="M22" i="62"/>
  <c r="K22" i="62"/>
  <c r="G22" i="62"/>
  <c r="M21" i="62"/>
  <c r="K21" i="62"/>
  <c r="G21" i="62"/>
  <c r="M20" i="62"/>
  <c r="K20" i="62"/>
  <c r="G20" i="62"/>
  <c r="M19" i="62"/>
  <c r="K19" i="62"/>
  <c r="G19" i="62"/>
  <c r="M18" i="62"/>
  <c r="K18" i="62"/>
  <c r="G18" i="62"/>
  <c r="M17" i="62"/>
  <c r="K17" i="62"/>
  <c r="G17" i="62"/>
  <c r="M16" i="62"/>
  <c r="K16" i="62"/>
  <c r="G16" i="62"/>
  <c r="M15" i="62"/>
  <c r="K15" i="62"/>
  <c r="G15" i="62"/>
  <c r="C15" i="62"/>
  <c r="M14" i="62"/>
  <c r="K14" i="62"/>
  <c r="G14" i="62"/>
  <c r="C14" i="62"/>
  <c r="M13" i="62"/>
  <c r="K13" i="62"/>
  <c r="G13" i="62"/>
  <c r="C13" i="62"/>
  <c r="M12" i="62"/>
  <c r="K12" i="62"/>
  <c r="G12" i="62"/>
  <c r="C12" i="62"/>
  <c r="M11" i="62"/>
  <c r="K11" i="62"/>
  <c r="G11" i="62"/>
  <c r="C11" i="62"/>
  <c r="A36" i="61"/>
  <c r="A34" i="61"/>
  <c r="A33" i="61"/>
  <c r="A30" i="61"/>
  <c r="A28" i="61"/>
  <c r="A25" i="61"/>
  <c r="A23" i="61"/>
  <c r="A22" i="61"/>
  <c r="G21" i="61"/>
  <c r="A21" i="61"/>
  <c r="A18" i="61"/>
  <c r="W86" i="54"/>
  <c r="K58" i="54"/>
  <c r="K57" i="54"/>
  <c r="K55" i="54"/>
  <c r="K54" i="54"/>
  <c r="W86" i="53"/>
  <c r="K58" i="53"/>
  <c r="K57" i="53"/>
  <c r="K55" i="53"/>
  <c r="K54" i="53"/>
  <c r="W86" i="52"/>
  <c r="W66" i="52"/>
  <c r="U66" i="52"/>
  <c r="R66" i="52"/>
  <c r="O66" i="52"/>
  <c r="N66" i="52"/>
  <c r="M66" i="52"/>
  <c r="K58" i="52"/>
  <c r="K57" i="52"/>
  <c r="K55" i="52"/>
  <c r="K54" i="52"/>
  <c r="W86" i="41"/>
  <c r="K58" i="41"/>
  <c r="K57" i="41"/>
  <c r="K55" i="41"/>
  <c r="K54" i="41"/>
  <c r="W86" i="40"/>
  <c r="K58" i="40"/>
  <c r="K57" i="40"/>
  <c r="K55" i="40"/>
  <c r="K54" i="40"/>
  <c r="W86" i="42"/>
  <c r="W66" i="42"/>
  <c r="U66" i="42"/>
  <c r="R66" i="42"/>
  <c r="O66" i="42"/>
  <c r="K58" i="42"/>
  <c r="K57" i="42"/>
  <c r="K55" i="42"/>
  <c r="K54" i="42"/>
  <c r="B27" i="50"/>
  <c r="G25" i="50"/>
  <c r="D25" i="50"/>
  <c r="B25" i="50"/>
  <c r="E27" i="50" s="1"/>
  <c r="E305" i="1"/>
  <c r="J258" i="1"/>
  <c r="H249" i="1"/>
  <c r="E248" i="1"/>
  <c r="H248" i="1" s="1"/>
  <c r="E247" i="1"/>
  <c r="D246" i="1"/>
  <c r="D244" i="1"/>
  <c r="J243" i="1"/>
  <c r="D243" i="1"/>
  <c r="J242" i="1"/>
  <c r="D242" i="1"/>
  <c r="J241" i="1"/>
  <c r="D241" i="1"/>
  <c r="J238" i="1"/>
  <c r="D238" i="1"/>
  <c r="J236" i="1"/>
  <c r="D236" i="1"/>
  <c r="E232" i="1"/>
  <c r="D232" i="1"/>
  <c r="E231" i="1"/>
  <c r="D231" i="1"/>
  <c r="E230" i="1"/>
  <c r="D230" i="1"/>
  <c r="J228" i="1"/>
  <c r="D224" i="1"/>
  <c r="D223" i="1"/>
  <c r="D222" i="1"/>
  <c r="J204" i="1"/>
  <c r="D179" i="1"/>
  <c r="E175" i="1"/>
  <c r="D175" i="1"/>
  <c r="E165" i="1"/>
  <c r="G164" i="1"/>
  <c r="E164" i="1"/>
  <c r="D164" i="1"/>
  <c r="E163" i="1"/>
  <c r="E162" i="1"/>
  <c r="E160" i="1"/>
  <c r="E159" i="1"/>
  <c r="E154" i="1"/>
  <c r="D154" i="1"/>
  <c r="E153" i="1"/>
  <c r="D153" i="1"/>
  <c r="E152" i="1"/>
  <c r="D152" i="1"/>
  <c r="E148" i="1"/>
  <c r="J148" i="1" s="1"/>
  <c r="E147" i="1"/>
  <c r="G146" i="1"/>
  <c r="E146" i="1"/>
  <c r="E144" i="1"/>
  <c r="E142" i="1"/>
  <c r="D142" i="1"/>
  <c r="E141" i="1"/>
  <c r="D141" i="1"/>
  <c r="E140" i="1"/>
  <c r="D140" i="1"/>
  <c r="D139" i="1"/>
  <c r="E138" i="1"/>
  <c r="D138" i="1"/>
  <c r="E136" i="1"/>
  <c r="D136" i="1"/>
  <c r="E135" i="1"/>
  <c r="J135" i="1" s="1"/>
  <c r="D135" i="1"/>
  <c r="E134" i="1"/>
  <c r="J212" i="1" s="1"/>
  <c r="D134" i="1"/>
  <c r="E111" i="1"/>
  <c r="D111" i="1"/>
  <c r="D110" i="1"/>
  <c r="D109" i="1"/>
  <c r="D106" i="1"/>
  <c r="E103" i="1"/>
  <c r="D103" i="1"/>
  <c r="G102" i="1"/>
  <c r="D102" i="1"/>
  <c r="D101" i="1"/>
  <c r="D100" i="1"/>
  <c r="E99" i="1"/>
  <c r="D99" i="1"/>
  <c r="D95" i="1"/>
  <c r="D94" i="1"/>
  <c r="D93" i="1"/>
  <c r="D92" i="1"/>
  <c r="D91" i="1"/>
  <c r="G87" i="1"/>
  <c r="E87" i="1"/>
  <c r="D87" i="1"/>
  <c r="G86" i="1"/>
  <c r="E86" i="1"/>
  <c r="D86" i="1"/>
  <c r="H85" i="1"/>
  <c r="G85" i="1"/>
  <c r="E85" i="1"/>
  <c r="D85" i="1"/>
  <c r="G84" i="1"/>
  <c r="E84" i="1"/>
  <c r="D84" i="1"/>
  <c r="H83" i="1"/>
  <c r="G83" i="1"/>
  <c r="G99" i="1" s="1"/>
  <c r="G163" i="1" s="1"/>
  <c r="D83" i="1"/>
  <c r="E79" i="1"/>
  <c r="D79" i="1"/>
  <c r="D78" i="1"/>
  <c r="E77" i="1"/>
  <c r="D77" i="1"/>
  <c r="E76" i="1"/>
  <c r="J203" i="1" s="1"/>
  <c r="D76" i="1"/>
  <c r="E75" i="1"/>
  <c r="D75" i="1"/>
  <c r="D55" i="1"/>
  <c r="D53" i="1"/>
  <c r="D51" i="1"/>
  <c r="D47" i="1"/>
  <c r="D45" i="1"/>
  <c r="D43" i="1"/>
  <c r="D41" i="1"/>
  <c r="J32" i="1"/>
  <c r="D28" i="1"/>
  <c r="J24" i="1"/>
  <c r="G22" i="1"/>
  <c r="G21" i="1"/>
  <c r="G20" i="1"/>
  <c r="D20" i="1"/>
  <c r="D19" i="1"/>
  <c r="A8" i="1"/>
  <c r="A271" i="1" s="1"/>
  <c r="E305" i="2"/>
  <c r="J258" i="2"/>
  <c r="H249" i="2"/>
  <c r="E248" i="2"/>
  <c r="E247" i="2"/>
  <c r="D244" i="2"/>
  <c r="J243" i="2"/>
  <c r="D243" i="2"/>
  <c r="J242" i="2"/>
  <c r="D242" i="2"/>
  <c r="D241" i="2"/>
  <c r="J238" i="2"/>
  <c r="D238" i="2"/>
  <c r="J236" i="2"/>
  <c r="D236" i="2"/>
  <c r="E232" i="2"/>
  <c r="D232" i="2"/>
  <c r="E231" i="2"/>
  <c r="D231" i="2"/>
  <c r="E230" i="2"/>
  <c r="D230" i="2"/>
  <c r="J228" i="2"/>
  <c r="D225" i="2"/>
  <c r="D224" i="2"/>
  <c r="D223" i="2"/>
  <c r="D222" i="2"/>
  <c r="J204" i="2"/>
  <c r="D179" i="2"/>
  <c r="E175" i="2"/>
  <c r="D175" i="2"/>
  <c r="E165" i="2"/>
  <c r="G164" i="2"/>
  <c r="E164" i="2"/>
  <c r="E163" i="2"/>
  <c r="E162" i="2"/>
  <c r="G160" i="2"/>
  <c r="E160" i="2"/>
  <c r="E159" i="2"/>
  <c r="E154" i="2"/>
  <c r="D154" i="2"/>
  <c r="E153" i="2"/>
  <c r="D153" i="2"/>
  <c r="E152" i="2"/>
  <c r="D152" i="2"/>
  <c r="E148" i="2"/>
  <c r="J148" i="2" s="1"/>
  <c r="E147" i="2"/>
  <c r="G146" i="2"/>
  <c r="E146" i="2"/>
  <c r="G144" i="2"/>
  <c r="G145" i="2" s="1"/>
  <c r="E144" i="2"/>
  <c r="E142" i="2"/>
  <c r="D142" i="2"/>
  <c r="E141" i="2"/>
  <c r="D141" i="2"/>
  <c r="E140" i="2"/>
  <c r="D140" i="2"/>
  <c r="D139" i="2"/>
  <c r="E138" i="2"/>
  <c r="D138" i="2"/>
  <c r="E136" i="2"/>
  <c r="D136" i="2"/>
  <c r="E135" i="2"/>
  <c r="J135" i="2" s="1"/>
  <c r="D135" i="2"/>
  <c r="E134" i="2"/>
  <c r="J212" i="2" s="1"/>
  <c r="D134" i="2"/>
  <c r="E111" i="2"/>
  <c r="E113" i="4" s="1"/>
  <c r="D111" i="2"/>
  <c r="D110" i="2"/>
  <c r="D109" i="2"/>
  <c r="D106" i="2"/>
  <c r="E103" i="2"/>
  <c r="D103" i="2"/>
  <c r="G102" i="2"/>
  <c r="D102" i="2"/>
  <c r="D101" i="2"/>
  <c r="D100" i="2"/>
  <c r="E99" i="2"/>
  <c r="D99" i="2"/>
  <c r="D95" i="2"/>
  <c r="D94" i="2"/>
  <c r="D93" i="2"/>
  <c r="D92" i="2"/>
  <c r="D91" i="2"/>
  <c r="G87" i="2"/>
  <c r="E87" i="2"/>
  <c r="D87" i="2"/>
  <c r="G86" i="2"/>
  <c r="E86" i="2"/>
  <c r="D86" i="2"/>
  <c r="H85" i="2"/>
  <c r="G85" i="2"/>
  <c r="E85" i="2"/>
  <c r="D85" i="2"/>
  <c r="G84" i="2"/>
  <c r="E84" i="2"/>
  <c r="D84" i="2"/>
  <c r="H83" i="2"/>
  <c r="G83" i="2"/>
  <c r="G99" i="2" s="1"/>
  <c r="G163" i="2" s="1"/>
  <c r="E83" i="2"/>
  <c r="D83" i="2"/>
  <c r="E79" i="2"/>
  <c r="E95" i="2" s="1"/>
  <c r="D79" i="2"/>
  <c r="E78" i="2"/>
  <c r="D78" i="2"/>
  <c r="E77" i="2"/>
  <c r="D77" i="2"/>
  <c r="E76" i="2"/>
  <c r="J203" i="2" s="1"/>
  <c r="D76" i="2"/>
  <c r="E75" i="2"/>
  <c r="D75" i="2"/>
  <c r="D55" i="2"/>
  <c r="D53" i="2"/>
  <c r="D51" i="2"/>
  <c r="D47" i="2"/>
  <c r="D45" i="2"/>
  <c r="D43" i="2"/>
  <c r="D41" i="2"/>
  <c r="D28" i="2"/>
  <c r="G22" i="2"/>
  <c r="G21" i="2"/>
  <c r="G20" i="2"/>
  <c r="D20" i="2"/>
  <c r="D19" i="2"/>
  <c r="A8" i="2"/>
  <c r="A333" i="2" s="1"/>
  <c r="A338" i="4"/>
  <c r="A335" i="4"/>
  <c r="A276" i="4"/>
  <c r="A273" i="4"/>
  <c r="J259" i="4"/>
  <c r="J258" i="4"/>
  <c r="H251" i="4"/>
  <c r="J230" i="4"/>
  <c r="A200" i="4"/>
  <c r="A197" i="4"/>
  <c r="G166" i="4"/>
  <c r="D166" i="4"/>
  <c r="D162" i="4"/>
  <c r="D149" i="4"/>
  <c r="D147" i="1" s="1"/>
  <c r="G148" i="4"/>
  <c r="A129" i="4"/>
  <c r="A126" i="4"/>
  <c r="G104" i="4"/>
  <c r="G89" i="4"/>
  <c r="G88" i="4"/>
  <c r="H87" i="4"/>
  <c r="G87" i="4"/>
  <c r="G86" i="4"/>
  <c r="H85" i="4"/>
  <c r="G85" i="4"/>
  <c r="G101" i="4" s="1"/>
  <c r="G165" i="4" s="1"/>
  <c r="A69" i="4"/>
  <c r="A66" i="4"/>
  <c r="J34" i="4"/>
  <c r="J26" i="4"/>
  <c r="G22" i="4"/>
  <c r="E22" i="4"/>
  <c r="G21" i="4"/>
  <c r="E21" i="4"/>
  <c r="G20" i="4"/>
  <c r="J7" i="4"/>
  <c r="D5" i="26" s="1"/>
  <c r="E160" i="67"/>
  <c r="E159" i="67"/>
  <c r="D147" i="67"/>
  <c r="E147" i="67" s="1"/>
  <c r="E140" i="67"/>
  <c r="E139" i="67"/>
  <c r="E132" i="67"/>
  <c r="E131" i="67"/>
  <c r="D128" i="67"/>
  <c r="E127" i="67"/>
  <c r="E126" i="67"/>
  <c r="E122" i="67"/>
  <c r="E120" i="67"/>
  <c r="D117" i="67"/>
  <c r="C117" i="67"/>
  <c r="E116" i="67"/>
  <c r="E115" i="67"/>
  <c r="E114" i="67"/>
  <c r="C109" i="67"/>
  <c r="D108" i="67"/>
  <c r="C108" i="67"/>
  <c r="D107" i="67"/>
  <c r="C107" i="67"/>
  <c r="C106" i="67"/>
  <c r="E101" i="67"/>
  <c r="D97" i="67"/>
  <c r="C97" i="67"/>
  <c r="E96" i="67"/>
  <c r="E92" i="67"/>
  <c r="D88" i="67"/>
  <c r="C88" i="67"/>
  <c r="E87" i="67"/>
  <c r="D83" i="67"/>
  <c r="C83" i="67"/>
  <c r="E82" i="67"/>
  <c r="E81" i="67"/>
  <c r="E80" i="67"/>
  <c r="E79" i="67"/>
  <c r="E78" i="67"/>
  <c r="E77" i="67"/>
  <c r="E76" i="67"/>
  <c r="D72" i="67"/>
  <c r="C72" i="67"/>
  <c r="E71" i="67"/>
  <c r="A71" i="67"/>
  <c r="E70" i="67"/>
  <c r="E69" i="67"/>
  <c r="A69" i="67"/>
  <c r="E65" i="67"/>
  <c r="E64" i="67"/>
  <c r="B64" i="67"/>
  <c r="E63" i="67"/>
  <c r="E61" i="67"/>
  <c r="E60" i="67"/>
  <c r="E59" i="67"/>
  <c r="E58" i="67"/>
  <c r="E57" i="67"/>
  <c r="E56" i="67"/>
  <c r="E55" i="67"/>
  <c r="E53" i="67"/>
  <c r="E52" i="67"/>
  <c r="E51" i="67"/>
  <c r="E45" i="67"/>
  <c r="D40" i="67"/>
  <c r="E37" i="67"/>
  <c r="D36" i="67"/>
  <c r="D35" i="67"/>
  <c r="C34" i="67"/>
  <c r="E33" i="67"/>
  <c r="D29" i="67"/>
  <c r="C29" i="67"/>
  <c r="C28" i="67"/>
  <c r="D27" i="67"/>
  <c r="C27" i="67"/>
  <c r="D26" i="67"/>
  <c r="C26" i="67"/>
  <c r="C25" i="67"/>
  <c r="C22" i="67"/>
  <c r="E21" i="67"/>
  <c r="A21" i="67"/>
  <c r="A29" i="67" s="1"/>
  <c r="E20" i="67"/>
  <c r="A20" i="67"/>
  <c r="A28" i="67" s="1"/>
  <c r="E19" i="67"/>
  <c r="A19" i="67"/>
  <c r="A27" i="67" s="1"/>
  <c r="E18" i="67"/>
  <c r="A18" i="67"/>
  <c r="A26" i="67" s="1"/>
  <c r="D17" i="67"/>
  <c r="D22" i="67" s="1"/>
  <c r="A17" i="67"/>
  <c r="A25" i="67" s="1"/>
  <c r="C14" i="67"/>
  <c r="E13" i="67"/>
  <c r="D12" i="67"/>
  <c r="E11" i="67"/>
  <c r="E10" i="67"/>
  <c r="E9" i="67"/>
  <c r="B2" i="67"/>
  <c r="A9" i="50" s="1"/>
  <c r="E233" i="2" l="1"/>
  <c r="H230" i="2" s="1"/>
  <c r="E26" i="19"/>
  <c r="E28" i="19" s="1"/>
  <c r="E32" i="19" s="1"/>
  <c r="D14" i="12"/>
  <c r="D15" i="12"/>
  <c r="F15" i="12" s="1"/>
  <c r="F31" i="12" s="1"/>
  <c r="H31" i="12" s="1"/>
  <c r="E79" i="4"/>
  <c r="E149" i="4"/>
  <c r="E161" i="4"/>
  <c r="E83" i="1"/>
  <c r="E91" i="1" s="1"/>
  <c r="E17" i="67"/>
  <c r="D25" i="67"/>
  <c r="D30" i="67" s="1"/>
  <c r="E89" i="4"/>
  <c r="E101" i="4"/>
  <c r="E86" i="4"/>
  <c r="E148" i="4"/>
  <c r="D147" i="2"/>
  <c r="E306" i="1"/>
  <c r="D28" i="67"/>
  <c r="E224" i="2"/>
  <c r="H224" i="2" s="1"/>
  <c r="D133" i="67"/>
  <c r="D134" i="67" s="1"/>
  <c r="J245" i="4"/>
  <c r="E100" i="1"/>
  <c r="E106" i="1"/>
  <c r="J106" i="1" s="1"/>
  <c r="E307" i="4"/>
  <c r="E224" i="1"/>
  <c r="E101" i="1"/>
  <c r="C90" i="67"/>
  <c r="J205" i="2"/>
  <c r="J206" i="2" s="1"/>
  <c r="J208" i="2" s="1"/>
  <c r="E225" i="2"/>
  <c r="H225" i="2" s="1"/>
  <c r="E162" i="67"/>
  <c r="E156" i="4"/>
  <c r="E167" i="4"/>
  <c r="J206" i="4"/>
  <c r="D14" i="67"/>
  <c r="E14" i="67" s="1"/>
  <c r="E78" i="1"/>
  <c r="E80" i="4" s="1"/>
  <c r="E105" i="4"/>
  <c r="E144" i="4"/>
  <c r="E12" i="67"/>
  <c r="E170" i="1"/>
  <c r="E174" i="1" s="1"/>
  <c r="E178" i="1" s="1"/>
  <c r="E232" i="4"/>
  <c r="E87" i="4"/>
  <c r="E95" i="4" s="1"/>
  <c r="E138" i="4"/>
  <c r="E165" i="4"/>
  <c r="E306" i="2"/>
  <c r="D143" i="67"/>
  <c r="E23" i="20"/>
  <c r="J260" i="1"/>
  <c r="E19" i="1" s="1"/>
  <c r="E50" i="20"/>
  <c r="F23" i="20"/>
  <c r="C23" i="20"/>
  <c r="F48" i="20"/>
  <c r="J262" i="1"/>
  <c r="E20" i="1" s="1"/>
  <c r="D145" i="67"/>
  <c r="F32" i="20"/>
  <c r="C50" i="20"/>
  <c r="I4" i="53"/>
  <c r="X52" i="53" s="1"/>
  <c r="A7" i="13"/>
  <c r="F33" i="22"/>
  <c r="F21" i="22"/>
  <c r="F45" i="22"/>
  <c r="O18" i="13"/>
  <c r="J33" i="2" s="1"/>
  <c r="J32" i="2"/>
  <c r="N18" i="13"/>
  <c r="E166" i="4"/>
  <c r="J260" i="4"/>
  <c r="E233" i="4"/>
  <c r="E154" i="4"/>
  <c r="E164" i="4"/>
  <c r="E93" i="1"/>
  <c r="E137" i="4"/>
  <c r="J137" i="4" s="1"/>
  <c r="E94" i="2"/>
  <c r="E170" i="2"/>
  <c r="E174" i="2" s="1"/>
  <c r="E178" i="2" s="1"/>
  <c r="E146" i="4"/>
  <c r="E234" i="4"/>
  <c r="J244" i="4"/>
  <c r="E143" i="4"/>
  <c r="A333" i="1"/>
  <c r="A195" i="2"/>
  <c r="A271" i="2"/>
  <c r="J7" i="1"/>
  <c r="J63" i="1" s="1"/>
  <c r="A124" i="2"/>
  <c r="A124" i="1"/>
  <c r="A195" i="1"/>
  <c r="J196" i="4"/>
  <c r="A64" i="2"/>
  <c r="A64" i="1"/>
  <c r="I4" i="40"/>
  <c r="X52" i="40" s="1"/>
  <c r="E250" i="4"/>
  <c r="H250" i="4" s="1"/>
  <c r="H248" i="2"/>
  <c r="E97" i="67"/>
  <c r="J205" i="1"/>
  <c r="J123" i="1"/>
  <c r="E77" i="4"/>
  <c r="J240" i="4"/>
  <c r="J125" i="4"/>
  <c r="I4" i="42"/>
  <c r="X52" i="42" s="1"/>
  <c r="E150" i="4"/>
  <c r="J150" i="4" s="1"/>
  <c r="J7" i="2"/>
  <c r="E91" i="2"/>
  <c r="J244" i="1"/>
  <c r="E249" i="1" s="1"/>
  <c r="E250" i="1" s="1"/>
  <c r="F247" i="1" s="1"/>
  <c r="G5" i="50"/>
  <c r="E88" i="4"/>
  <c r="D90" i="67"/>
  <c r="J65" i="4"/>
  <c r="E177" i="4"/>
  <c r="J272" i="4"/>
  <c r="J334" i="4"/>
  <c r="I4" i="41"/>
  <c r="X52" i="41" s="1"/>
  <c r="I4" i="52"/>
  <c r="X52" i="52" s="1"/>
  <c r="I4" i="54"/>
  <c r="X52" i="54" s="1"/>
  <c r="D66" i="67"/>
  <c r="E145" i="1"/>
  <c r="E62" i="67"/>
  <c r="E145" i="2"/>
  <c r="C66" i="67"/>
  <c r="D38" i="67"/>
  <c r="E102" i="1"/>
  <c r="C35" i="67"/>
  <c r="E34" i="67"/>
  <c r="E100" i="2"/>
  <c r="E102" i="2"/>
  <c r="E36" i="67"/>
  <c r="E40" i="67"/>
  <c r="E106" i="2"/>
  <c r="B27" i="32"/>
  <c r="D27" i="32"/>
  <c r="H23" i="12"/>
  <c r="D44" i="67"/>
  <c r="D24" i="12"/>
  <c r="D22" i="12"/>
  <c r="B33" i="12"/>
  <c r="H15" i="12"/>
  <c r="F14" i="12"/>
  <c r="J241" i="2"/>
  <c r="J243" i="4" s="1"/>
  <c r="H247" i="2"/>
  <c r="E249" i="4"/>
  <c r="E222" i="2"/>
  <c r="H222" i="2" s="1"/>
  <c r="E109" i="67"/>
  <c r="E223" i="2"/>
  <c r="C110" i="67"/>
  <c r="E107" i="67"/>
  <c r="C39" i="9"/>
  <c r="E166" i="2"/>
  <c r="E155" i="2"/>
  <c r="E72" i="67"/>
  <c r="E139" i="2"/>
  <c r="E12" i="9"/>
  <c r="E136" i="4"/>
  <c r="J214" i="4" s="1"/>
  <c r="E88" i="2"/>
  <c r="E22" i="67"/>
  <c r="E27" i="67"/>
  <c r="E93" i="2"/>
  <c r="C30" i="67"/>
  <c r="E80" i="2"/>
  <c r="E92" i="2"/>
  <c r="E78" i="4"/>
  <c r="J205" i="4" s="1"/>
  <c r="E142" i="4"/>
  <c r="H247" i="1"/>
  <c r="J238" i="4"/>
  <c r="E233" i="1"/>
  <c r="H230" i="1" s="1"/>
  <c r="E117" i="67"/>
  <c r="D39" i="9"/>
  <c r="E35" i="9"/>
  <c r="E39" i="9" s="1"/>
  <c r="E225" i="1"/>
  <c r="E226" i="4"/>
  <c r="H224" i="1"/>
  <c r="E108" i="67"/>
  <c r="E223" i="1"/>
  <c r="E106" i="67"/>
  <c r="D110" i="67"/>
  <c r="E222" i="1"/>
  <c r="E166" i="1"/>
  <c r="E83" i="67"/>
  <c r="E162" i="4"/>
  <c r="E155" i="4"/>
  <c r="E155" i="1"/>
  <c r="D21" i="9"/>
  <c r="E140" i="4"/>
  <c r="E26" i="9"/>
  <c r="E81" i="4"/>
  <c r="E29" i="67"/>
  <c r="E95" i="1"/>
  <c r="E28" i="67"/>
  <c r="E92" i="1"/>
  <c r="E26" i="67"/>
  <c r="J207" i="4" l="1"/>
  <c r="J208" i="4" s="1"/>
  <c r="J210" i="4" s="1"/>
  <c r="D17" i="12"/>
  <c r="C44" i="67"/>
  <c r="E110" i="2" s="1"/>
  <c r="E85" i="4"/>
  <c r="E90" i="4" s="1"/>
  <c r="E80" i="1"/>
  <c r="E88" i="1"/>
  <c r="E94" i="1"/>
  <c r="E25" i="67"/>
  <c r="J246" i="4"/>
  <c r="E251" i="4" s="1"/>
  <c r="E252" i="4" s="1"/>
  <c r="F251" i="4" s="1"/>
  <c r="J251" i="4" s="1"/>
  <c r="E102" i="4"/>
  <c r="E104" i="1"/>
  <c r="E96" i="4"/>
  <c r="C38" i="67"/>
  <c r="E38" i="67" s="1"/>
  <c r="J247" i="1"/>
  <c r="E235" i="4"/>
  <c r="H232" i="4" s="1"/>
  <c r="J213" i="1"/>
  <c r="J214" i="1" s="1"/>
  <c r="J216" i="1" s="1"/>
  <c r="J260" i="2"/>
  <c r="C143" i="67"/>
  <c r="F50" i="20"/>
  <c r="J262" i="2"/>
  <c r="C145" i="67"/>
  <c r="J194" i="1"/>
  <c r="E149" i="2"/>
  <c r="E109" i="2" s="1"/>
  <c r="E21" i="9"/>
  <c r="J35" i="4"/>
  <c r="E96" i="2"/>
  <c r="J270" i="1"/>
  <c r="J332" i="1"/>
  <c r="E226" i="2"/>
  <c r="O5" i="13"/>
  <c r="D5" i="5"/>
  <c r="D5" i="32"/>
  <c r="H5" i="12"/>
  <c r="F5" i="22"/>
  <c r="F5" i="20"/>
  <c r="D5" i="37"/>
  <c r="E5" i="19"/>
  <c r="E5" i="68"/>
  <c r="E5" i="9"/>
  <c r="J194" i="2"/>
  <c r="J332" i="2"/>
  <c r="J270" i="2"/>
  <c r="J123" i="2"/>
  <c r="J63" i="2"/>
  <c r="E96" i="1"/>
  <c r="F249" i="1"/>
  <c r="J249" i="1" s="1"/>
  <c r="J206" i="1"/>
  <c r="J208" i="1" s="1"/>
  <c r="E147" i="4"/>
  <c r="E66" i="67"/>
  <c r="E35" i="67"/>
  <c r="E101" i="2"/>
  <c r="E103" i="4" s="1"/>
  <c r="E104" i="4"/>
  <c r="J106" i="2"/>
  <c r="E108" i="4"/>
  <c r="J108" i="4" s="1"/>
  <c r="E110" i="1"/>
  <c r="D25" i="12"/>
  <c r="F22" i="12"/>
  <c r="F24" i="12" s="1"/>
  <c r="F16" i="12"/>
  <c r="F32" i="12" s="1"/>
  <c r="C128" i="67"/>
  <c r="E125" i="67"/>
  <c r="J244" i="2"/>
  <c r="E249" i="2" s="1"/>
  <c r="E250" i="2" s="1"/>
  <c r="F248" i="2" s="1"/>
  <c r="J248" i="2" s="1"/>
  <c r="H249" i="4"/>
  <c r="J213" i="2"/>
  <c r="E94" i="4"/>
  <c r="H76" i="2"/>
  <c r="H20" i="2"/>
  <c r="F223" i="2"/>
  <c r="H223" i="2" s="1"/>
  <c r="H226" i="2" s="1"/>
  <c r="J217" i="2"/>
  <c r="H21" i="2"/>
  <c r="J21" i="2" s="1"/>
  <c r="H19" i="2"/>
  <c r="H152" i="2"/>
  <c r="J152" i="2" s="1"/>
  <c r="H22" i="2"/>
  <c r="J22" i="2" s="1"/>
  <c r="F248" i="1"/>
  <c r="J248" i="1" s="1"/>
  <c r="H225" i="1"/>
  <c r="E227" i="4"/>
  <c r="H226" i="4"/>
  <c r="E225" i="4"/>
  <c r="E110" i="67"/>
  <c r="E224" i="4"/>
  <c r="E226" i="1"/>
  <c r="H222" i="1"/>
  <c r="E168" i="4"/>
  <c r="E157" i="4"/>
  <c r="E139" i="1"/>
  <c r="E149" i="1" s="1"/>
  <c r="E30" i="9"/>
  <c r="E30" i="67"/>
  <c r="E97" i="4"/>
  <c r="E82" i="4"/>
  <c r="E93" i="4" l="1"/>
  <c r="E44" i="67"/>
  <c r="C43" i="67"/>
  <c r="C46" i="67" s="1"/>
  <c r="C133" i="67"/>
  <c r="E128" i="67"/>
  <c r="E143" i="67"/>
  <c r="E19" i="2"/>
  <c r="J19" i="2" s="1"/>
  <c r="J262" i="4"/>
  <c r="E19" i="4" s="1"/>
  <c r="E145" i="67"/>
  <c r="E20" i="2"/>
  <c r="J20" i="2" s="1"/>
  <c r="J264" i="4"/>
  <c r="E20" i="4" s="1"/>
  <c r="J226" i="2"/>
  <c r="H145" i="2" s="1"/>
  <c r="J145" i="2" s="1"/>
  <c r="E104" i="2"/>
  <c r="J250" i="1"/>
  <c r="E171" i="1" s="1"/>
  <c r="H76" i="1"/>
  <c r="H20" i="1"/>
  <c r="J20" i="1" s="1"/>
  <c r="J217" i="1"/>
  <c r="J218" i="1" s="1"/>
  <c r="H137" i="1" s="1"/>
  <c r="J137" i="1" s="1"/>
  <c r="H152" i="1"/>
  <c r="J152" i="1" s="1"/>
  <c r="H22" i="1"/>
  <c r="J22" i="1" s="1"/>
  <c r="F223" i="1"/>
  <c r="H223" i="1" s="1"/>
  <c r="H226" i="1" s="1"/>
  <c r="J226" i="1" s="1"/>
  <c r="H21" i="1"/>
  <c r="J21" i="1" s="1"/>
  <c r="H19" i="1"/>
  <c r="J19" i="1" s="1"/>
  <c r="E106" i="4"/>
  <c r="E112" i="4"/>
  <c r="F30" i="12"/>
  <c r="F33" i="12" s="1"/>
  <c r="E112" i="2"/>
  <c r="F249" i="2"/>
  <c r="J249" i="2" s="1"/>
  <c r="F247" i="2"/>
  <c r="J247" i="2" s="1"/>
  <c r="F249" i="4"/>
  <c r="J249" i="4" s="1"/>
  <c r="F250" i="4"/>
  <c r="J250" i="4" s="1"/>
  <c r="J214" i="2"/>
  <c r="J216" i="2" s="1"/>
  <c r="J218" i="2" s="1"/>
  <c r="H137" i="2" s="1"/>
  <c r="J137" i="2" s="1"/>
  <c r="J215" i="4"/>
  <c r="G18" i="50" s="1"/>
  <c r="J219" i="4"/>
  <c r="H22" i="4"/>
  <c r="J22" i="4" s="1"/>
  <c r="H20" i="4"/>
  <c r="H21" i="4"/>
  <c r="J21" i="4" s="1"/>
  <c r="F225" i="4"/>
  <c r="H225" i="4" s="1"/>
  <c r="H154" i="4"/>
  <c r="J154" i="4" s="1"/>
  <c r="H78" i="4"/>
  <c r="H19" i="4"/>
  <c r="H84" i="2"/>
  <c r="J84" i="2" s="1"/>
  <c r="J76" i="2"/>
  <c r="E98" i="4"/>
  <c r="H227" i="4"/>
  <c r="H224" i="4"/>
  <c r="E228" i="4"/>
  <c r="E141" i="4"/>
  <c r="E151" i="4" s="1"/>
  <c r="E133" i="67" l="1"/>
  <c r="C134" i="67"/>
  <c r="J19" i="4"/>
  <c r="J20" i="4"/>
  <c r="H140" i="2"/>
  <c r="J140" i="2" s="1"/>
  <c r="H141" i="2"/>
  <c r="J141" i="2" s="1"/>
  <c r="H78" i="2"/>
  <c r="H86" i="2" s="1"/>
  <c r="J86" i="2" s="1"/>
  <c r="J230" i="2"/>
  <c r="L230" i="2" s="1"/>
  <c r="H79" i="2" s="1"/>
  <c r="H87" i="2" s="1"/>
  <c r="H142" i="2"/>
  <c r="J142" i="2" s="1"/>
  <c r="H160" i="2"/>
  <c r="J160" i="2" s="1"/>
  <c r="H153" i="2"/>
  <c r="J153" i="2" s="1"/>
  <c r="H144" i="2"/>
  <c r="J144" i="2" s="1"/>
  <c r="H139" i="2"/>
  <c r="J139" i="2" s="1"/>
  <c r="H159" i="2"/>
  <c r="J159" i="2" s="1"/>
  <c r="E114" i="2"/>
  <c r="H84" i="1"/>
  <c r="J84" i="1" s="1"/>
  <c r="J76" i="1"/>
  <c r="H138" i="1"/>
  <c r="J138" i="1" s="1"/>
  <c r="H110" i="1"/>
  <c r="J110" i="1" s="1"/>
  <c r="H136" i="1"/>
  <c r="J136" i="1" s="1"/>
  <c r="H134" i="1"/>
  <c r="E134" i="67"/>
  <c r="J250" i="2"/>
  <c r="J252" i="4"/>
  <c r="H110" i="2"/>
  <c r="J110" i="2" s="1"/>
  <c r="H136" i="2"/>
  <c r="J136" i="2" s="1"/>
  <c r="H134" i="2"/>
  <c r="H146" i="2" s="1"/>
  <c r="J146" i="2" s="1"/>
  <c r="H138" i="2"/>
  <c r="J138" i="2" s="1"/>
  <c r="J216" i="4"/>
  <c r="J218" i="4" s="1"/>
  <c r="J220" i="4" s="1"/>
  <c r="H140" i="4" s="1"/>
  <c r="J140" i="4" s="1"/>
  <c r="J78" i="4"/>
  <c r="H86" i="4"/>
  <c r="J86" i="4" s="1"/>
  <c r="J92" i="2"/>
  <c r="G20" i="40"/>
  <c r="G20" i="53"/>
  <c r="C48" i="67"/>
  <c r="G22" i="50"/>
  <c r="H228" i="4"/>
  <c r="J228" i="4" s="1"/>
  <c r="J230" i="1"/>
  <c r="L230" i="1" s="1"/>
  <c r="H79" i="1" s="1"/>
  <c r="H160" i="1"/>
  <c r="J160" i="1" s="1"/>
  <c r="H139" i="1"/>
  <c r="H78" i="1"/>
  <c r="H144" i="1"/>
  <c r="J144" i="1" s="1"/>
  <c r="H142" i="1"/>
  <c r="J142" i="1" s="1"/>
  <c r="H141" i="1"/>
  <c r="J141" i="1" s="1"/>
  <c r="H140" i="1"/>
  <c r="J140" i="1" s="1"/>
  <c r="H159" i="1"/>
  <c r="J159" i="1" s="1"/>
  <c r="H145" i="1"/>
  <c r="J145" i="1" s="1"/>
  <c r="D43" i="67"/>
  <c r="E109" i="1"/>
  <c r="J78" i="2" l="1"/>
  <c r="J94" i="2" s="1"/>
  <c r="J79" i="2"/>
  <c r="J80" i="2" s="1"/>
  <c r="H80" i="2" s="1"/>
  <c r="H162" i="2" s="1"/>
  <c r="E181" i="2"/>
  <c r="H136" i="4"/>
  <c r="H148" i="4" s="1"/>
  <c r="J148" i="4" s="1"/>
  <c r="H139" i="4"/>
  <c r="J139" i="4" s="1"/>
  <c r="J134" i="1"/>
  <c r="H146" i="1"/>
  <c r="J146" i="1" s="1"/>
  <c r="G20" i="54"/>
  <c r="G20" i="41"/>
  <c r="J92" i="1"/>
  <c r="J134" i="2"/>
  <c r="E171" i="2"/>
  <c r="H138" i="4"/>
  <c r="J138" i="4" s="1"/>
  <c r="H112" i="4"/>
  <c r="J112" i="4" s="1"/>
  <c r="G20" i="52"/>
  <c r="G20" i="42"/>
  <c r="J94" i="4"/>
  <c r="G21" i="53"/>
  <c r="G21" i="40"/>
  <c r="H147" i="2"/>
  <c r="J87" i="2"/>
  <c r="J88" i="2" s="1"/>
  <c r="G27" i="50"/>
  <c r="H86" i="1"/>
  <c r="J86" i="1" s="1"/>
  <c r="J78" i="1"/>
  <c r="J232" i="4"/>
  <c r="L232" i="4" s="1"/>
  <c r="H81" i="4" s="1"/>
  <c r="H161" i="4"/>
  <c r="J161" i="4" s="1"/>
  <c r="H155" i="4"/>
  <c r="J155" i="4" s="1"/>
  <c r="H146" i="4"/>
  <c r="J146" i="4" s="1"/>
  <c r="H143" i="4"/>
  <c r="J143" i="4" s="1"/>
  <c r="H141" i="4"/>
  <c r="J141" i="4" s="1"/>
  <c r="H142" i="4"/>
  <c r="J142" i="4" s="1"/>
  <c r="H80" i="4"/>
  <c r="H162" i="4"/>
  <c r="J162" i="4" s="1"/>
  <c r="H147" i="4"/>
  <c r="J147" i="4" s="1"/>
  <c r="H144" i="4"/>
  <c r="J144" i="4" s="1"/>
  <c r="H153" i="1"/>
  <c r="J153" i="1" s="1"/>
  <c r="J139" i="1"/>
  <c r="H87" i="1"/>
  <c r="J79" i="1"/>
  <c r="E111" i="4"/>
  <c r="E114" i="4" s="1"/>
  <c r="E116" i="4" s="1"/>
  <c r="E183" i="4" s="1"/>
  <c r="E112" i="1"/>
  <c r="E114" i="1" s="1"/>
  <c r="E181" i="1" s="1"/>
  <c r="E177" i="1" s="1"/>
  <c r="E179" i="1" s="1"/>
  <c r="E184" i="1" s="1"/>
  <c r="E43" i="67"/>
  <c r="D46" i="67"/>
  <c r="J136" i="4" l="1"/>
  <c r="E177" i="2"/>
  <c r="E179" i="2" s="1"/>
  <c r="E184" i="2" s="1"/>
  <c r="G21" i="41"/>
  <c r="G21" i="54"/>
  <c r="H111" i="2"/>
  <c r="J111" i="2" s="1"/>
  <c r="J95" i="2"/>
  <c r="J96" i="2" s="1"/>
  <c r="H96" i="2" s="1"/>
  <c r="H164" i="2"/>
  <c r="J164" i="2" s="1"/>
  <c r="J162" i="2"/>
  <c r="H165" i="2"/>
  <c r="J165" i="2" s="1"/>
  <c r="J147" i="2"/>
  <c r="J149" i="2" s="1"/>
  <c r="H154" i="2"/>
  <c r="J154" i="2" s="1"/>
  <c r="G21" i="52"/>
  <c r="G21" i="42"/>
  <c r="H89" i="4"/>
  <c r="J81" i="4"/>
  <c r="H88" i="4"/>
  <c r="J88" i="4" s="1"/>
  <c r="J80" i="4"/>
  <c r="J94" i="1"/>
  <c r="J80" i="1"/>
  <c r="H80" i="1" s="1"/>
  <c r="H147" i="1"/>
  <c r="J87" i="1"/>
  <c r="J88" i="1" s="1"/>
  <c r="D48" i="67"/>
  <c r="E46" i="67"/>
  <c r="J166" i="2" l="1"/>
  <c r="G32" i="40" s="1"/>
  <c r="G33" i="40" s="1"/>
  <c r="I33" i="40" s="1"/>
  <c r="J155" i="2"/>
  <c r="G28" i="40"/>
  <c r="G29" i="40" s="1"/>
  <c r="I29" i="40" s="1"/>
  <c r="G28" i="53"/>
  <c r="G29" i="53" s="1"/>
  <c r="I29" i="53" s="1"/>
  <c r="G32" i="53"/>
  <c r="G33" i="53" s="1"/>
  <c r="I33" i="53" s="1"/>
  <c r="G24" i="53"/>
  <c r="G25" i="53" s="1"/>
  <c r="I25" i="53" s="1"/>
  <c r="G24" i="40"/>
  <c r="G25" i="40" s="1"/>
  <c r="I25" i="40" s="1"/>
  <c r="J109" i="2"/>
  <c r="J112" i="2" s="1"/>
  <c r="H178" i="2"/>
  <c r="J178" i="2" s="1"/>
  <c r="H100" i="2"/>
  <c r="J95" i="1"/>
  <c r="J147" i="1"/>
  <c r="J149" i="1" s="1"/>
  <c r="H154" i="1"/>
  <c r="J154" i="1" s="1"/>
  <c r="J82" i="4"/>
  <c r="J96" i="4"/>
  <c r="H149" i="4"/>
  <c r="J89" i="4"/>
  <c r="H111" i="1"/>
  <c r="J111" i="1" s="1"/>
  <c r="H162" i="1"/>
  <c r="J96" i="1"/>
  <c r="H96" i="1" s="1"/>
  <c r="E48" i="67"/>
  <c r="I35" i="40" l="1"/>
  <c r="P67" i="40" s="1"/>
  <c r="Q67" i="40" s="1"/>
  <c r="I35" i="53"/>
  <c r="J100" i="2"/>
  <c r="H101" i="2"/>
  <c r="H165" i="1"/>
  <c r="J165" i="1" s="1"/>
  <c r="J162" i="1"/>
  <c r="H164" i="1"/>
  <c r="J164" i="1" s="1"/>
  <c r="J90" i="4"/>
  <c r="J97" i="4"/>
  <c r="G24" i="41"/>
  <c r="G25" i="41" s="1"/>
  <c r="I25" i="41" s="1"/>
  <c r="G24" i="54"/>
  <c r="G25" i="54" s="1"/>
  <c r="I25" i="54" s="1"/>
  <c r="J109" i="1"/>
  <c r="J112" i="1" s="1"/>
  <c r="H178" i="1"/>
  <c r="J178" i="1" s="1"/>
  <c r="H100" i="1"/>
  <c r="H156" i="4"/>
  <c r="J156" i="4" s="1"/>
  <c r="J149" i="4"/>
  <c r="J151" i="4" s="1"/>
  <c r="G28" i="41"/>
  <c r="G29" i="41" s="1"/>
  <c r="I29" i="41" s="1"/>
  <c r="G28" i="54"/>
  <c r="G29" i="54" s="1"/>
  <c r="I29" i="54" s="1"/>
  <c r="J155" i="1"/>
  <c r="H82" i="4"/>
  <c r="P68" i="40" l="1"/>
  <c r="Q68" i="40" s="1"/>
  <c r="P66" i="40"/>
  <c r="Q66" i="40" s="1"/>
  <c r="P66" i="53"/>
  <c r="Q66" i="53" s="1"/>
  <c r="P68" i="53"/>
  <c r="Q68" i="53" s="1"/>
  <c r="P67" i="53"/>
  <c r="Q67" i="53" s="1"/>
  <c r="H102" i="2"/>
  <c r="J102" i="2" s="1"/>
  <c r="H103" i="2"/>
  <c r="J103" i="2" s="1"/>
  <c r="J101" i="2"/>
  <c r="J166" i="1"/>
  <c r="G32" i="41" s="1"/>
  <c r="G33" i="41" s="1"/>
  <c r="I33" i="41" s="1"/>
  <c r="I35" i="41" s="1"/>
  <c r="J100" i="1"/>
  <c r="H101" i="1"/>
  <c r="H113" i="4"/>
  <c r="J113" i="4" s="1"/>
  <c r="H164" i="4"/>
  <c r="J98" i="4"/>
  <c r="G28" i="42"/>
  <c r="G29" i="42" s="1"/>
  <c r="I29" i="42" s="1"/>
  <c r="G28" i="52"/>
  <c r="G29" i="52" s="1"/>
  <c r="I29" i="52" s="1"/>
  <c r="J157" i="4"/>
  <c r="G32" i="54" l="1"/>
  <c r="G33" i="54" s="1"/>
  <c r="I33" i="54" s="1"/>
  <c r="I35" i="54" s="1"/>
  <c r="P67" i="54" s="1"/>
  <c r="Q67" i="54" s="1"/>
  <c r="J104" i="2"/>
  <c r="J114" i="2" s="1"/>
  <c r="J181" i="2" s="1"/>
  <c r="G42" i="40" s="1"/>
  <c r="G43" i="40" s="1"/>
  <c r="I43" i="40" s="1"/>
  <c r="P66" i="41"/>
  <c r="Q66" i="41" s="1"/>
  <c r="P67" i="41"/>
  <c r="Q67" i="41" s="1"/>
  <c r="P68" i="41"/>
  <c r="Q68" i="41" s="1"/>
  <c r="H166" i="4"/>
  <c r="J166" i="4" s="1"/>
  <c r="H167" i="4"/>
  <c r="J167" i="4" s="1"/>
  <c r="J164" i="4"/>
  <c r="H103" i="1"/>
  <c r="J103" i="1" s="1"/>
  <c r="J101" i="1"/>
  <c r="H102" i="1"/>
  <c r="J102" i="1" s="1"/>
  <c r="J111" i="4"/>
  <c r="G24" i="42"/>
  <c r="G25" i="42" s="1"/>
  <c r="I25" i="42" s="1"/>
  <c r="G24" i="52"/>
  <c r="G25" i="52" s="1"/>
  <c r="I25" i="52" s="1"/>
  <c r="H98" i="4"/>
  <c r="P68" i="54" l="1"/>
  <c r="Q68" i="54" s="1"/>
  <c r="P66" i="54"/>
  <c r="Q66" i="54" s="1"/>
  <c r="G42" i="53"/>
  <c r="G43" i="53" s="1"/>
  <c r="I43" i="53" s="1"/>
  <c r="J177" i="2"/>
  <c r="J179" i="2" s="1"/>
  <c r="J184" i="2" s="1"/>
  <c r="J15" i="2" s="1"/>
  <c r="J104" i="1"/>
  <c r="J114" i="1" s="1"/>
  <c r="J181" i="1" s="1"/>
  <c r="G42" i="41" s="1"/>
  <c r="G43" i="41" s="1"/>
  <c r="I43" i="41" s="1"/>
  <c r="H180" i="4"/>
  <c r="H102" i="4"/>
  <c r="J114" i="4"/>
  <c r="J168" i="4"/>
  <c r="G38" i="40" l="1"/>
  <c r="G39" i="40" s="1"/>
  <c r="I39" i="40" s="1"/>
  <c r="I45" i="40" s="1"/>
  <c r="S67" i="40" s="1"/>
  <c r="T67" i="40" s="1"/>
  <c r="V67" i="40" s="1"/>
  <c r="X67" i="40" s="1"/>
  <c r="B12" i="5"/>
  <c r="B15" i="5" s="1"/>
  <c r="B17" i="5" s="1"/>
  <c r="G38" i="53"/>
  <c r="G39" i="53" s="1"/>
  <c r="I39" i="53" s="1"/>
  <c r="I45" i="53" s="1"/>
  <c r="S67" i="53" s="1"/>
  <c r="T67" i="53" s="1"/>
  <c r="V67" i="53" s="1"/>
  <c r="X67" i="53" s="1"/>
  <c r="J177" i="1"/>
  <c r="J179" i="1" s="1"/>
  <c r="G38" i="41" s="1"/>
  <c r="G39" i="41" s="1"/>
  <c r="I39" i="41" s="1"/>
  <c r="I45" i="41" s="1"/>
  <c r="G42" i="54"/>
  <c r="G43" i="54" s="1"/>
  <c r="I43" i="54" s="1"/>
  <c r="H103" i="4"/>
  <c r="J102" i="4"/>
  <c r="G32" i="42"/>
  <c r="G33" i="42" s="1"/>
  <c r="I33" i="42" s="1"/>
  <c r="I35" i="42" s="1"/>
  <c r="G32" i="52"/>
  <c r="G33" i="52" s="1"/>
  <c r="I33" i="52" s="1"/>
  <c r="I35" i="52" s="1"/>
  <c r="S66" i="40" l="1"/>
  <c r="T66" i="40" s="1"/>
  <c r="V66" i="40" s="1"/>
  <c r="X66" i="40" s="1"/>
  <c r="S68" i="40"/>
  <c r="T68" i="40" s="1"/>
  <c r="V68" i="40" s="1"/>
  <c r="X68" i="40" s="1"/>
  <c r="S66" i="53"/>
  <c r="T66" i="53" s="1"/>
  <c r="V66" i="53" s="1"/>
  <c r="X66" i="53" s="1"/>
  <c r="S68" i="53"/>
  <c r="T68" i="53" s="1"/>
  <c r="V68" i="53" s="1"/>
  <c r="X68" i="53" s="1"/>
  <c r="J184" i="1"/>
  <c r="J15" i="1" s="1"/>
  <c r="G38" i="54"/>
  <c r="G39" i="54" s="1"/>
  <c r="I39" i="54" s="1"/>
  <c r="I45" i="54" s="1"/>
  <c r="P68" i="52"/>
  <c r="Q68" i="52" s="1"/>
  <c r="P67" i="52"/>
  <c r="Q67" i="52" s="1"/>
  <c r="P66" i="52"/>
  <c r="Q66" i="52" s="1"/>
  <c r="H105" i="4"/>
  <c r="J105" i="4" s="1"/>
  <c r="H104" i="4"/>
  <c r="J104" i="4" s="1"/>
  <c r="J103" i="4"/>
  <c r="S68" i="41"/>
  <c r="T68" i="41" s="1"/>
  <c r="V68" i="41" s="1"/>
  <c r="X68" i="41" s="1"/>
  <c r="S66" i="41"/>
  <c r="T66" i="41" s="1"/>
  <c r="V66" i="41" s="1"/>
  <c r="S67" i="41"/>
  <c r="T67" i="41" s="1"/>
  <c r="V67" i="41" s="1"/>
  <c r="X67" i="41" s="1"/>
  <c r="P66" i="42"/>
  <c r="Q66" i="42" s="1"/>
  <c r="P68" i="42"/>
  <c r="Q68" i="42" s="1"/>
  <c r="P67" i="42"/>
  <c r="Q67" i="42" s="1"/>
  <c r="X86" i="40" l="1"/>
  <c r="X88" i="40" s="1"/>
  <c r="V86" i="40"/>
  <c r="X86" i="53"/>
  <c r="X88" i="53" s="1"/>
  <c r="E23" i="2" s="1"/>
  <c r="J23" i="2" s="1"/>
  <c r="V86" i="53"/>
  <c r="C12" i="5"/>
  <c r="D12" i="5" s="1"/>
  <c r="S68" i="54"/>
  <c r="T68" i="54" s="1"/>
  <c r="V68" i="54" s="1"/>
  <c r="X68" i="54" s="1"/>
  <c r="S66" i="54"/>
  <c r="T66" i="54" s="1"/>
  <c r="V66" i="54" s="1"/>
  <c r="X66" i="54" s="1"/>
  <c r="S67" i="54"/>
  <c r="T67" i="54" s="1"/>
  <c r="V67" i="54" s="1"/>
  <c r="X67" i="54" s="1"/>
  <c r="J106" i="4"/>
  <c r="J116" i="4" s="1"/>
  <c r="X66" i="41"/>
  <c r="X86" i="41" s="1"/>
  <c r="X88" i="41" s="1"/>
  <c r="V86" i="41"/>
  <c r="C15" i="5" l="1"/>
  <c r="C17" i="5" s="1"/>
  <c r="X86" i="54"/>
  <c r="X88" i="54" s="1"/>
  <c r="E23" i="1" s="1"/>
  <c r="J23" i="1" s="1"/>
  <c r="V86" i="54"/>
  <c r="J183" i="4"/>
  <c r="D15" i="5" l="1"/>
  <c r="D17" i="5" s="1"/>
  <c r="J25" i="1"/>
  <c r="G42" i="42"/>
  <c r="G43" i="42" s="1"/>
  <c r="I43" i="42" s="1"/>
  <c r="G42" i="52"/>
  <c r="G43" i="52" s="1"/>
  <c r="I43" i="52" s="1"/>
  <c r="E308" i="4" l="1"/>
  <c r="E172" i="4" s="1"/>
  <c r="E176" i="4" s="1"/>
  <c r="E180" i="4" s="1"/>
  <c r="J180" i="4" s="1"/>
  <c r="J28" i="1"/>
  <c r="D149" i="67" s="1"/>
  <c r="E88" i="67"/>
  <c r="E90" i="67" l="1"/>
  <c r="E173" i="4"/>
  <c r="E179" i="4" s="1"/>
  <c r="E181" i="4" s="1"/>
  <c r="E186" i="4" s="1"/>
  <c r="E55" i="1"/>
  <c r="E43" i="1"/>
  <c r="E47" i="1" s="1"/>
  <c r="E41" i="1"/>
  <c r="E45" i="1" s="1"/>
  <c r="J55" i="1"/>
  <c r="J179" i="4" l="1"/>
  <c r="J181" i="4" s="1"/>
  <c r="G28" i="61"/>
  <c r="G22" i="61" s="1"/>
  <c r="G23" i="61" s="1"/>
  <c r="G25" i="61" s="1"/>
  <c r="G34" i="61" s="1"/>
  <c r="G30" i="61" s="1"/>
  <c r="G36" i="61" s="1"/>
  <c r="E24" i="2" s="1"/>
  <c r="E53" i="1"/>
  <c r="J53" i="1"/>
  <c r="E51" i="1"/>
  <c r="E24" i="4" l="1"/>
  <c r="J24" i="4" s="1"/>
  <c r="J24" i="2"/>
  <c r="G38" i="42"/>
  <c r="G39" i="42" s="1"/>
  <c r="I39" i="42" s="1"/>
  <c r="I45" i="42" s="1"/>
  <c r="G38" i="52"/>
  <c r="G39" i="52" s="1"/>
  <c r="I39" i="52" s="1"/>
  <c r="I45" i="52" s="1"/>
  <c r="J186" i="4"/>
  <c r="J15" i="4" l="1"/>
  <c r="S67" i="42"/>
  <c r="T67" i="42" s="1"/>
  <c r="V67" i="42" s="1"/>
  <c r="X67" i="42" s="1"/>
  <c r="S66" i="42"/>
  <c r="T66" i="42" s="1"/>
  <c r="V66" i="42" s="1"/>
  <c r="S68" i="42"/>
  <c r="T68" i="42" s="1"/>
  <c r="V68" i="42" s="1"/>
  <c r="X68" i="42" s="1"/>
  <c r="J25" i="2"/>
  <c r="S67" i="52"/>
  <c r="T67" i="52" s="1"/>
  <c r="V67" i="52" s="1"/>
  <c r="X67" i="52" s="1"/>
  <c r="S66" i="52"/>
  <c r="T66" i="52" s="1"/>
  <c r="V66" i="52" s="1"/>
  <c r="S68" i="52"/>
  <c r="T68" i="52" s="1"/>
  <c r="V68" i="52" s="1"/>
  <c r="X68" i="52" s="1"/>
  <c r="X66" i="42" l="1"/>
  <c r="X86" i="42" s="1"/>
  <c r="X88" i="42" s="1"/>
  <c r="V86" i="42"/>
  <c r="J28" i="2"/>
  <c r="V86" i="52"/>
  <c r="X66" i="52"/>
  <c r="X86" i="52" s="1"/>
  <c r="X88" i="52" s="1"/>
  <c r="E23" i="4" l="1"/>
  <c r="J23" i="4" s="1"/>
  <c r="J55" i="2"/>
  <c r="C149" i="67"/>
  <c r="E43" i="2"/>
  <c r="E41" i="2"/>
  <c r="E45" i="2" s="1"/>
  <c r="E55" i="2"/>
  <c r="J27" i="4" l="1"/>
  <c r="E53" i="2"/>
  <c r="E51" i="2"/>
  <c r="J53" i="2"/>
  <c r="E47" i="2"/>
  <c r="D150" i="67"/>
  <c r="J30" i="4" l="1"/>
  <c r="E43" i="4" s="1"/>
  <c r="E149" i="67" l="1"/>
  <c r="E57" i="4"/>
  <c r="J57" i="4"/>
  <c r="E45" i="4"/>
  <c r="E49" i="4" s="1"/>
  <c r="E47" i="4"/>
  <c r="E53" i="4" l="1"/>
  <c r="J55" i="4"/>
  <c r="E55" i="4"/>
</calcChain>
</file>

<file path=xl/comments1.xml><?xml version="1.0" encoding="utf-8"?>
<comments xmlns="http://schemas.openxmlformats.org/spreadsheetml/2006/main">
  <authors>
    <author>Ted Czupik</author>
    <author>Steinkuhl, Lisa D</author>
  </authors>
  <commentList>
    <comment ref="B34" authorId="0">
      <text>
        <r>
          <rPr>
            <sz val="10"/>
            <color indexed="81"/>
            <rFont val="Tahoma"/>
            <family val="2"/>
          </rPr>
          <t xml:space="preserve">275.6.k requires analysis by Tax Department
</t>
        </r>
      </text>
    </comment>
    <comment ref="B35" authorId="0">
      <text>
        <r>
          <rPr>
            <sz val="10"/>
            <color indexed="81"/>
            <rFont val="Tahoma"/>
            <family val="2"/>
          </rPr>
          <t xml:space="preserve">275.6.k requires analysis by Tax Department
</t>
        </r>
      </text>
    </comment>
    <comment ref="B36" authorId="0">
      <text>
        <r>
          <rPr>
            <sz val="10"/>
            <color indexed="81"/>
            <rFont val="Tahoma"/>
            <family val="2"/>
          </rPr>
          <t xml:space="preserve">234.17.c requires analysis by Tax Department
</t>
        </r>
      </text>
    </comment>
    <comment ref="C37" authorId="0">
      <text>
        <r>
          <rPr>
            <sz val="10"/>
            <color indexed="81"/>
            <rFont val="Tahoma"/>
            <family val="2"/>
          </rPr>
          <t xml:space="preserve">The Company has chosen option 2 for ITC and therefore this number should be zero and amortization of ITC should be included
</t>
        </r>
      </text>
    </comment>
    <comment ref="D37" authorId="0">
      <text>
        <r>
          <rPr>
            <sz val="10"/>
            <color indexed="81"/>
            <rFont val="Tahoma"/>
            <family val="2"/>
          </rPr>
          <t xml:space="preserve">The Company has chosen option 2 for ITC and therefore this number should be zero and amortization of ITC should be included
</t>
        </r>
      </text>
    </comment>
    <comment ref="B61" authorId="1">
      <text>
        <r>
          <rPr>
            <b/>
            <sz val="9"/>
            <color indexed="81"/>
            <rFont val="Tahoma"/>
            <family val="2"/>
          </rPr>
          <t>Steinkuhl, Lisa D:</t>
        </r>
        <r>
          <rPr>
            <sz val="9"/>
            <color indexed="81"/>
            <rFont val="Tahoma"/>
            <family val="2"/>
          </rPr>
          <t xml:space="preserve">
350.13.b</t>
        </r>
      </text>
    </comment>
  </commentList>
</comments>
</file>

<file path=xl/comments2.xml><?xml version="1.0" encoding="utf-8"?>
<comments xmlns="http://schemas.openxmlformats.org/spreadsheetml/2006/main">
  <authors>
    <author>Ted Czupik</author>
  </authors>
  <commentList>
    <comment ref="E105" authorId="0">
      <text>
        <r>
          <rPr>
            <sz val="10"/>
            <color indexed="81"/>
            <rFont val="Tahoma"/>
            <family val="2"/>
          </rPr>
          <t xml:space="preserve">The Company has chosen option 2 for ITC and therefore this number should be zero and amortization of ITC should be included
</t>
        </r>
      </text>
    </comment>
    <comment ref="E137" authorId="0">
      <text>
        <r>
          <rPr>
            <sz val="10"/>
            <color indexed="81"/>
            <rFont val="Tahoma"/>
            <family val="2"/>
          </rPr>
          <t xml:space="preserve">Account 575.7 is not included in Transmission Expense so there is no need to deduct it.
</t>
        </r>
      </text>
    </comment>
  </commentList>
</comments>
</file>

<file path=xl/comments3.xml><?xml version="1.0" encoding="utf-8"?>
<comments xmlns="http://schemas.openxmlformats.org/spreadsheetml/2006/main">
  <authors>
    <author>Ted Czupik</author>
  </authors>
  <commentList>
    <comment ref="D100" authorId="0">
      <text>
        <r>
          <rPr>
            <sz val="10"/>
            <color indexed="81"/>
            <rFont val="Tahoma"/>
            <family val="2"/>
          </rPr>
          <t xml:space="preserve">275.6.k requires analysis by Tax Department
</t>
        </r>
      </text>
    </comment>
    <comment ref="D101" authorId="0">
      <text>
        <r>
          <rPr>
            <sz val="10"/>
            <color indexed="81"/>
            <rFont val="Tahoma"/>
            <family val="2"/>
          </rPr>
          <t xml:space="preserve">277.18.k requires analysis by Tax Department
</t>
        </r>
      </text>
    </comment>
    <comment ref="D102" authorId="0">
      <text>
        <r>
          <rPr>
            <sz val="10"/>
            <color indexed="81"/>
            <rFont val="Tahoma"/>
            <family val="2"/>
          </rPr>
          <t xml:space="preserve">234.17.c requires analysis by Tax Department
</t>
        </r>
      </text>
    </comment>
    <comment ref="E103" authorId="0">
      <text>
        <r>
          <rPr>
            <sz val="10"/>
            <color indexed="81"/>
            <rFont val="Tahoma"/>
            <family val="2"/>
          </rPr>
          <t xml:space="preserve">The Company has chosen option 2 for ITC and therefore this number should be zero and amortization of ITC should be included
</t>
        </r>
      </text>
    </comment>
    <comment ref="E136" authorId="0">
      <text>
        <r>
          <rPr>
            <sz val="10"/>
            <color indexed="81"/>
            <rFont val="Tahoma"/>
            <family val="2"/>
          </rPr>
          <t xml:space="preserve">$13,494,000 - Acct 566
$4,618,250 - Acct 565
$18,112,250 - Total
</t>
        </r>
      </text>
    </comment>
  </commentList>
</comments>
</file>

<file path=xl/comments4.xml><?xml version="1.0" encoding="utf-8"?>
<comments xmlns="http://schemas.openxmlformats.org/spreadsheetml/2006/main">
  <authors>
    <author>Ted Czupik</author>
  </authors>
  <commentList>
    <comment ref="D100" authorId="0">
      <text>
        <r>
          <rPr>
            <sz val="10"/>
            <color indexed="81"/>
            <rFont val="Tahoma"/>
            <family val="2"/>
          </rPr>
          <t xml:space="preserve">275.6.k requires analysis by Tax Department
</t>
        </r>
      </text>
    </comment>
    <comment ref="D101" authorId="0">
      <text>
        <r>
          <rPr>
            <sz val="10"/>
            <color indexed="81"/>
            <rFont val="Tahoma"/>
            <family val="2"/>
          </rPr>
          <t xml:space="preserve">277.18.k requires analysis by Tax Department
</t>
        </r>
      </text>
    </comment>
    <comment ref="D102" authorId="0">
      <text>
        <r>
          <rPr>
            <sz val="10"/>
            <color indexed="81"/>
            <rFont val="Tahoma"/>
            <family val="2"/>
          </rPr>
          <t xml:space="preserve">234.17.c requires analysis by Tax Department
</t>
        </r>
      </text>
    </comment>
    <comment ref="E103" authorId="0">
      <text>
        <r>
          <rPr>
            <sz val="10"/>
            <color indexed="81"/>
            <rFont val="Tahoma"/>
            <family val="2"/>
          </rPr>
          <t xml:space="preserve">The Company has chosen option 2 for ITC and therefore this number should be zero and amortization of ITC should be included
</t>
        </r>
      </text>
    </comment>
  </commentList>
</comments>
</file>

<file path=xl/comments5.xml><?xml version="1.0" encoding="utf-8"?>
<comments xmlns="http://schemas.openxmlformats.org/spreadsheetml/2006/main">
  <authors>
    <author>Ted Czupik</author>
  </authors>
  <commentList>
    <comment ref="C11" authorId="0">
      <text>
        <r>
          <rPr>
            <sz val="10"/>
            <color indexed="81"/>
            <rFont val="Tahoma"/>
            <family val="2"/>
          </rPr>
          <t>Source: "AU 2010 DEO DEI DEK Revenue Credits by Operating Company. xlsx", Sch 7 &amp; Network (Sch 9)
Rates for this period are based on the May 2011 Attachment O formula rate which used 2010 data. The Company was not yet a member of PJM in 2010.</t>
        </r>
      </text>
    </comment>
    <comment ref="E11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Source: "AU 2010 DEO DEI DEK Revenue Credits by Operating Company. xlsx", Sch 7 &amp; Network (Sch 9)
Rates for this period are based on the May 2011 Attachment O formula rate which used 2010 data. The Company was not yet a member of PJM in 2010.</t>
        </r>
      </text>
    </comment>
    <comment ref="E12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3" authorId="0">
      <text>
        <r>
          <rPr>
            <sz val="10"/>
            <color indexed="81"/>
            <rFont val="Tahoma"/>
            <family val="2"/>
          </rPr>
          <t>Source: "AU 2010 DEO DEI DEK Revenue Credits by Operating Company. xlsx", Sch 7 &amp; Network (Sch 9)
Rates for this period are based on the May 2011 Attachment O formula rate which used 2010 data. The Company was not yet a member of PJM in 2010.</t>
        </r>
      </text>
    </comment>
    <comment ref="E13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4" authorId="0">
      <text>
        <r>
          <rPr>
            <sz val="10"/>
            <color indexed="81"/>
            <rFont val="Tahoma"/>
            <family val="2"/>
          </rPr>
          <t>Source: "AU 2010 DEO DEI DEK Revenue Credits by Operating Company. xlsx", Sch 7 &amp; Network (Sch 9)
Rates for this period are based on the May 2011 Attachment O formula rate which used 2010 data. The Company was not yet a member of PJM in 2010.</t>
        </r>
      </text>
    </comment>
    <comment ref="E14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5" authorId="0">
      <text>
        <r>
          <rPr>
            <sz val="10"/>
            <color indexed="81"/>
            <rFont val="Tahoma"/>
            <family val="2"/>
          </rPr>
          <t>Source: "AU 2010 DEO DEI DEK Revenue Credits by Operating Company. xlsx", Sch 7 &amp; Network (Sch 9)
Rates for this period are based on the May 2011 Attachment O formula rate which used 2010 data. The Company was not yet a member of PJM in 2010.</t>
        </r>
      </text>
    </comment>
    <comment ref="E15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6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16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7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17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8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</t>
        </r>
      </text>
    </comment>
    <comment ref="E18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19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20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20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21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21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22" authorId="0">
      <text>
        <r>
          <rPr>
            <sz val="10"/>
            <color indexed="81"/>
            <rFont val="Tahoma"/>
            <family val="2"/>
          </rPr>
          <t>Source: "2011 DEO DEI DEK Revenue Credits by Operating Company. xlsx"
Rates for this period are based on the May 2012 Attachment H formula rate which used 2011 data. The Company was not yet a member of PJM in 2011.</t>
        </r>
      </text>
    </comment>
    <comment ref="E22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- 2012 (Throug December) FERC Support - Final.xlsx", summarized on "Revenue Credits - 2012 Sch 7 &amp; Sch 9 Revenue for Appx E. xlsx"
</t>
        </r>
      </text>
    </comment>
    <comment ref="C25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
=ROUND(358834.98+268474.68,0)</t>
        </r>
      </text>
    </comment>
    <comment ref="E25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- 2013 (Throug December) FERC Support - Final.xlsx", summarized on "Revenue Credits - 2013 Sch 7 &amp; Sch 9 Revenue for Appx E. xlsx"
</t>
        </r>
      </text>
    </comment>
    <comment ref="C26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
=ROUND(311616.97+261389.88,0)</t>
        </r>
      </text>
    </comment>
    <comment ref="E26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- 2013 (Throug December) FERC Support - Final.xlsx", summarized on "Revenue Credits - 2013 Sch 7 &amp; Sch 9 Revenue for Appx E. xlsx"
</t>
        </r>
      </text>
    </comment>
    <comment ref="C27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
=ROUND(348327.54+376001.31,0)</t>
        </r>
      </text>
    </comment>
    <comment ref="E27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- 2013 (Throug December) FERC Support - Final.xlsx", summarized on "Revenue Credits - 2013 Sch 7 &amp; Sch 9 Revenue for Appx E. xlsx"
</t>
        </r>
      </text>
    </comment>
    <comment ref="C28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
=ROUND(362764.07+228953.12,0)</t>
        </r>
      </text>
    </comment>
    <comment ref="E28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- 2013 (Throug December) FERC Support - Final.xlsx", summarized on "Revenue Credits - 2013 Sch 7 &amp; Sch 9 Revenue for Appx E. xlsx"
</t>
        </r>
      </text>
    </comment>
    <comment ref="C29" authorId="0">
      <text>
        <r>
          <rPr>
            <sz val="10"/>
            <color indexed="81"/>
            <rFont val="Tahoma"/>
            <family val="2"/>
          </rPr>
          <t>Source: "AU 2011 DEO DEI DEK Revenue Credits by Operating Company. xlsx"
Rates for this period are based on the May 2012 Attachment H formula rate which used 2011 data. The Company was not yet a member of PJM in 2011.
=ROUND(408978.17+162840.64,0)</t>
        </r>
      </text>
    </comment>
    <comment ref="E29" authorId="0">
      <text>
        <r>
          <rPr>
            <sz val="10"/>
            <color indexed="81"/>
            <rFont val="Tahoma"/>
            <family val="2"/>
          </rPr>
          <t xml:space="preserve">Source: "Total Transmission and Ancillary Service Revenue - 2013 (Throug December) FERC Support - Final.xlsx", summarized on "Revenue Credits - 2013 Sch 7 &amp; Sch 9 Revenue for Appx E. xlsx"
</t>
        </r>
      </text>
    </comment>
  </commentList>
</comments>
</file>

<file path=xl/comments6.xml><?xml version="1.0" encoding="utf-8"?>
<comments xmlns="http://schemas.openxmlformats.org/spreadsheetml/2006/main">
  <authors>
    <author>Ted Czupik</author>
  </authors>
  <commentList>
    <comment ref="D14" authorId="0">
      <text>
        <r>
          <rPr>
            <sz val="10"/>
            <color indexed="81"/>
            <rFont val="Tahoma"/>
            <family val="2"/>
          </rPr>
          <t xml:space="preserve">Electric portion of line 17 provided by tax department
</t>
        </r>
      </text>
    </comment>
  </commentList>
</comments>
</file>

<file path=xl/comments7.xml><?xml version="1.0" encoding="utf-8"?>
<comments xmlns="http://schemas.openxmlformats.org/spreadsheetml/2006/main">
  <authors>
    <author>Ted Czupik</author>
  </authors>
  <commentList>
    <comment ref="D15" authorId="0">
      <text>
        <r>
          <rPr>
            <sz val="10"/>
            <color indexed="81"/>
            <rFont val="Tahoma"/>
            <family val="2"/>
          </rPr>
          <t xml:space="preserve">page 350, line 3
</t>
        </r>
      </text>
    </comment>
    <comment ref="C30" authorId="0">
      <text>
        <r>
          <rPr>
            <sz val="10"/>
            <color indexed="81"/>
            <rFont val="Tahoma"/>
            <family val="2"/>
          </rPr>
          <t xml:space="preserve">All safety advertising for corporate support is charged to account 909650.
</t>
        </r>
      </text>
    </comment>
  </commentList>
</comments>
</file>

<file path=xl/comments8.xml><?xml version="1.0" encoding="utf-8"?>
<comments xmlns="http://schemas.openxmlformats.org/spreadsheetml/2006/main">
  <authors>
    <author>Ted Czupik</author>
  </authors>
  <commentList>
    <comment ref="C18" authorId="0">
      <text>
        <r>
          <rPr>
            <sz val="10"/>
            <color indexed="81"/>
            <rFont val="Tahoma"/>
            <family val="2"/>
          </rPr>
          <t xml:space="preserve">Pole attachment revenue
</t>
        </r>
      </text>
    </comment>
    <comment ref="E18" authorId="0">
      <text>
        <r>
          <rPr>
            <sz val="10"/>
            <color indexed="81"/>
            <rFont val="Tahoma"/>
            <family val="2"/>
          </rPr>
          <t xml:space="preserve">Pole attachment revenue
</t>
        </r>
      </text>
    </comment>
    <comment ref="C22" authorId="0">
      <text>
        <r>
          <rPr>
            <sz val="10"/>
            <color indexed="81"/>
            <rFont val="Tahoma"/>
            <family val="2"/>
          </rPr>
          <t xml:space="preserve">Determined by running business objects query and including "journal description"
</t>
        </r>
      </text>
    </comment>
  </commentList>
</comments>
</file>

<file path=xl/sharedStrings.xml><?xml version="1.0" encoding="utf-8"?>
<sst xmlns="http://schemas.openxmlformats.org/spreadsheetml/2006/main" count="2765" uniqueCount="872">
  <si>
    <t>205.5.g &amp; 207.99.g</t>
  </si>
  <si>
    <t>336.11.b</t>
  </si>
  <si>
    <t>263.i. 4, 5, 12</t>
  </si>
  <si>
    <t>1a</t>
  </si>
  <si>
    <t>Less Account 565</t>
  </si>
  <si>
    <t>Removes dollar amount of transmission expenses included in the OATT ancillary services rates, including Account Nos. 561.1, 561.2, 561.3, and 561.BA.</t>
  </si>
  <si>
    <t>V</t>
  </si>
  <si>
    <t>321.88.b, 92.b; 322.121.b</t>
  </si>
  <si>
    <t>Step-ups leased to Duke Energy Kentucky</t>
  </si>
  <si>
    <t xml:space="preserve">Duke Energy Ohio Consolidated 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</si>
  <si>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</si>
  <si>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</si>
  <si>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</si>
  <si>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</si>
  <si>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</si>
  <si>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</si>
  <si>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</si>
  <si>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</si>
  <si>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</si>
  <si>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</si>
  <si>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</si>
  <si>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A)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</si>
  <si>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</si>
  <si>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</si>
  <si>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</si>
  <si>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</si>
  <si>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</si>
  <si>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</si>
  <si>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</si>
  <si>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</si>
  <si>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</si>
  <si>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</si>
  <si>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</si>
  <si>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</si>
  <si>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</si>
  <si>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</si>
  <si>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</si>
  <si>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</si>
  <si>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</si>
  <si>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</si>
  <si>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</si>
  <si>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</si>
  <si>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</si>
  <si>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</si>
  <si>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</si>
  <si>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</si>
  <si>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</si>
  <si>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</si>
  <si>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</si>
  <si>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</si>
  <si>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</si>
  <si>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</si>
  <si>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</si>
  <si>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</si>
  <si>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</si>
  <si>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</si>
  <si>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</si>
  <si>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</si>
  <si>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</si>
  <si>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</si>
  <si>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</si>
  <si>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</si>
  <si>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</si>
  <si>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336.7.b</t>
  </si>
  <si>
    <t>TOTAL DEPRECIATION (Sum lines 9 - 11)</t>
  </si>
  <si>
    <t xml:space="preserve">  LABOR RELATED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</si>
  <si>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</si>
  <si>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</si>
  <si>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</si>
  <si>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</si>
  <si>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</si>
  <si>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</si>
  <si>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</si>
  <si>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</si>
  <si>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  [ Rate Base (page 2, line 30) * Rate of Return (page 4, line 30)]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</si>
  <si>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</si>
  <si>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</si>
  <si>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</si>
  <si>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</si>
  <si>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</si>
  <si>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</si>
  <si>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</si>
  <si>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</si>
  <si>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</si>
  <si>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</si>
  <si>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</si>
  <si>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</si>
  <si>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</si>
  <si>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</si>
  <si>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</si>
  <si>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</si>
  <si>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</si>
  <si>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</si>
  <si>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</si>
  <si>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</si>
  <si>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</si>
  <si>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</si>
  <si>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</si>
  <si>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</si>
  <si>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 xml:space="preserve">                                          Development of Common Stock:</t>
  </si>
  <si>
    <t>Common Stock</t>
  </si>
  <si>
    <t>Cost</t>
  </si>
  <si>
    <t>%</t>
  </si>
  <si>
    <t>Weighted</t>
  </si>
  <si>
    <t>=WCLTD</t>
  </si>
  <si>
    <t xml:space="preserve">  Common Stock  (line 26)</t>
  </si>
  <si>
    <t>=R</t>
  </si>
  <si>
    <t>REVENUE CREDITS</t>
  </si>
  <si>
    <t>(310-311)</t>
  </si>
  <si>
    <t xml:space="preserve">  Total of (a)-(b)</t>
  </si>
  <si>
    <t>(330.x.n)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</si>
  <si>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</si>
  <si>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</si>
  <si>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</si>
  <si>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</si>
  <si>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</si>
  <si>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</si>
  <si>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</si>
  <si>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</si>
  <si>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</si>
  <si>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</si>
  <si>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</si>
  <si>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</si>
  <si>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</si>
  <si>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Cash Working Capital assigned to transmission is one-eighth of O&amp;M allocated to transmission at page 3, line 8, column 5.</t>
  </si>
  <si>
    <t>I</t>
  </si>
  <si>
    <t>J</t>
  </si>
  <si>
    <t>K</t>
  </si>
  <si>
    <t>L</t>
  </si>
  <si>
    <t>M</t>
  </si>
  <si>
    <t>Removes transmission plant determined by Commission order to be state-jurisdictional according to the seven-factor test (until Form 1</t>
  </si>
  <si>
    <t>N</t>
  </si>
  <si>
    <t>O</t>
  </si>
  <si>
    <t>P</t>
  </si>
  <si>
    <t>Q</t>
  </si>
  <si>
    <t>R</t>
  </si>
  <si>
    <t>Account 456</t>
  </si>
  <si>
    <t>Account 454</t>
  </si>
  <si>
    <t>Per Books Total, Page 300</t>
  </si>
  <si>
    <t>Rent from Electric Property in per Books Total above</t>
  </si>
  <si>
    <t>Revenue Credits, Accounts 454 and 456</t>
  </si>
  <si>
    <t>Includes income related only to transmission facilities, such as pole attachments, rentals and special use.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</si>
  <si>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</si>
  <si>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</si>
  <si>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</si>
  <si>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</si>
  <si>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</si>
  <si>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</si>
  <si>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 xml:space="preserve">  Prepayments (Account 165)</t>
  </si>
  <si>
    <t xml:space="preserve">  a. Bundled Non-RQ Sales for Resale (311.x.h)</t>
  </si>
  <si>
    <t>Total Income Taxes</t>
  </si>
  <si>
    <t xml:space="preserve">  Total  (sum lines 17 - 19)</t>
  </si>
  <si>
    <t>Load</t>
  </si>
  <si>
    <t>(page 4, line 34)</t>
  </si>
  <si>
    <t>(line 1 minus line 6)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</si>
  <si>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</si>
  <si>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</si>
  <si>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</si>
  <si>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</si>
  <si>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</si>
  <si>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</si>
  <si>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</si>
  <si>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</si>
  <si>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 xml:space="preserve">       and FIT, SIT &amp; p are as given in footnote K.</t>
  </si>
  <si>
    <t>REV. REQUIREMENT  (sum lines 8, 12, 20, 27, 28)</t>
  </si>
  <si>
    <t xml:space="preserve">         Inputs Required:</t>
  </si>
  <si>
    <t>ITC adjustment (line 23 * line 24)</t>
  </si>
  <si>
    <t>(line 25 plus line 26)</t>
  </si>
  <si>
    <t>calculated</t>
  </si>
  <si>
    <t>WS</t>
  </si>
  <si>
    <t xml:space="preserve">  CWC  </t>
  </si>
  <si>
    <t>Total  (sum lines 27-29)</t>
  </si>
  <si>
    <t xml:space="preserve">  Total  (sum lines 12-15)</t>
  </si>
  <si>
    <t>Removes dollar amount of transmission plant included in the development of OATT ancillary services rates and generation</t>
  </si>
  <si>
    <t xml:space="preserve">Less Preferred Stock (line 28) </t>
  </si>
  <si>
    <t>5a</t>
  </si>
  <si>
    <t>zero</t>
  </si>
  <si>
    <t>S</t>
  </si>
  <si>
    <t>T</t>
  </si>
  <si>
    <t>Percentage of transmission expenses after adjustment (line 8 divided by line 6)</t>
  </si>
  <si>
    <t>Included transmission expenses (line 6 less line 7)</t>
  </si>
  <si>
    <t>State</t>
  </si>
  <si>
    <t>Ohio</t>
  </si>
  <si>
    <t>Kentucky</t>
  </si>
  <si>
    <t xml:space="preserve">   </t>
  </si>
  <si>
    <t>219.25.c</t>
  </si>
  <si>
    <t>219.26.c</t>
  </si>
  <si>
    <t>M&amp;S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</si>
  <si>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</si>
  <si>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</si>
  <si>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</si>
  <si>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</si>
  <si>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</si>
  <si>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</si>
  <si>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</si>
  <si>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</si>
  <si>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</si>
  <si>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</si>
  <si>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267.8.h</t>
  </si>
  <si>
    <t>263.i</t>
  </si>
  <si>
    <t>201.3.d</t>
  </si>
  <si>
    <t>201.3.e</t>
  </si>
  <si>
    <t>111.57.c</t>
  </si>
  <si>
    <t>U</t>
  </si>
  <si>
    <t>207.58.g</t>
  </si>
  <si>
    <t>207.75.g</t>
  </si>
  <si>
    <t>Balancing Authority Costs</t>
  </si>
  <si>
    <t>Proprietary Capital (112.16.c)</t>
  </si>
  <si>
    <t>Less Account 216.1 (112.12.c)  (enter negative)</t>
  </si>
  <si>
    <t xml:space="preserve">  Long Term Debt (112, sum of 18.c through 21.c)</t>
  </si>
  <si>
    <t xml:space="preserve">  Preferred Stock  (112.3.c)</t>
  </si>
  <si>
    <t>Duke Energy Ohio</t>
  </si>
  <si>
    <t>Duke Energy Kentucky</t>
  </si>
  <si>
    <t>Long Term Interest (117, sum of 62.c through 67.c)</t>
  </si>
  <si>
    <t>Preferred Dividends (118.29.c) (positive number)</t>
  </si>
  <si>
    <t>DUKE ENERGY OHIO</t>
  </si>
  <si>
    <t>DUKE ENERGY KENTUCKY</t>
  </si>
  <si>
    <t>DEO</t>
  </si>
  <si>
    <t>DEK</t>
  </si>
  <si>
    <t>205.46.g</t>
  </si>
  <si>
    <t>321.112.b</t>
  </si>
  <si>
    <t>321.96.b</t>
  </si>
  <si>
    <t>323.197.b</t>
  </si>
  <si>
    <t>354.21.b</t>
  </si>
  <si>
    <t>354.23.b</t>
  </si>
  <si>
    <t>354.24,25,26.b</t>
  </si>
  <si>
    <t xml:space="preserve">Less Preferred Stock (112.3.c) </t>
  </si>
  <si>
    <t>Production</t>
  </si>
  <si>
    <t>Distribution</t>
  </si>
  <si>
    <t>Source:  FERC Form 1 Page 214</t>
  </si>
  <si>
    <t>Transmission Plant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</si>
  <si>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</si>
  <si>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</si>
  <si>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</si>
  <si>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</si>
  <si>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</si>
  <si>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</si>
  <si>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</si>
  <si>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</si>
  <si>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</si>
  <si>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</si>
  <si>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</si>
  <si>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</si>
  <si>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in Note K.  Account 281 is not allocated.</t>
  </si>
  <si>
    <t>Non-Transmission Related Portion</t>
  </si>
  <si>
    <t>Detail of Land Held for Future Use</t>
  </si>
  <si>
    <t>Woodsdale Station</t>
  </si>
  <si>
    <t>Other Projects</t>
  </si>
  <si>
    <t>East Bend Station - Production</t>
  </si>
  <si>
    <t>Project Name</t>
  </si>
  <si>
    <t>Amount of Safety Related Advertising</t>
  </si>
  <si>
    <t>A&amp;G Expense, Page 323, line 197, column b</t>
  </si>
  <si>
    <t>Transmission Expense, Page 321, line 112, column b</t>
  </si>
  <si>
    <t>A&amp;G Expense</t>
  </si>
  <si>
    <t>Transmission Expense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</si>
  <si>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Balancing Authority costs that should have been recorded in account 561, instead were recorded in Account 920 after accounting system change</t>
    </r>
  </si>
  <si>
    <r>
      <rPr>
        <b/>
        <sz val="12"/>
        <rFont val="Arial"/>
        <family val="2"/>
      </rPr>
      <t>Add:</t>
    </r>
    <r>
      <rPr>
        <sz val="12"/>
        <rFont val="Arial"/>
        <family val="2"/>
      </rPr>
      <t xml:space="preserve"> Balancing Authority costs that should have been recorded in account 561, instead were recorded in Account 920 after accounting system change</t>
    </r>
  </si>
  <si>
    <t>Balancing Authority Costs in 561 through 561.3</t>
  </si>
  <si>
    <t>B.A. Costs in Transmission Expense on Page 321 of FF1</t>
  </si>
  <si>
    <t>Account 282</t>
  </si>
  <si>
    <t>Account 190</t>
  </si>
  <si>
    <t>Sole use Property</t>
  </si>
  <si>
    <t>Distribution Use</t>
  </si>
  <si>
    <t>Assets removed through 2011 by FERC Agreement</t>
  </si>
  <si>
    <t>The balances in Accounts 190, 281, 282 and 283, as adjusted by any amounts in contra accounts identified as regulatory assets or liabilities related to FASB 106 or 109.</t>
  </si>
  <si>
    <t>Balance of Account 255 is reduced by prior flow throughs and excluded if the utility chose to utilize amortization of tax credits against taxable income as discussed</t>
  </si>
  <si>
    <t>Gross Transmission Plant - Total</t>
  </si>
  <si>
    <t>Net Transmission Plant - Total</t>
  </si>
  <si>
    <t>Total O&amp;M Allocated to Transmission</t>
  </si>
  <si>
    <t>Annual Allocation Factor for O&amp;M</t>
  </si>
  <si>
    <t>5</t>
  </si>
  <si>
    <t>6</t>
  </si>
  <si>
    <t>Annual Allocation Factor for Other Taxes</t>
  </si>
  <si>
    <t>7</t>
  </si>
  <si>
    <t>Annual Allocation Factor for Expense</t>
  </si>
  <si>
    <t>8</t>
  </si>
  <si>
    <t>Annual Allocation Factor for Income Taxes</t>
  </si>
  <si>
    <t>Annual Allocation Factor for Return on Rate Base</t>
  </si>
  <si>
    <t>Annual Allocation Factor for Return</t>
  </si>
  <si>
    <t>Line No.</t>
  </si>
  <si>
    <t>MTEP Project Number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</si>
  <si>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</si>
  <si>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</si>
  <si>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</si>
  <si>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</si>
  <si>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</si>
  <si>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</si>
  <si>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</si>
  <si>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</si>
  <si>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(Col. 3 * Col. 4)</t>
  </si>
  <si>
    <t>(Col. 6 * Col. 7)</t>
  </si>
  <si>
    <t>(Note E)</t>
  </si>
  <si>
    <t>(Sum Col. 5, 8 &amp; 9)</t>
  </si>
  <si>
    <t>Sum Col. 10 &amp; 11
(Note G)</t>
  </si>
  <si>
    <t>Project 1</t>
  </si>
  <si>
    <t>P1</t>
  </si>
  <si>
    <t>1b</t>
  </si>
  <si>
    <t>Project 2</t>
  </si>
  <si>
    <t>P2</t>
  </si>
  <si>
    <t>1c</t>
  </si>
  <si>
    <t>Project 3</t>
  </si>
  <si>
    <t>P3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</si>
  <si>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</si>
  <si>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</si>
  <si>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</si>
  <si>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</si>
  <si>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</si>
  <si>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</si>
  <si>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Hillcrest 345 kV</t>
  </si>
  <si>
    <t>Rate Formula Template</t>
  </si>
  <si>
    <t>Tower Lease Revenues in per Books Total above</t>
  </si>
  <si>
    <t>Materials and Supplies</t>
  </si>
  <si>
    <t>Total M&amp;S</t>
  </si>
  <si>
    <t>(In Dollars)</t>
  </si>
  <si>
    <t>Actual</t>
  </si>
  <si>
    <t xml:space="preserve">          Total Common Stock Equity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</si>
  <si>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</si>
  <si>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</si>
  <si>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</si>
  <si>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</si>
  <si>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</si>
  <si>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</si>
  <si>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</si>
  <si>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</si>
  <si>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</si>
  <si>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</si>
  <si>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</si>
  <si>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Utilizing FERC Form 1 Data</t>
  </si>
  <si>
    <t>SUPPORTING CALCULATIONS AND NOTES</t>
  </si>
  <si>
    <t>Network Upgrade Charge Calculation By Project</t>
  </si>
  <si>
    <t>Annual Cost ($/kW/Yr) - 1 CP</t>
  </si>
  <si>
    <t>RATE BASE</t>
  </si>
  <si>
    <t>263.i. 6</t>
  </si>
  <si>
    <t>263.i. 14, 20</t>
  </si>
  <si>
    <t>263.i. 22</t>
  </si>
  <si>
    <t>263.i. 6, 7, 13</t>
  </si>
  <si>
    <t>263.i. 5</t>
  </si>
  <si>
    <t>263.i. 14, 22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</si>
  <si>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</si>
  <si>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</si>
  <si>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</si>
  <si>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</si>
  <si>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</si>
  <si>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</si>
  <si>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</si>
  <si>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</si>
  <si>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</si>
  <si>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</si>
  <si>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</si>
  <si>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</si>
  <si>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</si>
  <si>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Attachment H-22A, Page 4, Line 7</t>
  </si>
  <si>
    <t>Revenue Credits for Schedule 1A - Note A</t>
  </si>
  <si>
    <t>Note:</t>
  </si>
  <si>
    <t>used to calculate rates under Attachment H-22A.</t>
  </si>
  <si>
    <t>Schedule 1A rate $/MWh (Line 3 / Line 4)</t>
  </si>
  <si>
    <t>4a</t>
  </si>
  <si>
    <t>4b</t>
  </si>
  <si>
    <t>5b</t>
  </si>
  <si>
    <t>Source</t>
  </si>
  <si>
    <t>Reserved</t>
  </si>
  <si>
    <t>Schedule 1A Rate Calculation</t>
  </si>
  <si>
    <t>Appendix C</t>
  </si>
  <si>
    <t>RTEP - Transmission Enhancement Charges</t>
  </si>
  <si>
    <t>Legacy MTEP Credit</t>
  </si>
  <si>
    <t>Attachment H-22A</t>
  </si>
  <si>
    <t>Utilizing Attachment H-22A Data</t>
  </si>
  <si>
    <t xml:space="preserve">                          References to data from FERC Form 1 are indicated as:   #.y.x  (page, line, column)</t>
  </si>
  <si>
    <t>Prepayments are the electric related prepayments booked to Account No. 165 and reported on Page 111 line 57 in the Form 1.</t>
  </si>
  <si>
    <t>step-up facilities, which are deemed to be included in OATT ancillary services.  For these purposes, generation step-up</t>
  </si>
  <si>
    <t>facilities are those facilities at a generator substation on which there is no through-flow when the generator is shut down.</t>
  </si>
  <si>
    <t>No. 456.1 and all other uses are to be included in the divisor.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</si>
  <si>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</si>
  <si>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</si>
  <si>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</si>
  <si>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</si>
  <si>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General Advertising - 930.1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</si>
  <si>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</si>
  <si>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</si>
  <si>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</si>
  <si>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</si>
  <si>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</si>
  <si>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</si>
  <si>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Gross Transmission Plant is that identified on page 2 line 2 of Attachment H-22A and includes any sub lines 2a or 2b etc. and is inclusive of any CWIP included in rate base when authorized by FERC order.</t>
  </si>
  <si>
    <t>Net Transmission Plant is that identified on page 2 line 14 of Attachment H-22A and includes any sub lines 14a or 14b etc. and is inclusive of any CWIP included in rate base when authorized by FERC order.</t>
  </si>
  <si>
    <t>Project Depreciation Expense is the actual value booked for the project and included in the Depreciation Expense in Attachment H-22A page 3 line 12.</t>
  </si>
  <si>
    <t>Determination of Transmission Plant Included in OATT Ancillary Services</t>
  </si>
  <si>
    <t>State Tax Composite Rate</t>
  </si>
  <si>
    <t>Revenue Requirement</t>
  </si>
  <si>
    <t>Tax Rate</t>
  </si>
  <si>
    <t>State Taxes</t>
  </si>
  <si>
    <t>Composite Tax Rate</t>
  </si>
  <si>
    <t>Allocation of Account 163</t>
  </si>
  <si>
    <t xml:space="preserve">Line 5 - EPRI Annual Membership Dues listed in Form 1 at 353.f, all Regulatory Commission Expenses itemized at 351.h, and non-safety related advertising included </t>
  </si>
  <si>
    <t xml:space="preserve">in Account 930.1.  Line 5a - Regulatory Commission Expenses directly related to transmission service, ISO filings, or transmission siting itemized at 351.h. </t>
  </si>
  <si>
    <t>Includes only FICA, unemployment, highway, property, gross receipts, and other assessments charged in the current year.  Taxes related to income are excluded.</t>
  </si>
  <si>
    <t>Gross receipts taxes are not included in transmission revenue requirement in the Rate Formula Template, since they are recovered elsewhere.</t>
  </si>
  <si>
    <t xml:space="preserve">"the percentage of federal income tax deductible for state income taxes".  If the utility is taxed in more than one state it must attach a work paper showing the name </t>
  </si>
  <si>
    <t>of each state and how the blended or composite SIT was developed.  Furthermore, a utility that elected to utilize amortization of tax credits</t>
  </si>
  <si>
    <t xml:space="preserve">against taxable income, rather than book tax credits to Account No. 255 and reduce rate base, must reduce its income tax expense by </t>
  </si>
  <si>
    <t>the amount of the Amortized Investment Tax Credit (Form 1, 266.8.f) multiplied by (1/1-T) (page 3, line 26).</t>
  </si>
  <si>
    <t>Account Nos. 561.4, 561.8 and 575.7 consist of RTO expenses billed to load-serving entities and are not included in Transmission Owner revenue requirements.</t>
  </si>
  <si>
    <t>GROSS REVENUE REQUIREMENT    (page 3, line 29)</t>
  </si>
  <si>
    <t xml:space="preserve">       where WCLTD=(page 4, line 27) and R= (page 4, line 30)</t>
  </si>
  <si>
    <t xml:space="preserve">214.x.d  </t>
  </si>
  <si>
    <t>214.x.d</t>
  </si>
  <si>
    <t>COMMON PLANT ALLOCATOR  (CE)</t>
  </si>
  <si>
    <t>266.8.f (enter negative)</t>
  </si>
  <si>
    <t>Amortized Investment Tax Credit</t>
  </si>
  <si>
    <t>Income Tax Calculation (line 22 * line 28)</t>
  </si>
  <si>
    <t xml:space="preserve">  b. Bundled Sales for Resale included in Divisor on page 1</t>
  </si>
  <si>
    <t>Revenue received pursuant to PJM Schedule 1A revenue allocation procedures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</si>
  <si>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</si>
  <si>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</si>
  <si>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</si>
  <si>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</si>
  <si>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Reference</t>
  </si>
  <si>
    <t>Appendix B</t>
  </si>
  <si>
    <t xml:space="preserve"> (line 1 - line 7)</t>
  </si>
  <si>
    <t xml:space="preserve"> (line 2 - line 8)</t>
  </si>
  <si>
    <t>(Col. 3 times Col. 4)</t>
  </si>
  <si>
    <t>Line 33 must equal zero since all short-term power sales must be unbundled and the transmission component reflected in Account</t>
  </si>
  <si>
    <t>(Note P)</t>
  </si>
  <si>
    <t xml:space="preserve">assignment facilities and GSUs) which are not recovered under this Rate Formula Template. </t>
  </si>
  <si>
    <t>Duke Energy Ohio and Kentucky</t>
  </si>
  <si>
    <t>Account No. 454</t>
  </si>
  <si>
    <t>Revenues from Grandfathered Interzonal Transactions</t>
  </si>
  <si>
    <t>Less FERC Annual Fees</t>
  </si>
  <si>
    <t>Payroll</t>
  </si>
  <si>
    <t>Highway and vehicle</t>
  </si>
  <si>
    <t>1 CP   (Note A)</t>
  </si>
  <si>
    <t>12 CP  (Note B)</t>
  </si>
  <si>
    <t>LAND HELD FOR FUTURE USE   (Note G)</t>
  </si>
  <si>
    <t xml:space="preserve">  Materials &amp; Supplies    (Note G)</t>
  </si>
  <si>
    <t>Less transmission plant excluded from ISO rates  (Note M)</t>
  </si>
  <si>
    <t>Less transmission plant included in OATT Ancillary Services  (Note N)</t>
  </si>
  <si>
    <t>Less transmission expenses included in OATT Ancillary Services  (Note L)</t>
  </si>
  <si>
    <t>COMMON PLANT ALLOCATOR  (CE)                   (Note O)</t>
  </si>
  <si>
    <t>ACCOUNT 447 (SALES FOR RESALE)  (Note Q)</t>
  </si>
  <si>
    <t>ACCOUNT 454 (RENT FROM ELECTRIC PROPERTY)    (Note R)</t>
  </si>
  <si>
    <t>REVENUE CREDITS   (Note T)</t>
  </si>
  <si>
    <t>REVENUE CREDITS  (Note T)</t>
  </si>
  <si>
    <t>Less LSE Expenses included in Transmission O&amp;M Accounts  (Note V)</t>
  </si>
  <si>
    <t>Less EPRI &amp; Reg. Comm. Exp. &amp; Non-safety  Advertising    (Note I)</t>
  </si>
  <si>
    <t>Plus Transmission Related Reg. Comm. Exp.   (Note I)</t>
  </si>
  <si>
    <t>TAXES OTHER THAN INCOME TAXES    (Note J)</t>
  </si>
  <si>
    <t>Less transmission plant excluded from ISO rates   (Note M)</t>
  </si>
  <si>
    <t>Less transmission plant included in OATT Ancillary Services    (Note N)</t>
  </si>
  <si>
    <t>Less transmission expenses included in OATT Ancillary Services    (Note L)</t>
  </si>
  <si>
    <t>ACCOUNT 447 (SALES FOR RESALE)     (Note Q)</t>
  </si>
  <si>
    <t>REVENUE CREDITS    (Note T)</t>
  </si>
  <si>
    <t>ADJUSTMENTS TO RATE BASE     (Note F)</t>
  </si>
  <si>
    <t>WORKING CAPITAL    (Note H)</t>
  </si>
  <si>
    <t xml:space="preserve">  Materials &amp; Supplies     (Note G)</t>
  </si>
  <si>
    <t>INCOME TAXES           (Note K)</t>
  </si>
  <si>
    <t>Less transmission expenses included in OATT Ancillary Services   (Note L)</t>
  </si>
  <si>
    <t>COMMON PLANT ALLOCATOR  (CE)         (Note O)</t>
  </si>
  <si>
    <t>ACCOUNT 447 (SALES FOR RESALE)    (Note Q)</t>
  </si>
  <si>
    <t>ACCOUNT 454 (RENT FROM ELECTRIC PROPERTY)      (Note R)</t>
  </si>
  <si>
    <t>W</t>
  </si>
  <si>
    <t>revenues associated with FERC annual charges, gross receipts taxes, ancillary services, or facilities not included in this template (e.g., direct</t>
  </si>
  <si>
    <t>Account No. 456.1</t>
  </si>
  <si>
    <t>ACCOUNT 456.1 (OTHER ELECTRIC REVENUES)        (Note U)</t>
  </si>
  <si>
    <t>TOTAL O&amp;M   (sum lines 1, 2a, 3, 5a, 6, 7 less lines 1a, 2, 4, 5)</t>
  </si>
  <si>
    <t>(Note B)</t>
  </si>
  <si>
    <t>3a</t>
  </si>
  <si>
    <t>3b</t>
  </si>
  <si>
    <t>Less Actual PBOP Expense</t>
  </si>
  <si>
    <t>Plus Fixed PBOP Expense</t>
  </si>
  <si>
    <t xml:space="preserve">This deduction is to remove expenses recorded by DEOK for Postretirement Benefits Other than Pensions (PBOP). PBOP expense is set forth in line 3b and </t>
  </si>
  <si>
    <t>DEO - Monthly Transmission System Peak Load (1)</t>
  </si>
  <si>
    <t>DEO - Monthly Transmission System Peak Load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</si>
  <si>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</si>
  <si>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</si>
  <si>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</si>
  <si>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</si>
  <si>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</si>
  <si>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</si>
  <si>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</si>
  <si>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</si>
  <si>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</si>
  <si>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</si>
  <si>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</si>
  <si>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</si>
  <si>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</si>
  <si>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Peak Rate</t>
  </si>
  <si>
    <t>Off-Peak Rate</t>
  </si>
  <si>
    <t>Capped at weekly rate</t>
  </si>
  <si>
    <t>Capped at weekly and daily rate</t>
  </si>
  <si>
    <t>Less:</t>
  </si>
  <si>
    <t xml:space="preserve">REVENUE CREDIT TRUE-UP </t>
  </si>
  <si>
    <t>ACCUMULATED BALANCE OF REVENUE CREDIT TRUE-UP</t>
  </si>
  <si>
    <t xml:space="preserve">  Accumulated Balance of Deferral</t>
  </si>
  <si>
    <t xml:space="preserve">  Income Tax Rate for Deferral Calculation</t>
  </si>
  <si>
    <t>Accumulated Deferral for Carrying Cost Calculation (Line 2 - Line 4)</t>
  </si>
  <si>
    <t xml:space="preserve">   CIT = (T/(1-T)) * (1 - (WCLTD/R))</t>
  </si>
  <si>
    <t>Attachment H-22, page 3, line 22</t>
  </si>
  <si>
    <t>Income Taxes (Line 6 * Line 9)</t>
  </si>
  <si>
    <t>CARRYING COST ON DEFERRAL</t>
  </si>
  <si>
    <t xml:space="preserve">  FERC Refund Rate</t>
  </si>
  <si>
    <t xml:space="preserve">  Carrying Cost (Line 5 * Line 8)</t>
  </si>
  <si>
    <t>Revenue Credit Adjustment (Line 1 + Line 7 + Line 9)</t>
  </si>
  <si>
    <t>Accumulated balance of deferral as of December 31st of the year prior to effective date of new rates.</t>
  </si>
  <si>
    <t>Effective deferred tax rate during applicable test year.</t>
  </si>
  <si>
    <t xml:space="preserve">(7) = Prior month's </t>
  </si>
  <si>
    <t>(4) = (2) - (3)</t>
  </si>
  <si>
    <t>(6) = (4) - (5)</t>
  </si>
  <si>
    <t>Balance + (6)</t>
  </si>
  <si>
    <t>Difference Between Revenue</t>
  </si>
  <si>
    <t xml:space="preserve">Monthly True-Up Adjustment </t>
  </si>
  <si>
    <t>Accumulated Balance of</t>
  </si>
  <si>
    <t>Received and Amount in Rates</t>
  </si>
  <si>
    <t xml:space="preserve">Included In H-22A Net </t>
  </si>
  <si>
    <t>Amount Deferred for Future</t>
  </si>
  <si>
    <t>Period</t>
  </si>
  <si>
    <t>Rate Calculation (Note A)</t>
  </si>
  <si>
    <t>PJM (Note B)</t>
  </si>
  <si>
    <t>Excluding True Up</t>
  </si>
  <si>
    <t>Revenue Requirement (Note C)</t>
  </si>
  <si>
    <t>Future Recovery</t>
  </si>
  <si>
    <t>(A)</t>
  </si>
  <si>
    <t>(B)</t>
  </si>
  <si>
    <t>(C)</t>
  </si>
  <si>
    <t xml:space="preserve">Recovery of deferral begins with the first period for billing rates approved using a test year for Attachment H-22A that includes actual operations in PJM. </t>
  </si>
  <si>
    <t>Duke Energy Ohio and Duke Energy Kentucky</t>
  </si>
  <si>
    <t>Firm PTP Service Revenue Credit Adjustment Calculation</t>
  </si>
  <si>
    <t>Actual monthly Firm PTP service revenue received from PJM during current period.</t>
  </si>
  <si>
    <t>Revenue Included in Test Year</t>
  </si>
  <si>
    <t>Actual Firm PTP Service</t>
  </si>
  <si>
    <t xml:space="preserve">Revenue Received from </t>
  </si>
  <si>
    <t>Worksheet for Firm PTP Service Revenue Credit Adjustment Calculation</t>
  </si>
  <si>
    <t>Deferred Firm PTP Service</t>
  </si>
  <si>
    <t>Revenue Credit Adjustment</t>
  </si>
  <si>
    <t>DUKE ENERGY OHIO AND DUKE ENERGY KENTUCKY (DEOK)</t>
  </si>
  <si>
    <t>for transmission service outside of DEOK's zone during the year</t>
  </si>
  <si>
    <t xml:space="preserve">balances are adjusted to reflect application of seven-factor test).  </t>
  </si>
  <si>
    <t>is fixed until changed as the result of a filing at FERC.  The fixed amount of PBOP for DEO is $2,342,494 and for Duke Energy Kentucky ("DEK") is $575,908.</t>
  </si>
  <si>
    <r>
      <rPr>
        <vertAlign val="superscript"/>
        <sz val="12"/>
        <rFont val="Arial"/>
        <family val="2"/>
      </rPr>
      <t>(2)</t>
    </r>
    <r>
      <rPr>
        <sz val="12"/>
        <rFont val="Arial"/>
        <family val="2"/>
      </rPr>
      <t xml:space="preserve">  For the purpose of calculating the DEO monthly peak, the DEK monthly peak as reported on page 401, column d of Form 1, was subtracted from the DEO monthly peak as reported on page 400.</t>
    </r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</si>
  <si>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 For the purpose of calculating the DEO annual peak, the DEK annual peak as reported on page 401, column d of Form 1, was subtracted from the DEO annual peak as reported on page 400.</t>
    </r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</si>
  <si>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 For the purpose of calculating the DEK annual peak, the DEK annual peak is as reported on page 401, column d of Form 1, at the time of the DEK annual peak.</t>
    </r>
  </si>
  <si>
    <r>
      <rPr>
        <vertAlign val="superscript"/>
        <sz val="12"/>
        <rFont val="Arial"/>
        <family val="2"/>
      </rPr>
      <t>(2)</t>
    </r>
    <r>
      <rPr>
        <sz val="12"/>
        <rFont val="Arial"/>
        <family val="2"/>
      </rPr>
      <t xml:space="preserve">  For the purpose of calculating the DEK monthly peak, the DEK monthly peak is as reported on page 401, column d of Form 1, at the time of the DEK monthly peak.</t>
    </r>
  </si>
  <si>
    <t>DEOK</t>
  </si>
  <si>
    <t>Exhibit No. DUK-102</t>
  </si>
  <si>
    <r>
      <t xml:space="preserve">Total M&amp;S </t>
    </r>
    <r>
      <rPr>
        <u/>
        <vertAlign val="superscript"/>
        <sz val="10"/>
        <rFont val="Arial"/>
        <family val="2"/>
      </rPr>
      <t>(1)</t>
    </r>
  </si>
  <si>
    <t>Regulatory Commission Expense</t>
  </si>
  <si>
    <t>Electric Power Research Institute</t>
  </si>
  <si>
    <t>Subtotal</t>
  </si>
  <si>
    <t>Adjusted A&amp;G Expense - To Page 3, Line 3</t>
  </si>
  <si>
    <t>Transmission plant included in OATT Ancillary Services - To Page 4, Line 3</t>
  </si>
  <si>
    <t>DEK Monthly Peak Demand (2)</t>
  </si>
  <si>
    <t>Adjusted B.A. Costs - To Page 4, Line 7</t>
  </si>
  <si>
    <t>Legacy MTEP Credit (Appendix C, page 2, line 3, col. 12)</t>
  </si>
  <si>
    <t>Firm PTP Revenue Credit Adjustment (Appendix E, line 10, col. 3)</t>
  </si>
  <si>
    <t>From Appendix E, Workpaper, Column (4).</t>
  </si>
  <si>
    <t>rate year (see 18 CFR Section 35.19a).</t>
  </si>
  <si>
    <t xml:space="preserve">  Deferred Income Taxes on Accumulated Deferral (Line 2 * Line 3)</t>
  </si>
  <si>
    <t>Revenues from service provided by ISO at a discount</t>
  </si>
  <si>
    <t>Debt cost rate = long-term interest (line 21) / long term debt (line 27).  Preferred cost rate = preferred dividends (line 22) / preferred outstanding (line 28).</t>
  </si>
  <si>
    <t>ROE will be supported in the original filing and no change in ROE may be made absent a filing with FERC.  Capitalization adjusted to exclude impacts of purchase accounting.</t>
  </si>
  <si>
    <t xml:space="preserve">On Line 35, enter revenues from RTO settlements that are associated with NITS and firm Point-to-Point Service for which the load is not included in the divisor to derive Duke Energy Ohio's </t>
  </si>
  <si>
    <t xml:space="preserve">and Duke Energy Kentucky's zonal rates.  Exclude non-firm Point-to-Point revenues, revenues related to MTEP and RTEP projects, revenues from grandfathered interzonal </t>
  </si>
  <si>
    <t>transactions and revenues from service provided by ISO at a discount.</t>
  </si>
  <si>
    <t>Enter dollar amounts.</t>
  </si>
  <si>
    <t>Sum of lines 4, 6 and 8</t>
  </si>
  <si>
    <t>page 6 of 6</t>
  </si>
  <si>
    <t>page 1 of 6</t>
  </si>
  <si>
    <t>page 2 of 6</t>
  </si>
  <si>
    <t>page 3 of 6</t>
  </si>
  <si>
    <t>page 5 of 6</t>
  </si>
  <si>
    <t>page 4 of 6</t>
  </si>
  <si>
    <t>DUKE ENERGY OHIO, INC.</t>
  </si>
  <si>
    <t>DEPRECIATION RATES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</si>
  <si>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</si>
  <si>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</si>
  <si>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</si>
  <si>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</si>
  <si>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</si>
  <si>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</si>
  <si>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</si>
  <si>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</si>
  <si>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Wholly Owned Transmission Plant</t>
  </si>
  <si>
    <t>Rights of Way</t>
  </si>
  <si>
    <t>Structures &amp;  Improvements</t>
  </si>
  <si>
    <t>Structures &amp;  Improvements - Duke Ohio - Loc. in Ky.</t>
  </si>
  <si>
    <t>Station Equipment</t>
  </si>
  <si>
    <t>Station Equipment - Duke Ohio - Loc. in Ky.</t>
  </si>
  <si>
    <t>Towers &amp; Fixtures</t>
  </si>
  <si>
    <t>Towers &amp; Fixtures - Duke Ohio - Loc. in Ky.</t>
  </si>
  <si>
    <t>Poles &amp; Fixtures</t>
  </si>
  <si>
    <t>Poles &amp; Fixtures - Duke Ohio - Loc. in Ky.</t>
  </si>
  <si>
    <t>Overhead Conductors &amp; Devices</t>
  </si>
  <si>
    <t>Overhead Conductors &amp; Devices - Duke Ohio - Loc. in Ky.</t>
  </si>
  <si>
    <t>Underground Conduit</t>
  </si>
  <si>
    <t>Underground Conductors &amp; Devices</t>
  </si>
  <si>
    <t>Commonly Owned Transmission Plant - CCD Projects</t>
  </si>
  <si>
    <t>Structures &amp;  Improvements - CCD Projects</t>
  </si>
  <si>
    <t>Station Equipment - CCD Projects</t>
  </si>
  <si>
    <t>Towers &amp; Fixtures - CCD Projects</t>
  </si>
  <si>
    <t>Towers &amp; Fixtures - CCD Projects - Loc. In Ky.</t>
  </si>
  <si>
    <t>Poles &amp; Fixtures - CCD Projects</t>
  </si>
  <si>
    <t>Overhead Conductors &amp; Devices - CCD Projects</t>
  </si>
  <si>
    <t>Overhead Conductors &amp; Devices - CCD Projects - Loc. In Ky.</t>
  </si>
  <si>
    <t>Commonly Owned Transmission Plant - CD Projects</t>
  </si>
  <si>
    <t>Structures &amp;  Improvements - CD Projects</t>
  </si>
  <si>
    <t>Station Equipment - CD Projects</t>
  </si>
  <si>
    <t>Towers &amp; Fixtures - CD Projects</t>
  </si>
  <si>
    <t>Overhead Conductors &amp; Devices - CD Projects</t>
  </si>
  <si>
    <t>General and Intagible Plant</t>
  </si>
  <si>
    <t xml:space="preserve">Miscellaneous Intangible Plant </t>
  </si>
  <si>
    <t>Land and Land Rights</t>
  </si>
  <si>
    <t>N/A</t>
  </si>
  <si>
    <t>Structures and Improvements</t>
  </si>
  <si>
    <t>Office Furniture and Equipment</t>
  </si>
  <si>
    <t>Electronic Data Processing Equipment</t>
  </si>
  <si>
    <t>Transportation Equipment</t>
  </si>
  <si>
    <t>Trailers</t>
  </si>
  <si>
    <t>Tools, Shop &amp; Garage Equipment</t>
  </si>
  <si>
    <t>Laboratory Equipment</t>
  </si>
  <si>
    <t>Power Operated Equipment</t>
  </si>
  <si>
    <t>Communication Equipment</t>
  </si>
  <si>
    <t>Miscellaneous Equipment</t>
  </si>
  <si>
    <t>DUKE ENERGY KENTUCKY, INC.</t>
  </si>
  <si>
    <t>Structures &amp; Improvements</t>
  </si>
  <si>
    <t>Station Equipment - Major</t>
  </si>
  <si>
    <t>Station Equipment - Electronic</t>
  </si>
  <si>
    <t>Miscellaneous Intangible Plant</t>
  </si>
  <si>
    <t>Stores Equipment</t>
  </si>
  <si>
    <t>Portion Attributable to Transmission</t>
  </si>
  <si>
    <t>(2)  Source: DEK peak as reported on FERC Form 1 Page 401b.</t>
  </si>
  <si>
    <t>The recovery of the amounts deferred between January 1, 2012, and December 31, 2012, will begin on June 1, 2013, and will end on May 31, 2014.</t>
  </si>
  <si>
    <t>The recovery of the amounts deferred between January 1, 2013 and May 31, 2013, will begin on June 1, 2014, and will end on May 31, 2015.</t>
  </si>
  <si>
    <t>TOTAL REVENUE CREDITS  (sum lines 2-5b)</t>
  </si>
  <si>
    <t xml:space="preserve">FERC Refund Rate is the approved rate as of December 31 of calendar year prior to the </t>
  </si>
  <si>
    <t>X</t>
  </si>
  <si>
    <t>Y</t>
  </si>
  <si>
    <t>Less Midwest ISO Exit Fees included in Transmission O&amp;M</t>
  </si>
  <si>
    <t>(Note X)</t>
  </si>
  <si>
    <t>3c</t>
  </si>
  <si>
    <t>Less PJM Integration Costs included in A&amp;G</t>
  </si>
  <si>
    <t>(Note Y)</t>
  </si>
  <si>
    <t>Development of Common Stock:</t>
  </si>
  <si>
    <t>INCOME TAXE RATES</t>
  </si>
  <si>
    <t>Federal Income Tax (FIT)</t>
  </si>
  <si>
    <t>State Income Tax (SIT) or Composite SIT</t>
  </si>
  <si>
    <t>Effective Income Tax Rate</t>
  </si>
  <si>
    <t>(percent of federal income tax deductible for state purposes)</t>
  </si>
  <si>
    <t>Calculated</t>
  </si>
  <si>
    <t>Composite</t>
  </si>
  <si>
    <t>COMMON PLANT ALLOCATOR  (CE) (Note O)</t>
  </si>
  <si>
    <t>TOTAL GROSS PLANT</t>
  </si>
  <si>
    <t>TOTAL ACCUM. DEPRECIATION</t>
  </si>
  <si>
    <t>TOTAL NET PLANT</t>
  </si>
  <si>
    <t>TOTAL ADJUSTMENTS</t>
  </si>
  <si>
    <t>TOTAL WORKING CAPITAL</t>
  </si>
  <si>
    <t>WORKING CAPITAL</t>
  </si>
  <si>
    <t>ADJUSTMENTS TO RATE BASE</t>
  </si>
  <si>
    <t>DESCRIPTION</t>
  </si>
  <si>
    <t>ROE - Docket Nos. ER12-91-000 and ER12-92-000 (Settlement)</t>
  </si>
  <si>
    <t>For the 12 months ended:</t>
  </si>
  <si>
    <t>Rates effective:</t>
  </si>
  <si>
    <t>Corrections to previous year's revenue requirement to be reflected in current year's NITS rate calculation</t>
  </si>
  <si>
    <r>
      <t xml:space="preserve">Proprietary Capital (112.16.c) - </t>
    </r>
    <r>
      <rPr>
        <b/>
        <sz val="10"/>
        <color rgb="FFFF0000"/>
        <rFont val="Arial"/>
        <family val="2"/>
      </rPr>
      <t>Adjusted on work paper</t>
    </r>
  </si>
  <si>
    <t>Sales to Ultimate Consumers</t>
  </si>
  <si>
    <t>Non-Requirements Sales for Resale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</si>
  <si>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</si>
  <si>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/>
    </r>
  </si>
  <si>
    <t xml:space="preserve">This amount reflects corrections to the prior year rate calculation, plus accumulated interest, and is included here in accordance with the formula rate protocols.  </t>
  </si>
  <si>
    <t>It is shown on a combined basis, and not separately entered on the DEO and DEK tabs.</t>
  </si>
  <si>
    <t xml:space="preserve">200.21.c &amp; 219.28.c </t>
  </si>
  <si>
    <t>Total Generation Step-up Transformers</t>
  </si>
  <si>
    <t xml:space="preserve">336.1.f &amp; 336.10.f </t>
  </si>
  <si>
    <t>General and Intangible Plant</t>
  </si>
  <si>
    <t># of Work Papers</t>
  </si>
  <si>
    <t>Per Books Total, Page 275, lines 2 &amp; 6, column k</t>
  </si>
  <si>
    <t>163</t>
  </si>
  <si>
    <t>227.8.c &amp; 227.16.c</t>
  </si>
  <si>
    <t>Common Stock (sum lines 23-25)</t>
  </si>
  <si>
    <t xml:space="preserve">219.28.c </t>
  </si>
  <si>
    <t>275.2.k</t>
  </si>
  <si>
    <t>277.9.k</t>
  </si>
  <si>
    <t>234.8.c</t>
  </si>
  <si>
    <t xml:space="preserve">  General </t>
  </si>
  <si>
    <t>350.14.b</t>
  </si>
  <si>
    <t xml:space="preserve">336.10.b </t>
  </si>
  <si>
    <t xml:space="preserve">DEOK 1 CP is Duke Energy Ohio ("DEO") Monthly Firm Transmission System Peak Load as reported on page 400, column b of Form 1 at the time of DEO's annual peak,  </t>
  </si>
  <si>
    <t xml:space="preserve">plus load served by Duke Energy Kentucky at Longbranch. For years ending 12/31/2010 and 12/31/2011, this sum will be reduced by the amount of distribution load served by </t>
  </si>
  <si>
    <r>
      <t xml:space="preserve">East Kentucky Power Cooperative via Duke Kentucky’s Hebron substation. </t>
    </r>
    <r>
      <rPr>
        <sz val="12"/>
        <rFont val="Arial"/>
        <family val="2"/>
      </rPr>
      <t>Excludes demands from grandfathered interzonal transactions and demands from service provided by ISO at a discount.</t>
    </r>
  </si>
  <si>
    <t>DEOK 12 CP is DEO Monthly Firm Transmission System Peak Load as reported on page 400, column b of Form 1 at the time of DEO's monthly peaks, plus load served by</t>
  </si>
  <si>
    <t xml:space="preserve">Duke Kentucky at Longbranch.  For years ending 12/31/2010 and 12/31/2011, this sum will be reduced by the amount of distribution load served by East Kentucky Power </t>
  </si>
  <si>
    <r>
      <t xml:space="preserve">Cooperative via Duke Kentucky’s Hebron substation. </t>
    </r>
    <r>
      <rPr>
        <sz val="12"/>
        <rFont val="Arial"/>
        <family val="2"/>
      </rPr>
      <t>Excludes demands from grandfathered interzonal transactions and demands from service provided by ISO at a discount.</t>
    </r>
  </si>
  <si>
    <t>The currently effective income tax rate, where FIT is the Federal income tax rate; SIT is the State income tax rate, and p =</t>
  </si>
  <si>
    <t>354.21,22,23.b</t>
  </si>
  <si>
    <t>(line 3 divided by line 1 col 3)</t>
  </si>
  <si>
    <t>(line 5 divided by line 1 col 3)</t>
  </si>
  <si>
    <t>(line 10 divided by line 2 col 3)</t>
  </si>
  <si>
    <t>Reported on FERC Form 1</t>
  </si>
  <si>
    <t xml:space="preserve">(1)  DEOK 1 CP is Duke Energy Ohio ("DEO") Monthly Firm Transmission System Peak Load as reported on page 400, column b of Form 1 at the time of DEO's annual peak,  </t>
  </si>
  <si>
    <r>
      <t xml:space="preserve">East Kentucky Power Cooperative via Duke Kentucky’s Hebron substation. </t>
    </r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 Excludes demands from grandfathered interzonal transactions and demands from service provided by ISO at a discount.</t>
    </r>
  </si>
  <si>
    <r>
      <t xml:space="preserve">Cooperative via Duke Kentucky’s Hebron substation. </t>
    </r>
    <r>
      <rPr>
        <vertAlign val="superscript"/>
        <sz val="12"/>
        <rFont val="Arial"/>
        <family val="2"/>
      </rPr>
      <t>(2)</t>
    </r>
    <r>
      <rPr>
        <sz val="12"/>
        <rFont val="Arial"/>
        <family val="2"/>
      </rPr>
      <t xml:space="preserve"> Excludes demands from grandfathered interzonal transactions and demands from service provided by ISO at a discount.</t>
    </r>
  </si>
  <si>
    <t>Percentage</t>
  </si>
  <si>
    <t>TOTAL</t>
  </si>
  <si>
    <t>To be completed in conjunction with Attachment H-22A.</t>
  </si>
  <si>
    <t>336.11.f</t>
  </si>
  <si>
    <t>336.7.f</t>
  </si>
  <si>
    <t>Adjusted Transmission Expense - To Page 3, Line 1</t>
  </si>
  <si>
    <t>TOTAL ADJUSTMENTS  (sum lines 19 - 23)</t>
  </si>
  <si>
    <t>Legacy MTEP Credit for Attachment H-22A, Page 1, Line 5a</t>
  </si>
  <si>
    <t>Accumulated Deferred Income Taxes</t>
  </si>
  <si>
    <t>Per Books Total, Page 234, lines 8 &amp; 17, column c</t>
  </si>
  <si>
    <r>
      <t>M&amp;S</t>
    </r>
    <r>
      <rPr>
        <u val="singleAccounting"/>
        <vertAlign val="superscript"/>
        <sz val="10"/>
        <rFont val="Arial"/>
        <family val="2"/>
      </rPr>
      <t xml:space="preserve"> (2)</t>
    </r>
  </si>
  <si>
    <r>
      <t>163</t>
    </r>
    <r>
      <rPr>
        <u val="singleAccounting"/>
        <vertAlign val="superscript"/>
        <sz val="10"/>
        <rFont val="Arial"/>
        <family val="2"/>
      </rPr>
      <t xml:space="preserve"> (3)</t>
    </r>
  </si>
  <si>
    <t>Ohio Consumers' Counsel</t>
  </si>
  <si>
    <t>PUCO - Division of Forecasting</t>
  </si>
  <si>
    <t>Form 1, P.350, col. d,</t>
  </si>
  <si>
    <t xml:space="preserve">Form 1, P.350, col. d, </t>
  </si>
  <si>
    <t>Non-Safety Adv., Reg. Comm. Exp. &amp; EPRI</t>
  </si>
  <si>
    <t>Less amounts recorded in a non-formula related account</t>
  </si>
  <si>
    <t>FERC Account 506</t>
  </si>
  <si>
    <t>FERC Account 588</t>
  </si>
  <si>
    <t>FERC Account 910</t>
  </si>
  <si>
    <t>Total Electric Power Research Institute</t>
  </si>
  <si>
    <t>Total Account 456 Per Books Total, Page 300</t>
  </si>
  <si>
    <t>Less: Other Electric Revenues</t>
  </si>
  <si>
    <t>Revenues from Transmission of Electricity for Others</t>
  </si>
  <si>
    <t>Sch 1 - Scheduling, System Control &amp; Dispatch</t>
  </si>
  <si>
    <t>Sch 2 - Reactive Supply &amp; Voltage Control</t>
  </si>
  <si>
    <t>Sch 4 - Day-Ahead Load Response Charge Allocation</t>
  </si>
  <si>
    <t>Sch 4 - Real-Time Load Response Charge Allocation</t>
  </si>
  <si>
    <t>Sch 8 - Non-Firm PTP</t>
  </si>
  <si>
    <t>Sch 9 - NITS</t>
  </si>
  <si>
    <t>Sch 24 - Load Balancing</t>
  </si>
  <si>
    <t>PJM Customer Payment Default</t>
  </si>
  <si>
    <t>Facilities Charges</t>
  </si>
  <si>
    <t>Other Transmission Revenues - FTR's</t>
  </si>
  <si>
    <t>Total Account 456.1 - To Page 4, Line 35</t>
  </si>
  <si>
    <t>Less: Transmission Revenues - Load in Divisor</t>
  </si>
  <si>
    <t>Total Transmission Revenues - Load in Divisor</t>
  </si>
  <si>
    <t>Sch 26 - MTEP Project Cost Recovery</t>
  </si>
  <si>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Source FERC Form 1, page 227, line 12, column (c)</t>
    </r>
  </si>
  <si>
    <r>
      <rPr>
        <vertAlign val="superscript"/>
        <sz val="10"/>
        <rFont val="Arial"/>
        <family val="2"/>
      </rPr>
      <t>(3)</t>
    </r>
    <r>
      <rPr>
        <sz val="10"/>
        <rFont val="Arial"/>
        <family val="2"/>
      </rPr>
      <t xml:space="preserve"> Source FERC Form 1, page 227, line 16, column (c)</t>
    </r>
  </si>
  <si>
    <t>Form 1, P.353, col.d,</t>
  </si>
  <si>
    <t>Revenue Credit Applicable to Attachment H-22A</t>
  </si>
  <si>
    <t xml:space="preserve">Form 1, P. 323.191, col. b, </t>
  </si>
  <si>
    <t>Total Account 454 - To Page 4, Line 34</t>
  </si>
  <si>
    <t>356</t>
  </si>
  <si>
    <t>Exhibit No. DUK-102, Pg. 1</t>
  </si>
  <si>
    <t xml:space="preserve">Exhibit No. DUK-102, Pg. 1 </t>
  </si>
  <si>
    <t>321.88.b, 92.b</t>
  </si>
  <si>
    <t>350.b</t>
  </si>
  <si>
    <t>Exhibit No. DUK-102, Pg. 4</t>
  </si>
  <si>
    <t xml:space="preserve">263.i. </t>
  </si>
  <si>
    <t>Non-Safety Adv., Reg. Comm. Exp. &amp; EPRI - To Page 3, Line 5</t>
  </si>
  <si>
    <t>Balances - To Page 2, Line 25</t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</si>
  <si>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To Page 2, Line 27.</t>
    </r>
  </si>
  <si>
    <t>Adjusted Balances - To Page 2, Line 22</t>
  </si>
  <si>
    <t>Adjusted Balances - To Page 2, Line 20</t>
  </si>
  <si>
    <t>Less Internal Integration Costs included in A&amp;G</t>
  </si>
  <si>
    <t>(Note Z)</t>
  </si>
  <si>
    <t xml:space="preserve">Midcontinent ISO Exit Fees include (1) the charge that DEOK paid to the Midcontinent ISO pursuant to the Settlement Agreement filed on July 29, 2011 in Docket No. ER11-2059 and (2) the exit </t>
  </si>
  <si>
    <t>fees that DEOK paid to the Midcontinent ISO pursuant to the Exit Fee Agreement filed on October 5, 2011 in Docket No. ER12-33.</t>
  </si>
  <si>
    <t>Less Midcontinent ISO Exit Fees included in Transmission O&amp;M</t>
  </si>
  <si>
    <t>Monthly Firm PTP service revenue from Midcontinent ISO during test year applicable to currently effectives NITS and PTP service rates.</t>
  </si>
  <si>
    <t xml:space="preserve">  Difference Between Revenue Received In PJM vs. Midcontinent ISO</t>
  </si>
  <si>
    <t>The revenues credited on page 1 lines 2-5b shall include only the amounts received directly (in the case of grandfathered agreements)</t>
  </si>
  <si>
    <t>PJM Integration Costs are the fees that PJM assessed DEOK for the costs that PJM incurred in connection with DEOK's move into PJM.  Internal Integration Costs are the internal</t>
  </si>
  <si>
    <t>administrative costs incurred by Duke Energy Ohio and Duke Energy Kentucky to accomplish their move from the Midcontinent ISO into PJM.</t>
  </si>
  <si>
    <t>Less PJM Integration Costs included in A&amp;G and</t>
  </si>
  <si>
    <t>Internal Integration Costs included in A&amp;G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</si>
  <si>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Lobbying Expense</t>
    </r>
  </si>
  <si>
    <t>321.85-87.b</t>
  </si>
  <si>
    <t>MISO - Sch 37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</si>
  <si>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DEK acq East Bend</t>
    </r>
  </si>
  <si>
    <t>Account 283</t>
  </si>
  <si>
    <t>FAS 106</t>
  </si>
  <si>
    <t>FAS 109</t>
  </si>
  <si>
    <t>Gas Non-Utility</t>
  </si>
  <si>
    <t>.</t>
  </si>
  <si>
    <t>Per Books Total, Page 277, lines 3 &amp; 18, column k</t>
  </si>
  <si>
    <t>TOTAL O&amp;M   (sum lines 1, 3, 3b, 5a, 6, 7 less lines 1a, 1b, 2, 3a, 3c, 4, 5)</t>
  </si>
  <si>
    <t xml:space="preserve">         Internal Integration Costs included in A&amp;G</t>
  </si>
  <si>
    <t>(Page 1 line 9)</t>
  </si>
  <si>
    <t>(Page 1 line 14)</t>
  </si>
  <si>
    <t>The Network Upgrade Charge is the value to be used in Schedule 12.</t>
  </si>
  <si>
    <t>RTEP Transmission Enhancement Charges for Attachment H-22A</t>
  </si>
  <si>
    <t>(line 7 divided by line 1 col 3)</t>
  </si>
  <si>
    <t>(line 12 divided by line 2 col 3)</t>
  </si>
  <si>
    <t>Accounts 190, Account 282, and Account 283</t>
  </si>
  <si>
    <t xml:space="preserve"> (301.10.d &amp; 11.d)</t>
  </si>
  <si>
    <t>Att. H-22A, p 2, line 2 col 5 (Note A)</t>
  </si>
  <si>
    <t>Att. H-22A, p 2, line 14 col 5 (Note B)</t>
  </si>
  <si>
    <t>Att. H-22A, p 3, line 8 col 5</t>
  </si>
  <si>
    <t>Att. H-22A, p 3, lines 10 &amp; 11, col 5 (Note H)</t>
  </si>
  <si>
    <t>Att. H-22A, p 3, line 20 col 5</t>
  </si>
  <si>
    <t>Att. H-22A, p 3, line 27 col 5</t>
  </si>
  <si>
    <t>Att. H-22A, p 3, line 28 col 5</t>
  </si>
  <si>
    <t>301.10d</t>
  </si>
  <si>
    <t>301.11d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</si>
  <si>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Department of Justice Settlement - 2015</t>
    </r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</si>
  <si>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Duke / Piedmont merger costs to achieve.  (Includes payroll taxes and depreciation expense)</t>
    </r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</si>
  <si>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Duke / Progress merger costs to achieve.  (Includes depreciation expense)</t>
    </r>
  </si>
  <si>
    <t>Parent DE Ohio</t>
  </si>
  <si>
    <t>Holding Co.</t>
  </si>
  <si>
    <t>Production Labor</t>
  </si>
  <si>
    <t>Producation Labor Page 354, line 20, column b</t>
  </si>
  <si>
    <t>Transmission Labor</t>
  </si>
  <si>
    <t>Transmission Labor Page 354, line 21, column b</t>
  </si>
  <si>
    <t>Distribtution Labor</t>
  </si>
  <si>
    <t>Distribution Labor Page 354, line 23, column b</t>
  </si>
  <si>
    <t>Other Labor</t>
  </si>
  <si>
    <t>Other Labor Page 354, line 24,25, 26, column b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</si>
  <si>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Duke / Progress merger costs to achieve non-incremental labor. </t>
    </r>
  </si>
  <si>
    <t>Wages &amp; Salary Allocator - To Page 4, Line 12</t>
  </si>
  <si>
    <t>Wages &amp; Salary Allocator - To Page 4, Line 13</t>
  </si>
  <si>
    <t>Wages &amp; Salary Allocator - To Page 4, Line 14</t>
  </si>
  <si>
    <t>Wages &amp; Salary Allocator - To Page 4, Line 15</t>
  </si>
  <si>
    <t>Per 2016 FERC Form 1</t>
  </si>
  <si>
    <t>December 31, 2016</t>
  </si>
  <si>
    <t>December 31 2016</t>
  </si>
  <si>
    <t>Request for Rate Increase &amp; Other Misc Exp</t>
  </si>
  <si>
    <t>FERC Account 557</t>
  </si>
  <si>
    <t>Less amounts recorded in a transmission account</t>
  </si>
  <si>
    <t>FERC Account 566</t>
  </si>
  <si>
    <t>(Note I)</t>
  </si>
  <si>
    <t>Less EPRI Annual Membership Dues  (Note I)</t>
  </si>
  <si>
    <t>Less EPRI Annual Membership Dues</t>
  </si>
  <si>
    <t>(1)  To Page 3, line 1c</t>
  </si>
  <si>
    <t>Corrections to May 2016 Annual Update Filing</t>
  </si>
  <si>
    <t>Cumulative</t>
  </si>
  <si>
    <t>Impact of</t>
  </si>
  <si>
    <t>Correction</t>
  </si>
  <si>
    <t>MTEP</t>
  </si>
  <si>
    <t>May 13, 2016 Filing</t>
  </si>
  <si>
    <t>Exhibit No. DUK-102, page 5 of 11, DEO A&amp;G expenses should have included a reduced of $14,858,673 for Midwest Generation Assets to Dynegy</t>
  </si>
  <si>
    <t>Change in A&amp;G</t>
  </si>
  <si>
    <t>Return</t>
  </si>
  <si>
    <t>Income Tax</t>
  </si>
  <si>
    <t>MTEP Credit</t>
  </si>
  <si>
    <t>Exhibit No. DUK-102, page 5 of 11, DEO A&amp;G expenses should have included a reduced of $10,000,000 for a Litigation Accrual recorded to account 920</t>
  </si>
  <si>
    <t xml:space="preserve">Note I states EPRI membership dues are to be eliminated.  DUK-102 page 4 of 11 eliminates all EPRI fees included in the FERC Formula from A&amp;G.  A portion of the EPRI dues are recorded to O&amp;M.  This eliminates the portion recorded to O&amp;M not A&amp;G.    </t>
  </si>
  <si>
    <t>Change in O&amp;M</t>
  </si>
  <si>
    <t>Corrected Revenue Requirement</t>
  </si>
  <si>
    <t>Corrections to May 13, 2016 Attachment H Filing</t>
  </si>
  <si>
    <t>FERC Refund Rate</t>
  </si>
  <si>
    <t>Total Refunds Due to Customers - To Attachment H, page 1 of 6</t>
  </si>
  <si>
    <t>Z</t>
  </si>
  <si>
    <t>Corrections Related to FERC Audit  PA14-2-000       (Note Z)</t>
  </si>
  <si>
    <t>Corrections Related to May 2016 Filing                       (Note Z)</t>
  </si>
  <si>
    <t>Corrections to May 2017 Annual Update Filing</t>
  </si>
  <si>
    <t>FERC Audit PA14-2-000</t>
  </si>
  <si>
    <t>Calendar Year</t>
  </si>
  <si>
    <t>2010</t>
  </si>
  <si>
    <t>2011</t>
  </si>
  <si>
    <t>2012</t>
  </si>
  <si>
    <t>2013</t>
  </si>
  <si>
    <t>2014</t>
  </si>
  <si>
    <t>Corrections</t>
  </si>
  <si>
    <t>May 15, 20__ Filing</t>
  </si>
  <si>
    <t xml:space="preserve">Correction Related to FERC Audit Report Finding 2 - Internal Labor used for Merger Activities </t>
  </si>
  <si>
    <t>Depreciation Expense</t>
  </si>
  <si>
    <t>Taxes Other Than Income Taxes</t>
  </si>
  <si>
    <t>Correction Related to FERC Audit Report Finding 3 - Merger Related Outside Services</t>
  </si>
  <si>
    <t>Correction Related to FERC Audit Report Finding 6 - Lobbying Expenses</t>
  </si>
  <si>
    <t>Correction Related to FERC Audit Report Finding 8 - Non-Utility Expense</t>
  </si>
  <si>
    <t>Corrections to May 15, 20__ Attachment H Filing</t>
  </si>
  <si>
    <t>Number of Periods</t>
  </si>
  <si>
    <t>Interest - ((Amount * (1+Rate)^Periods) - Amount)</t>
  </si>
  <si>
    <t>Wholesale Percentage - 2016</t>
  </si>
  <si>
    <t>Wholesale Amount</t>
  </si>
  <si>
    <t>Miscellaneous</t>
  </si>
  <si>
    <t>The annual MWh represent the load used by all transmission customers.</t>
  </si>
  <si>
    <t>Total Proprietary Capital, Page 112, line 16, column c</t>
  </si>
  <si>
    <r>
      <rPr>
        <b/>
        <sz val="12"/>
        <rFont val="Arial"/>
        <family val="2"/>
      </rPr>
      <t>Less:</t>
    </r>
    <r>
      <rPr>
        <sz val="12"/>
        <rFont val="Arial"/>
        <family val="2"/>
      </rPr>
      <t xml:space="preserve"> Goodwill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</si>
</sst>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[$-409]mmm\-yy;@"/>
    <numFmt numFmtId="277" formatCode="0.00000000"/>
    <numFmt numFmtId="278" formatCode="_(&quot;$&quot;* #,##0.000_);_(&quot;$&quot;* \(#,##0.000\);_(&quot;$&quot;* &quot;-&quot;???_);_(@_)"/>
  </numFmts>
  <fonts count="160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7"/>
      <name val="Arial MT"/>
    </font>
    <font>
      <sz val="12"/>
      <color indexed="17"/>
      <name val="Arial"/>
      <family val="2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u val="doubleAccounting"/>
      <sz val="10"/>
      <color indexed="12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u val="doubleAccounting"/>
      <sz val="12"/>
      <color rgb="FF0000FF"/>
      <name val="Arial"/>
      <family val="2"/>
    </font>
    <font>
      <sz val="10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 val="singleAccounting"/>
      <sz val="10"/>
      <color rgb="FF0000FF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u val="singleAccounting"/>
      <sz val="12"/>
      <color indexed="12"/>
      <name val="Arial"/>
      <family val="2"/>
    </font>
    <font>
      <vertAlign val="superscript"/>
      <sz val="12"/>
      <name val="Arial"/>
      <family val="2"/>
    </font>
    <font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u/>
      <sz val="12"/>
      <color rgb="FF0000FF"/>
      <name val="Arial"/>
      <family val="2"/>
    </font>
    <font>
      <sz val="11"/>
      <color rgb="FF0000FF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0"/>
      <color rgb="FF0000FF"/>
      <name val="Arial"/>
      <family val="2"/>
    </font>
    <font>
      <sz val="10"/>
      <color indexed="10"/>
      <name val="Arial"/>
      <family val="2"/>
    </font>
    <font>
      <b/>
      <sz val="10"/>
      <color rgb="FF0000FF"/>
      <name val="Arial"/>
      <family val="2"/>
    </font>
    <font>
      <b/>
      <u val="singleAccounting"/>
      <sz val="10"/>
      <color rgb="FFFF0000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sz val="12"/>
      <color rgb="FFFF0000"/>
      <name val="Arial MT"/>
    </font>
    <font>
      <sz val="12"/>
      <color rgb="FF333399"/>
      <name val="Arial MT"/>
    </font>
    <font>
      <sz val="12"/>
      <color rgb="FFFF6600"/>
      <name val="Arial MT"/>
    </font>
    <font>
      <sz val="12"/>
      <color rgb="FF000000"/>
      <name val="Arial MT"/>
    </font>
    <font>
      <sz val="12"/>
      <color rgb="FF993300"/>
      <name val="Arial MT"/>
    </font>
    <font>
      <sz val="12"/>
      <color rgb="FF993366"/>
      <name val="Arial MT"/>
    </font>
    <font>
      <sz val="12"/>
      <color rgb="FF008000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7">
    <xf numFmtId="173" fontId="0" fillId="0" borderId="0" applyProtection="0"/>
    <xf numFmtId="43" fontId="29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0" borderId="0">
      <alignment vertical="top"/>
    </xf>
    <xf numFmtId="173" fontId="12" fillId="0" borderId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178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6" fillId="0" borderId="0"/>
    <xf numFmtId="184" fontId="24" fillId="6" borderId="0" applyNumberFormat="0" applyFill="0" applyBorder="0" applyAlignment="0" applyProtection="0">
      <alignment horizontal="right" vertical="center"/>
    </xf>
    <xf numFmtId="184" fontId="30" fillId="0" borderId="0" applyNumberFormat="0" applyFill="0" applyBorder="0" applyAlignment="0" applyProtection="0"/>
    <xf numFmtId="0" fontId="24" fillId="0" borderId="6" applyNumberFormat="0" applyFont="0" applyFill="0" applyAlignment="0" applyProtection="0"/>
    <xf numFmtId="185" fontId="13" fillId="0" borderId="0" applyFont="0" applyFill="0" applyBorder="0" applyAlignment="0" applyProtection="0"/>
    <xf numFmtId="186" fontId="57" fillId="0" borderId="0" applyFont="0" applyFill="0" applyBorder="0" applyProtection="0">
      <alignment horizontal="left"/>
    </xf>
    <xf numFmtId="187" fontId="57" fillId="0" borderId="0" applyFont="0" applyFill="0" applyBorder="0" applyProtection="0">
      <alignment horizontal="left"/>
    </xf>
    <xf numFmtId="188" fontId="57" fillId="0" borderId="0" applyFont="0" applyFill="0" applyBorder="0" applyProtection="0">
      <alignment horizontal="left"/>
    </xf>
    <xf numFmtId="37" fontId="58" fillId="0" borderId="0" applyFont="0" applyFill="0" applyBorder="0" applyAlignment="0" applyProtection="0">
      <alignment vertical="center"/>
      <protection locked="0"/>
    </xf>
    <xf numFmtId="189" fontId="59" fillId="0" borderId="0" applyFont="0" applyFill="0" applyBorder="0" applyAlignment="0" applyProtection="0"/>
    <xf numFmtId="0" fontId="60" fillId="0" borderId="0"/>
    <xf numFmtId="0" fontId="60" fillId="0" borderId="0"/>
    <xf numFmtId="173" fontId="37" fillId="0" borderId="0" applyFill="0"/>
    <xf numFmtId="173" fontId="37" fillId="0" borderId="0">
      <alignment horizontal="center"/>
    </xf>
    <xf numFmtId="0" fontId="37" fillId="0" borderId="0" applyFill="0">
      <alignment horizontal="center"/>
    </xf>
    <xf numFmtId="173" fontId="40" fillId="0" borderId="18" applyFill="0"/>
    <xf numFmtId="0" fontId="24" fillId="0" borderId="0" applyFont="0" applyAlignment="0"/>
    <xf numFmtId="0" fontId="61" fillId="0" borderId="0" applyFill="0">
      <alignment vertical="top"/>
    </xf>
    <xf numFmtId="0" fontId="40" fillId="0" borderId="0" applyFill="0">
      <alignment horizontal="left" vertical="top"/>
    </xf>
    <xf numFmtId="173" fontId="17" fillId="0" borderId="10" applyFill="0"/>
    <xf numFmtId="0" fontId="24" fillId="0" borderId="0" applyNumberFormat="0" applyFont="0" applyAlignment="0"/>
    <xf numFmtId="0" fontId="61" fillId="0" borderId="0" applyFill="0">
      <alignment wrapText="1"/>
    </xf>
    <xf numFmtId="0" fontId="40" fillId="0" borderId="0" applyFill="0">
      <alignment horizontal="left" vertical="top" wrapText="1"/>
    </xf>
    <xf numFmtId="173" fontId="41" fillId="0" borderId="0" applyFill="0"/>
    <xf numFmtId="0" fontId="62" fillId="0" borderId="0" applyNumberFormat="0" applyFont="0" applyAlignment="0">
      <alignment horizontal="center"/>
    </xf>
    <xf numFmtId="0" fontId="63" fillId="0" borderId="0" applyFill="0">
      <alignment vertical="top" wrapText="1"/>
    </xf>
    <xf numFmtId="0" fontId="17" fillId="0" borderId="0" applyFill="0">
      <alignment horizontal="left" vertical="top" wrapText="1"/>
    </xf>
    <xf numFmtId="173" fontId="24" fillId="0" borderId="0" applyFill="0"/>
    <xf numFmtId="0" fontId="62" fillId="0" borderId="0" applyNumberFormat="0" applyFont="0" applyAlignment="0">
      <alignment horizontal="center"/>
    </xf>
    <xf numFmtId="0" fontId="64" fillId="0" borderId="0" applyFill="0">
      <alignment vertical="center" wrapText="1"/>
    </xf>
    <xf numFmtId="0" fontId="15" fillId="0" borderId="0">
      <alignment horizontal="left" vertical="center" wrapText="1"/>
    </xf>
    <xf numFmtId="173" fontId="56" fillId="0" borderId="0" applyFill="0"/>
    <xf numFmtId="0" fontId="62" fillId="0" borderId="0" applyNumberFormat="0" applyFont="0" applyAlignment="0">
      <alignment horizontal="center"/>
    </xf>
    <xf numFmtId="0" fontId="65" fillId="0" borderId="0" applyFill="0">
      <alignment horizontal="center" vertical="center" wrapText="1"/>
    </xf>
    <xf numFmtId="0" fontId="24" fillId="0" borderId="0" applyFill="0">
      <alignment horizontal="center" vertical="center" wrapText="1"/>
    </xf>
    <xf numFmtId="173" fontId="66" fillId="0" borderId="0" applyFill="0"/>
    <xf numFmtId="0" fontId="62" fillId="0" borderId="0" applyNumberFormat="0" applyFont="0" applyAlignment="0">
      <alignment horizontal="center"/>
    </xf>
    <xf numFmtId="0" fontId="67" fillId="0" borderId="0" applyFill="0">
      <alignment horizontal="center" vertical="center" wrapText="1"/>
    </xf>
    <xf numFmtId="0" fontId="68" fillId="0" borderId="0" applyFill="0">
      <alignment horizontal="center" vertical="center" wrapText="1"/>
    </xf>
    <xf numFmtId="173" fontId="69" fillId="0" borderId="0" applyFill="0"/>
    <xf numFmtId="0" fontId="62" fillId="0" borderId="0" applyNumberFormat="0" applyFont="0" applyAlignment="0">
      <alignment horizontal="center"/>
    </xf>
    <xf numFmtId="0" fontId="70" fillId="0" borderId="0">
      <alignment horizontal="center" wrapText="1"/>
    </xf>
    <xf numFmtId="0" fontId="66" fillId="0" borderId="0" applyFill="0">
      <alignment horizontal="center" wrapText="1"/>
    </xf>
    <xf numFmtId="190" fontId="71" fillId="0" borderId="0" applyFont="0" applyFill="0" applyBorder="0" applyAlignment="0" applyProtection="0">
      <protection locked="0"/>
    </xf>
    <xf numFmtId="191" fontId="71" fillId="0" borderId="0" applyFont="0" applyFill="0" applyBorder="0" applyAlignment="0" applyProtection="0">
      <protection locked="0"/>
    </xf>
    <xf numFmtId="39" fontId="24" fillId="0" borderId="0" applyFont="0" applyFill="0" applyBorder="0" applyAlignment="0" applyProtection="0"/>
    <xf numFmtId="192" fontId="72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24" fillId="0" borderId="6" applyNumberFormat="0" applyFont="0" applyFill="0" applyBorder="0" applyProtection="0">
      <alignment horizontal="centerContinuous" vertical="center"/>
    </xf>
    <xf numFmtId="0" fontId="73" fillId="0" borderId="0" applyFill="0" applyBorder="0" applyProtection="0">
      <alignment horizontal="center"/>
      <protection locked="0"/>
    </xf>
    <xf numFmtId="0" fontId="2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194" fontId="57" fillId="0" borderId="0" applyFont="0" applyFill="0" applyBorder="0" applyAlignment="0" applyProtection="0"/>
    <xf numFmtId="195" fontId="57" fillId="0" borderId="0" applyFont="0" applyFill="0" applyBorder="0" applyAlignment="0" applyProtection="0"/>
    <xf numFmtId="196" fontId="57" fillId="0" borderId="0" applyFont="0" applyFill="0" applyBorder="0" applyAlignment="0" applyProtection="0"/>
    <xf numFmtId="197" fontId="75" fillId="0" borderId="0" applyFont="0" applyFill="0" applyBorder="0" applyAlignment="0" applyProtection="0"/>
    <xf numFmtId="198" fontId="76" fillId="0" borderId="0" applyFont="0" applyFill="0" applyBorder="0" applyAlignment="0" applyProtection="0"/>
    <xf numFmtId="199" fontId="76" fillId="0" borderId="0" applyFont="0" applyFill="0" applyBorder="0" applyAlignment="0" applyProtection="0"/>
    <xf numFmtId="200" fontId="41" fillId="0" borderId="0" applyFont="0" applyFill="0" applyBorder="0" applyAlignment="0" applyProtection="0">
      <protection locked="0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4" fillId="0" borderId="0" applyFont="0" applyFill="0" applyBorder="0" applyAlignment="0" applyProtection="0"/>
    <xf numFmtId="37" fontId="77" fillId="0" borderId="0" applyFill="0" applyBorder="0" applyAlignment="0" applyProtection="0"/>
    <xf numFmtId="3" fontId="24" fillId="0" borderId="0" applyFont="0" applyFill="0" applyBorder="0" applyAlignment="0" applyProtection="0"/>
    <xf numFmtId="0" fontId="40" fillId="0" borderId="0" applyFill="0" applyBorder="0" applyAlignment="0" applyProtection="0">
      <protection locked="0"/>
    </xf>
    <xf numFmtId="201" fontId="57" fillId="0" borderId="0" applyFont="0" applyFill="0" applyBorder="0" applyAlignment="0" applyProtection="0"/>
    <xf numFmtId="202" fontId="57" fillId="0" borderId="0" applyFont="0" applyFill="0" applyBorder="0" applyAlignment="0" applyProtection="0"/>
    <xf numFmtId="203" fontId="57" fillId="0" borderId="0" applyFont="0" applyFill="0" applyBorder="0" applyAlignment="0" applyProtection="0"/>
    <xf numFmtId="204" fontId="76" fillId="0" borderId="0" applyFont="0" applyFill="0" applyBorder="0" applyAlignment="0" applyProtection="0"/>
    <xf numFmtId="205" fontId="76" fillId="0" borderId="0" applyFont="0" applyFill="0" applyBorder="0" applyAlignment="0" applyProtection="0"/>
    <xf numFmtId="206" fontId="76" fillId="0" borderId="0" applyFont="0" applyFill="0" applyBorder="0" applyAlignment="0" applyProtection="0"/>
    <xf numFmtId="207" fontId="41" fillId="0" borderId="0" applyFont="0" applyFill="0" applyBorder="0" applyAlignment="0" applyProtection="0">
      <protection locked="0"/>
    </xf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77" fillId="0" borderId="0" applyFill="0" applyBorder="0" applyAlignment="0" applyProtection="0"/>
    <xf numFmtId="5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208" fontId="59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71" fillId="0" borderId="0" applyFont="0" applyFill="0" applyBorder="0" applyAlignment="0" applyProtection="0">
      <protection locked="0"/>
    </xf>
    <xf numFmtId="7" fontId="37" fillId="0" borderId="0" applyFont="0" applyFill="0" applyBorder="0" applyAlignment="0" applyProtection="0"/>
    <xf numFmtId="211" fontId="72" fillId="0" borderId="0" applyFont="0" applyFill="0" applyBorder="0" applyAlignment="0" applyProtection="0"/>
    <xf numFmtId="212" fontId="78" fillId="0" borderId="0" applyFont="0" applyFill="0" applyBorder="0" applyAlignment="0" applyProtection="0"/>
    <xf numFmtId="0" fontId="79" fillId="7" borderId="19" applyNumberFormat="0" applyFont="0" applyFill="0" applyAlignment="0" applyProtection="0">
      <alignment horizontal="left" indent="1"/>
    </xf>
    <xf numFmtId="14" fontId="24" fillId="0" borderId="0" applyFont="0" applyFill="0" applyBorder="0" applyAlignment="0" applyProtection="0"/>
    <xf numFmtId="213" fontId="57" fillId="0" borderId="0" applyFont="0" applyFill="0" applyBorder="0" applyProtection="0"/>
    <xf numFmtId="214" fontId="57" fillId="0" borderId="0" applyFont="0" applyFill="0" applyBorder="0" applyProtection="0"/>
    <xf numFmtId="215" fontId="57" fillId="0" borderId="0" applyFont="0" applyFill="0" applyBorder="0" applyAlignment="0" applyProtection="0"/>
    <xf numFmtId="216" fontId="57" fillId="0" borderId="0" applyFont="0" applyFill="0" applyBorder="0" applyAlignment="0" applyProtection="0"/>
    <xf numFmtId="217" fontId="57" fillId="0" borderId="0" applyFont="0" applyFill="0" applyBorder="0" applyAlignment="0" applyProtection="0"/>
    <xf numFmtId="218" fontId="80" fillId="0" borderId="0" applyFont="0" applyFill="0" applyBorder="0" applyAlignment="0" applyProtection="0"/>
    <xf numFmtId="5" fontId="81" fillId="0" borderId="0" applyBorder="0"/>
    <xf numFmtId="209" fontId="81" fillId="0" borderId="0" applyBorder="0"/>
    <xf numFmtId="7" fontId="81" fillId="0" borderId="0" applyBorder="0"/>
    <xf numFmtId="37" fontId="81" fillId="0" borderId="0" applyBorder="0"/>
    <xf numFmtId="190" fontId="81" fillId="0" borderId="0" applyBorder="0"/>
    <xf numFmtId="219" fontId="81" fillId="0" borderId="0" applyBorder="0"/>
    <xf numFmtId="39" fontId="81" fillId="0" borderId="0" applyBorder="0"/>
    <xf numFmtId="220" fontId="81" fillId="0" borderId="0" applyBorder="0"/>
    <xf numFmtId="7" fontId="24" fillId="0" borderId="0" applyFont="0" applyFill="0" applyBorder="0" applyAlignment="0" applyProtection="0"/>
    <xf numFmtId="221" fontId="59" fillId="0" borderId="0" applyFont="0" applyFill="0" applyBorder="0" applyAlignment="0" applyProtection="0"/>
    <xf numFmtId="222" fontId="59" fillId="0" borderId="0" applyFont="0" applyFill="0" applyAlignment="0" applyProtection="0"/>
    <xf numFmtId="221" fontId="59" fillId="0" borderId="0" applyFont="0" applyFill="0" applyBorder="0" applyAlignment="0" applyProtection="0"/>
    <xf numFmtId="223" fontId="37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82" fillId="0" borderId="0"/>
    <xf numFmtId="190" fontId="83" fillId="0" borderId="0" applyNumberFormat="0" applyFill="0" applyBorder="0" applyAlignment="0" applyProtection="0"/>
    <xf numFmtId="0" fontId="37" fillId="0" borderId="0" applyFont="0" applyFill="0" applyBorder="0" applyAlignment="0" applyProtection="0"/>
    <xf numFmtId="0" fontId="57" fillId="0" borderId="0" applyFont="0" applyFill="0" applyBorder="0" applyProtection="0">
      <alignment horizontal="center" wrapText="1"/>
    </xf>
    <xf numFmtId="224" fontId="57" fillId="0" borderId="0" applyFont="0" applyFill="0" applyBorder="0" applyProtection="0">
      <alignment horizontal="right"/>
    </xf>
    <xf numFmtId="0" fontId="83" fillId="0" borderId="0" applyNumberFormat="0" applyFill="0" applyBorder="0" applyAlignment="0" applyProtection="0"/>
    <xf numFmtId="0" fontId="84" fillId="8" borderId="0" applyNumberFormat="0" applyFill="0" applyBorder="0" applyAlignment="0" applyProtection="0"/>
    <xf numFmtId="0" fontId="17" fillId="0" borderId="20" applyNumberFormat="0" applyAlignment="0" applyProtection="0">
      <alignment horizontal="left" vertical="center"/>
    </xf>
    <xf numFmtId="0" fontId="17" fillId="0" borderId="16">
      <alignment horizontal="left" vertical="center"/>
    </xf>
    <xf numFmtId="14" fontId="28" fillId="9" borderId="1">
      <alignment horizontal="center" vertical="center" wrapText="1"/>
    </xf>
    <xf numFmtId="0" fontId="73" fillId="0" borderId="0" applyFill="0" applyAlignment="0" applyProtection="0">
      <protection locked="0"/>
    </xf>
    <xf numFmtId="0" fontId="73" fillId="0" borderId="6" applyFill="0" applyAlignment="0" applyProtection="0">
      <protection locked="0"/>
    </xf>
    <xf numFmtId="0" fontId="85" fillId="0" borderId="1"/>
    <xf numFmtId="0" fontId="86" fillId="0" borderId="0"/>
    <xf numFmtId="0" fontId="87" fillId="0" borderId="6" applyNumberFormat="0" applyFill="0" applyAlignment="0" applyProtection="0"/>
    <xf numFmtId="0" fontId="80" fillId="10" borderId="0" applyNumberFormat="0" applyFont="0" applyBorder="0" applyAlignment="0" applyProtection="0"/>
    <xf numFmtId="0" fontId="55" fillId="3" borderId="14" applyNumberFormat="0" applyAlignment="0" applyProtection="0"/>
    <xf numFmtId="225" fontId="57" fillId="0" borderId="0" applyFont="0" applyFill="0" applyBorder="0" applyProtection="0">
      <alignment horizontal="left"/>
    </xf>
    <xf numFmtId="226" fontId="57" fillId="0" borderId="0" applyFont="0" applyFill="0" applyBorder="0" applyProtection="0">
      <alignment horizontal="left"/>
    </xf>
    <xf numFmtId="227" fontId="57" fillId="0" borderId="0" applyFont="0" applyFill="0" applyBorder="0" applyProtection="0">
      <alignment horizontal="left"/>
    </xf>
    <xf numFmtId="228" fontId="57" fillId="0" borderId="0" applyFont="0" applyFill="0" applyBorder="0" applyProtection="0">
      <alignment horizontal="left"/>
    </xf>
    <xf numFmtId="10" fontId="37" fillId="11" borderId="14" applyNumberFormat="0" applyBorder="0" applyAlignment="0" applyProtection="0"/>
    <xf numFmtId="5" fontId="88" fillId="0" borderId="0" applyBorder="0"/>
    <xf numFmtId="209" fontId="88" fillId="0" borderId="0" applyBorder="0"/>
    <xf numFmtId="7" fontId="88" fillId="0" borderId="0" applyBorder="0"/>
    <xf numFmtId="37" fontId="88" fillId="0" borderId="0" applyBorder="0"/>
    <xf numFmtId="190" fontId="88" fillId="0" borderId="0" applyBorder="0"/>
    <xf numFmtId="219" fontId="88" fillId="0" borderId="0" applyBorder="0"/>
    <xf numFmtId="39" fontId="88" fillId="0" borderId="0" applyBorder="0"/>
    <xf numFmtId="220" fontId="88" fillId="0" borderId="0" applyBorder="0"/>
    <xf numFmtId="0" fontId="80" fillId="0" borderId="3" applyNumberFormat="0" applyFont="0" applyFill="0" applyAlignment="0" applyProtection="0"/>
    <xf numFmtId="0" fontId="89" fillId="0" borderId="0"/>
    <xf numFmtId="229" fontId="24" fillId="0" borderId="0" applyFont="0" applyFill="0" applyBorder="0" applyAlignment="0" applyProtection="0"/>
    <xf numFmtId="230" fontId="24" fillId="0" borderId="0" applyFont="0" applyFill="0" applyBorder="0" applyAlignment="0" applyProtection="0"/>
    <xf numFmtId="231" fontId="24" fillId="0" borderId="0" applyFont="0" applyFill="0" applyBorder="0" applyAlignment="0" applyProtection="0"/>
    <xf numFmtId="232" fontId="24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right"/>
    </xf>
    <xf numFmtId="233" fontId="24" fillId="0" borderId="0" applyFont="0" applyFill="0" applyBorder="0" applyAlignment="0" applyProtection="0"/>
    <xf numFmtId="37" fontId="90" fillId="0" borderId="0"/>
    <xf numFmtId="0" fontId="59" fillId="0" borderId="0"/>
    <xf numFmtId="0" fontId="24" fillId="0" borderId="0"/>
    <xf numFmtId="0" fontId="24" fillId="0" borderId="0"/>
    <xf numFmtId="173" fontId="12" fillId="0" borderId="0" applyProtection="0"/>
    <xf numFmtId="0" fontId="24" fillId="0" borderId="0"/>
    <xf numFmtId="0" fontId="24" fillId="0" borderId="0"/>
    <xf numFmtId="0" fontId="24" fillId="0" borderId="0"/>
    <xf numFmtId="0" fontId="13" fillId="12" borderId="0" applyNumberFormat="0" applyFont="0" applyBorder="0" applyAlignment="0"/>
    <xf numFmtId="234" fontId="24" fillId="0" borderId="0" applyFont="0" applyFill="0" applyBorder="0" applyAlignment="0" applyProtection="0"/>
    <xf numFmtId="235" fontId="91" fillId="0" borderId="0"/>
    <xf numFmtId="234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236" fontId="24" fillId="0" borderId="0"/>
    <xf numFmtId="237" fontId="59" fillId="0" borderId="0"/>
    <xf numFmtId="237" fontId="59" fillId="0" borderId="0"/>
    <xf numFmtId="235" fontId="91" fillId="0" borderId="0"/>
    <xf numFmtId="0" fontId="59" fillId="0" borderId="0"/>
    <xf numFmtId="235" fontId="77" fillId="0" borderId="0"/>
    <xf numFmtId="236" fontId="24" fillId="0" borderId="0"/>
    <xf numFmtId="237" fontId="59" fillId="0" borderId="0"/>
    <xf numFmtId="237" fontId="59" fillId="0" borderId="0"/>
    <xf numFmtId="0" fontId="59" fillId="0" borderId="0"/>
    <xf numFmtId="0" fontId="59" fillId="0" borderId="0"/>
    <xf numFmtId="238" fontId="59" fillId="0" borderId="0"/>
    <xf numFmtId="170" fontId="59" fillId="0" borderId="0"/>
    <xf numFmtId="239" fontId="59" fillId="0" borderId="0"/>
    <xf numFmtId="238" fontId="59" fillId="0" borderId="0"/>
    <xf numFmtId="170" fontId="59" fillId="0" borderId="0"/>
    <xf numFmtId="240" fontId="59" fillId="0" borderId="0"/>
    <xf numFmtId="240" fontId="59" fillId="0" borderId="0"/>
    <xf numFmtId="241" fontId="59" fillId="0" borderId="0"/>
    <xf numFmtId="239" fontId="59" fillId="0" borderId="0"/>
    <xf numFmtId="169" fontId="59" fillId="0" borderId="0"/>
    <xf numFmtId="241" fontId="59" fillId="0" borderId="0"/>
    <xf numFmtId="241" fontId="59" fillId="0" borderId="0"/>
    <xf numFmtId="0" fontId="59" fillId="0" borderId="0"/>
    <xf numFmtId="234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234" fontId="24" fillId="0" borderId="0" applyFont="0" applyFill="0" applyBorder="0" applyAlignment="0" applyProtection="0"/>
    <xf numFmtId="235" fontId="91" fillId="0" borderId="0"/>
    <xf numFmtId="235" fontId="91" fillId="0" borderId="0"/>
    <xf numFmtId="234" fontId="24" fillId="0" borderId="0" applyFont="0" applyFill="0" applyBorder="0" applyAlignment="0" applyProtection="0"/>
    <xf numFmtId="235" fontId="91" fillId="0" borderId="0"/>
    <xf numFmtId="235" fontId="91" fillId="0" borderId="0"/>
    <xf numFmtId="238" fontId="59" fillId="0" borderId="0"/>
    <xf numFmtId="170" fontId="59" fillId="0" borderId="0"/>
    <xf numFmtId="239" fontId="59" fillId="0" borderId="0"/>
    <xf numFmtId="238" fontId="59" fillId="0" borderId="0"/>
    <xf numFmtId="170" fontId="59" fillId="0" borderId="0"/>
    <xf numFmtId="240" fontId="59" fillId="0" borderId="0"/>
    <xf numFmtId="240" fontId="59" fillId="0" borderId="0"/>
    <xf numFmtId="241" fontId="59" fillId="0" borderId="0"/>
    <xf numFmtId="239" fontId="59" fillId="0" borderId="0"/>
    <xf numFmtId="169" fontId="59" fillId="0" borderId="0"/>
    <xf numFmtId="241" fontId="59" fillId="0" borderId="0"/>
    <xf numFmtId="241" fontId="59" fillId="0" borderId="0"/>
    <xf numFmtId="242" fontId="56" fillId="5" borderId="0" applyFont="0" applyFill="0" applyBorder="0" applyAlignment="0" applyProtection="0"/>
    <xf numFmtId="243" fontId="56" fillId="5" borderId="0" applyFont="0" applyFill="0" applyBorder="0" applyAlignment="0" applyProtection="0"/>
    <xf numFmtId="244" fontId="24" fillId="0" borderId="0" applyFont="0" applyFill="0" applyBorder="0" applyAlignment="0" applyProtection="0"/>
    <xf numFmtId="245" fontId="76" fillId="0" borderId="0" applyFont="0" applyFill="0" applyBorder="0" applyAlignment="0" applyProtection="0"/>
    <xf numFmtId="246" fontId="75" fillId="0" borderId="0" applyFont="0" applyFill="0" applyBorder="0" applyAlignment="0" applyProtection="0"/>
    <xf numFmtId="247" fontId="24" fillId="0" borderId="0" applyFont="0" applyFill="0" applyBorder="0" applyAlignment="0" applyProtection="0"/>
    <xf numFmtId="248" fontId="57" fillId="0" borderId="0" applyFont="0" applyFill="0" applyBorder="0" applyAlignment="0" applyProtection="0"/>
    <xf numFmtId="249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51" fontId="57" fillId="0" borderId="0" applyFont="0" applyFill="0" applyBorder="0" applyAlignment="0" applyProtection="0"/>
    <xf numFmtId="252" fontId="76" fillId="0" borderId="0" applyFont="0" applyFill="0" applyBorder="0" applyAlignment="0" applyProtection="0"/>
    <xf numFmtId="253" fontId="75" fillId="0" borderId="0" applyFont="0" applyFill="0" applyBorder="0" applyAlignment="0" applyProtection="0"/>
    <xf numFmtId="254" fontId="76" fillId="0" borderId="0" applyFont="0" applyFill="0" applyBorder="0" applyAlignment="0" applyProtection="0"/>
    <xf numFmtId="255" fontId="75" fillId="0" borderId="0" applyFont="0" applyFill="0" applyBorder="0" applyAlignment="0" applyProtection="0"/>
    <xf numFmtId="256" fontId="76" fillId="0" borderId="0" applyFont="0" applyFill="0" applyBorder="0" applyAlignment="0" applyProtection="0"/>
    <xf numFmtId="257" fontId="75" fillId="0" borderId="0" applyFont="0" applyFill="0" applyBorder="0" applyAlignment="0" applyProtection="0"/>
    <xf numFmtId="258" fontId="41" fillId="0" borderId="0" applyFont="0" applyFill="0" applyBorder="0" applyAlignment="0" applyProtection="0">
      <protection locked="0"/>
    </xf>
    <xf numFmtId="259" fontId="7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4" fontId="77" fillId="0" borderId="0" applyFill="0" applyBorder="0" applyAlignment="0" applyProtection="0"/>
    <xf numFmtId="9" fontId="81" fillId="0" borderId="0" applyBorder="0"/>
    <xf numFmtId="260" fontId="81" fillId="0" borderId="0" applyBorder="0"/>
    <xf numFmtId="10" fontId="81" fillId="0" borderId="0" applyBorder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3" fontId="24" fillId="0" borderId="0">
      <alignment horizontal="left" vertical="top"/>
    </xf>
    <xf numFmtId="0" fontId="92" fillId="0" borderId="1">
      <alignment horizontal="center"/>
    </xf>
    <xf numFmtId="3" fontId="45" fillId="0" borderId="0" applyFont="0" applyFill="0" applyBorder="0" applyAlignment="0" applyProtection="0"/>
    <xf numFmtId="0" fontId="45" fillId="13" borderId="0" applyNumberFormat="0" applyFont="0" applyBorder="0" applyAlignment="0" applyProtection="0"/>
    <xf numFmtId="3" fontId="24" fillId="0" borderId="0">
      <alignment horizontal="right" vertical="top"/>
    </xf>
    <xf numFmtId="41" fontId="15" fillId="14" borderId="17" applyFill="0"/>
    <xf numFmtId="0" fontId="93" fillId="0" borderId="0">
      <alignment horizontal="left" indent="7"/>
    </xf>
    <xf numFmtId="41" fontId="15" fillId="0" borderId="17" applyFill="0">
      <alignment horizontal="left" indent="2"/>
    </xf>
    <xf numFmtId="173" fontId="73" fillId="0" borderId="6" applyFill="0">
      <alignment horizontal="right"/>
    </xf>
    <xf numFmtId="0" fontId="28" fillId="0" borderId="14" applyNumberFormat="0" applyFont="0" applyBorder="0">
      <alignment horizontal="right"/>
    </xf>
    <xf numFmtId="0" fontId="94" fillId="0" borderId="0" applyFill="0"/>
    <xf numFmtId="0" fontId="17" fillId="0" borderId="0" applyFill="0"/>
    <xf numFmtId="4" fontId="73" fillId="0" borderId="6" applyFill="0"/>
    <xf numFmtId="0" fontId="24" fillId="0" borderId="0" applyNumberFormat="0" applyFont="0" applyBorder="0" applyAlignment="0"/>
    <xf numFmtId="0" fontId="63" fillId="0" borderId="0" applyFill="0">
      <alignment horizontal="left" indent="1"/>
    </xf>
    <xf numFmtId="0" fontId="95" fillId="0" borderId="0" applyFill="0">
      <alignment horizontal="left" indent="1"/>
    </xf>
    <xf numFmtId="4" fontId="56" fillId="0" borderId="0" applyFill="0"/>
    <xf numFmtId="0" fontId="24" fillId="0" borderId="0" applyNumberFormat="0" applyFont="0" applyFill="0" applyBorder="0" applyAlignment="0"/>
    <xf numFmtId="0" fontId="63" fillId="0" borderId="0" applyFill="0">
      <alignment horizontal="left" indent="2"/>
    </xf>
    <xf numFmtId="0" fontId="17" fillId="0" borderId="0" applyFill="0">
      <alignment horizontal="left" indent="2"/>
    </xf>
    <xf numFmtId="4" fontId="56" fillId="0" borderId="0" applyFill="0"/>
    <xf numFmtId="0" fontId="24" fillId="0" borderId="0" applyNumberFormat="0" applyFont="0" applyBorder="0" applyAlignment="0"/>
    <xf numFmtId="0" fontId="96" fillId="0" borderId="0">
      <alignment horizontal="left" indent="3"/>
    </xf>
    <xf numFmtId="0" fontId="19" fillId="0" borderId="0" applyFill="0">
      <alignment horizontal="left" indent="3"/>
    </xf>
    <xf numFmtId="4" fontId="56" fillId="0" borderId="0" applyFill="0"/>
    <xf numFmtId="0" fontId="24" fillId="0" borderId="0" applyNumberFormat="0" applyFont="0" applyBorder="0" applyAlignment="0"/>
    <xf numFmtId="0" fontId="65" fillId="0" borderId="0">
      <alignment horizontal="left" indent="4"/>
    </xf>
    <xf numFmtId="0" fontId="24" fillId="0" borderId="0" applyFill="0">
      <alignment horizontal="left" indent="4"/>
    </xf>
    <xf numFmtId="4" fontId="66" fillId="0" borderId="0" applyFill="0"/>
    <xf numFmtId="0" fontId="24" fillId="0" borderId="0" applyNumberFormat="0" applyFont="0" applyBorder="0" applyAlignment="0"/>
    <xf numFmtId="0" fontId="67" fillId="0" borderId="0">
      <alignment horizontal="left" indent="5"/>
    </xf>
    <xf numFmtId="0" fontId="68" fillId="0" borderId="0" applyFill="0">
      <alignment horizontal="left" indent="5"/>
    </xf>
    <xf numFmtId="4" fontId="69" fillId="0" borderId="0" applyFill="0"/>
    <xf numFmtId="0" fontId="24" fillId="0" borderId="0" applyNumberFormat="0" applyFont="0" applyFill="0" applyBorder="0" applyAlignment="0"/>
    <xf numFmtId="0" fontId="70" fillId="0" borderId="0" applyFill="0">
      <alignment horizontal="left" indent="6"/>
    </xf>
    <xf numFmtId="0" fontId="66" fillId="0" borderId="0" applyFill="0">
      <alignment horizontal="left" indent="6"/>
    </xf>
    <xf numFmtId="0" fontId="80" fillId="0" borderId="4" applyNumberFormat="0" applyFont="0" applyFill="0" applyAlignment="0" applyProtection="0"/>
    <xf numFmtId="0" fontId="97" fillId="0" borderId="0" applyNumberFormat="0" applyFill="0" applyBorder="0" applyAlignment="0" applyProtection="0"/>
    <xf numFmtId="0" fontId="98" fillId="0" borderId="0"/>
    <xf numFmtId="0" fontId="98" fillId="0" borderId="0"/>
    <xf numFmtId="0" fontId="99" fillId="0" borderId="1">
      <alignment horizontal="right"/>
    </xf>
    <xf numFmtId="261" fontId="78" fillId="0" borderId="0">
      <alignment horizontal="center"/>
    </xf>
    <xf numFmtId="262" fontId="100" fillId="0" borderId="0">
      <alignment horizontal="center"/>
    </xf>
    <xf numFmtId="0" fontId="101" fillId="0" borderId="0" applyNumberFormat="0" applyFill="0" applyBorder="0" applyAlignment="0" applyProtection="0"/>
    <xf numFmtId="0" fontId="102" fillId="0" borderId="0" applyNumberFormat="0" applyBorder="0" applyAlignment="0"/>
    <xf numFmtId="0" fontId="103" fillId="0" borderId="0" applyNumberFormat="0" applyBorder="0" applyAlignment="0"/>
    <xf numFmtId="0" fontId="80" fillId="7" borderId="0" applyNumberFormat="0" applyFont="0" applyBorder="0" applyAlignment="0" applyProtection="0"/>
    <xf numFmtId="242" fontId="104" fillId="0" borderId="16" applyNumberFormat="0" applyFont="0" applyFill="0" applyAlignment="0" applyProtection="0"/>
    <xf numFmtId="0" fontId="105" fillId="0" borderId="0" applyFill="0" applyBorder="0" applyProtection="0">
      <alignment horizontal="left" vertical="top"/>
    </xf>
    <xf numFmtId="0" fontId="106" fillId="0" borderId="0" applyAlignment="0">
      <alignment horizontal="centerContinuous"/>
    </xf>
    <xf numFmtId="0" fontId="24" fillId="0" borderId="10" applyNumberFormat="0" applyFont="0" applyFill="0" applyAlignment="0" applyProtection="0"/>
    <xf numFmtId="0" fontId="107" fillId="0" borderId="0" applyNumberFormat="0" applyFill="0" applyBorder="0" applyAlignment="0" applyProtection="0"/>
    <xf numFmtId="263" fontId="75" fillId="0" borderId="0" applyFont="0" applyFill="0" applyBorder="0" applyAlignment="0" applyProtection="0"/>
    <xf numFmtId="264" fontId="75" fillId="0" borderId="0" applyFont="0" applyFill="0" applyBorder="0" applyAlignment="0" applyProtection="0"/>
    <xf numFmtId="265" fontId="75" fillId="0" borderId="0" applyFont="0" applyFill="0" applyBorder="0" applyAlignment="0" applyProtection="0"/>
    <xf numFmtId="266" fontId="75" fillId="0" borderId="0" applyFont="0" applyFill="0" applyBorder="0" applyAlignment="0" applyProtection="0"/>
    <xf numFmtId="267" fontId="75" fillId="0" borderId="0" applyFont="0" applyFill="0" applyBorder="0" applyAlignment="0" applyProtection="0"/>
    <xf numFmtId="268" fontId="75" fillId="0" borderId="0" applyFont="0" applyFill="0" applyBorder="0" applyAlignment="0" applyProtection="0"/>
    <xf numFmtId="269" fontId="75" fillId="0" borderId="0" applyFont="0" applyFill="0" applyBorder="0" applyAlignment="0" applyProtection="0"/>
    <xf numFmtId="270" fontId="75" fillId="0" borderId="0" applyFont="0" applyFill="0" applyBorder="0" applyAlignment="0" applyProtection="0"/>
    <xf numFmtId="271" fontId="108" fillId="7" borderId="21" applyFont="0" applyFill="0" applyBorder="0" applyAlignment="0" applyProtection="0"/>
    <xf numFmtId="271" fontId="59" fillId="0" borderId="0" applyFont="0" applyFill="0" applyBorder="0" applyAlignment="0" applyProtection="0"/>
    <xf numFmtId="272" fontId="72" fillId="0" borderId="0" applyFont="0" applyFill="0" applyBorder="0" applyAlignment="0" applyProtection="0"/>
    <xf numFmtId="273" fontId="78" fillId="0" borderId="16" applyFont="0" applyFill="0" applyBorder="0" applyAlignment="0" applyProtection="0">
      <alignment horizontal="right"/>
      <protection locked="0"/>
    </xf>
    <xf numFmtId="173" fontId="12" fillId="0" borderId="0" applyProtection="0"/>
    <xf numFmtId="0" fontId="1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20" fillId="0" borderId="0"/>
    <xf numFmtId="0" fontId="125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10" fillId="0" borderId="0"/>
    <xf numFmtId="0" fontId="125" fillId="0" borderId="0"/>
    <xf numFmtId="0" fontId="125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9" fillId="0" borderId="0"/>
    <xf numFmtId="0" fontId="8" fillId="0" borderId="0"/>
    <xf numFmtId="0" fontId="125" fillId="0" borderId="0"/>
    <xf numFmtId="43" fontId="1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" fillId="0" borderId="0"/>
    <xf numFmtId="43" fontId="24" fillId="0" borderId="0" applyFont="0" applyFill="0" applyBorder="0" applyAlignment="0" applyProtection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5" fillId="0" borderId="0" applyFont="0" applyFill="0" applyBorder="0" applyAlignment="0" applyProtection="0"/>
    <xf numFmtId="0" fontId="4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" fillId="0" borderId="0"/>
    <xf numFmtId="0" fontId="24" fillId="0" borderId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3" fillId="0" borderId="0" applyNumberFormat="0" applyFill="0" applyBorder="0" applyAlignment="0" applyProtection="0"/>
    <xf numFmtId="0" fontId="144" fillId="0" borderId="31" applyNumberFormat="0" applyFill="0" applyAlignment="0" applyProtection="0"/>
    <xf numFmtId="0" fontId="145" fillId="0" borderId="32" applyNumberFormat="0" applyFill="0" applyAlignment="0" applyProtection="0"/>
    <xf numFmtId="0" fontId="146" fillId="0" borderId="33" applyNumberFormat="0" applyFill="0" applyAlignment="0" applyProtection="0"/>
    <xf numFmtId="0" fontId="146" fillId="0" borderId="0" applyNumberFormat="0" applyFill="0" applyBorder="0" applyAlignment="0" applyProtection="0"/>
    <xf numFmtId="0" fontId="147" fillId="18" borderId="0" applyNumberFormat="0" applyBorder="0" applyAlignment="0" applyProtection="0"/>
    <xf numFmtId="0" fontId="148" fillId="19" borderId="0" applyNumberFormat="0" applyBorder="0" applyAlignment="0" applyProtection="0"/>
    <xf numFmtId="0" fontId="149" fillId="20" borderId="0" applyNumberFormat="0" applyBorder="0" applyAlignment="0" applyProtection="0"/>
    <xf numFmtId="0" fontId="150" fillId="21" borderId="34" applyNumberFormat="0" applyAlignment="0" applyProtection="0"/>
    <xf numFmtId="0" fontId="151" fillId="22" borderId="35" applyNumberFormat="0" applyAlignment="0" applyProtection="0"/>
    <xf numFmtId="0" fontId="152" fillId="22" borderId="34" applyNumberFormat="0" applyAlignment="0" applyProtection="0"/>
    <xf numFmtId="0" fontId="153" fillId="0" borderId="36" applyNumberFormat="0" applyFill="0" applyAlignment="0" applyProtection="0"/>
    <xf numFmtId="0" fontId="154" fillId="23" borderId="37" applyNumberFormat="0" applyAlignment="0" applyProtection="0"/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39" applyNumberFormat="0" applyFill="0" applyAlignment="0" applyProtection="0"/>
    <xf numFmtId="0" fontId="15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8" fillId="28" borderId="0" applyNumberFormat="0" applyBorder="0" applyAlignment="0" applyProtection="0"/>
    <xf numFmtId="0" fontId="15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8" fillId="32" borderId="0" applyNumberFormat="0" applyBorder="0" applyAlignment="0" applyProtection="0"/>
    <xf numFmtId="0" fontId="15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58" fillId="36" borderId="0" applyNumberFormat="0" applyBorder="0" applyAlignment="0" applyProtection="0"/>
    <xf numFmtId="0" fontId="15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58" fillId="40" borderId="0" applyNumberFormat="0" applyBorder="0" applyAlignment="0" applyProtection="0"/>
    <xf numFmtId="0" fontId="15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58" fillId="44" borderId="0" applyNumberFormat="0" applyBorder="0" applyAlignment="0" applyProtection="0"/>
    <xf numFmtId="0" fontId="15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58" fillId="4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3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9">
    <xf numFmtId="173" fontId="0" fillId="0" borderId="0" xfId="0" applyAlignment="1"/>
    <xf numFmtId="0" fontId="15" fillId="0" borderId="0" xfId="0" applyNumberFormat="1" applyFont="1"/>
    <xf numFmtId="3" fontId="15" fillId="0" borderId="0" xfId="0" applyNumberFormat="1" applyFont="1"/>
    <xf numFmtId="0" fontId="15" fillId="0" borderId="0" xfId="0" applyNumberFormat="1" applyFont="1" applyAlignment="1"/>
    <xf numFmtId="0" fontId="15" fillId="0" borderId="0" xfId="0" applyNumberFormat="1" applyFont="1" applyAlignment="1">
      <alignment horizontal="center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3" fontId="16" fillId="0" borderId="0" xfId="0" applyNumberFormat="1" applyFont="1" applyAlignment="1"/>
    <xf numFmtId="0" fontId="17" fillId="0" borderId="0" xfId="0" applyNumberFormat="1" applyFont="1" applyAlignment="1">
      <alignment horizontal="center"/>
    </xf>
    <xf numFmtId="173" fontId="15" fillId="0" borderId="0" xfId="0" applyFont="1" applyAlignment="1"/>
    <xf numFmtId="0" fontId="17" fillId="0" borderId="0" xfId="0" applyNumberFormat="1" applyFont="1" applyAlignment="1"/>
    <xf numFmtId="165" fontId="15" fillId="0" borderId="0" xfId="0" applyNumberFormat="1" applyFont="1" applyAlignment="1"/>
    <xf numFmtId="3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fill"/>
    </xf>
    <xf numFmtId="164" fontId="15" fillId="0" borderId="0" xfId="0" applyNumberFormat="1" applyFont="1" applyAlignment="1">
      <alignment horizontal="center"/>
    </xf>
    <xf numFmtId="166" fontId="15" fillId="0" borderId="0" xfId="0" applyNumberFormat="1" applyFont="1" applyAlignment="1"/>
    <xf numFmtId="167" fontId="15" fillId="0" borderId="0" xfId="0" applyNumberFormat="1" applyFont="1" applyAlignment="1"/>
    <xf numFmtId="49" fontId="15" fillId="0" borderId="0" xfId="0" applyNumberFormat="1" applyFont="1"/>
    <xf numFmtId="4" fontId="15" fillId="0" borderId="0" xfId="0" applyNumberFormat="1" applyFont="1" applyAlignment="1"/>
    <xf numFmtId="169" fontId="15" fillId="0" borderId="0" xfId="0" applyNumberFormat="1" applyFont="1" applyAlignment="1"/>
    <xf numFmtId="3" fontId="15" fillId="0" borderId="0" xfId="0" quotePrefix="1" applyNumberFormat="1" applyFont="1" applyAlignment="1"/>
    <xf numFmtId="172" fontId="15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left"/>
    </xf>
    <xf numFmtId="173" fontId="18" fillId="0" borderId="0" xfId="0" applyFont="1" applyAlignment="1"/>
    <xf numFmtId="0" fontId="15" fillId="0" borderId="0" xfId="0" applyNumberFormat="1" applyFont="1" applyAlignment="1" applyProtection="1">
      <protection locked="0"/>
    </xf>
    <xf numFmtId="0" fontId="15" fillId="0" borderId="0" xfId="0" applyNumberFormat="1" applyFont="1" applyAlignment="1" applyProtection="1">
      <alignment horizontal="left"/>
      <protection locked="0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horizontal="center"/>
      <protection locked="0"/>
    </xf>
    <xf numFmtId="0" fontId="17" fillId="0" borderId="0" xfId="0" applyNumberFormat="1" applyFont="1" applyAlignment="1" applyProtection="1">
      <alignment horizontal="center"/>
      <protection locked="0"/>
    </xf>
    <xf numFmtId="166" fontId="15" fillId="0" borderId="0" xfId="0" applyNumberFormat="1" applyFont="1" applyAlignment="1" applyProtection="1">
      <alignment horizontal="center"/>
      <protection locked="0"/>
    </xf>
    <xf numFmtId="0" fontId="18" fillId="0" borderId="0" xfId="0" applyNumberFormat="1" applyFont="1" applyProtection="1">
      <protection locked="0"/>
    </xf>
    <xf numFmtId="42" fontId="15" fillId="0" borderId="0" xfId="0" applyNumberFormat="1" applyFont="1"/>
    <xf numFmtId="3" fontId="15" fillId="0" borderId="0" xfId="0" applyNumberFormat="1" applyFont="1" applyFill="1" applyAlignment="1"/>
    <xf numFmtId="3" fontId="15" fillId="0" borderId="0" xfId="0" applyNumberFormat="1" applyFont="1" applyFill="1" applyBorder="1"/>
    <xf numFmtId="173" fontId="15" fillId="0" borderId="0" xfId="0" applyNumberFormat="1" applyFont="1" applyAlignment="1" applyProtection="1">
      <protection locked="0"/>
    </xf>
    <xf numFmtId="0" fontId="15" fillId="0" borderId="1" xfId="0" applyNumberFormat="1" applyFont="1" applyBorder="1" applyAlignment="1" applyProtection="1">
      <alignment horizontal="center"/>
      <protection locked="0"/>
    </xf>
    <xf numFmtId="170" fontId="15" fillId="0" borderId="0" xfId="0" applyNumberFormat="1" applyFont="1" applyFill="1" applyBorder="1" applyProtection="1"/>
    <xf numFmtId="1" fontId="15" fillId="0" borderId="0" xfId="0" applyNumberFormat="1" applyFont="1" applyFill="1" applyProtection="1"/>
    <xf numFmtId="1" fontId="15" fillId="0" borderId="0" xfId="0" applyNumberFormat="1" applyFont="1" applyFill="1" applyAlignment="1" applyProtection="1"/>
    <xf numFmtId="3" fontId="15" fillId="0" borderId="1" xfId="0" applyNumberFormat="1" applyFont="1" applyBorder="1" applyAlignment="1"/>
    <xf numFmtId="3" fontId="15" fillId="0" borderId="1" xfId="0" applyNumberFormat="1" applyFont="1" applyBorder="1" applyAlignment="1">
      <alignment horizontal="center"/>
    </xf>
    <xf numFmtId="172" fontId="15" fillId="0" borderId="0" xfId="0" applyNumberFormat="1" applyFont="1" applyProtection="1">
      <protection locked="0"/>
    </xf>
    <xf numFmtId="3" fontId="15" fillId="0" borderId="0" xfId="0" applyNumberFormat="1" applyFont="1" applyBorder="1" applyAlignment="1">
      <alignment horizontal="center"/>
    </xf>
    <xf numFmtId="10" fontId="15" fillId="0" borderId="0" xfId="0" applyNumberFormat="1" applyFont="1" applyAlignment="1">
      <alignment horizontal="left"/>
    </xf>
    <xf numFmtId="0" fontId="15" fillId="0" borderId="1" xfId="0" applyNumberFormat="1" applyFont="1" applyBorder="1" applyAlignment="1" applyProtection="1">
      <alignment horizontal="centerContinuous"/>
      <protection locked="0"/>
    </xf>
    <xf numFmtId="42" fontId="15" fillId="0" borderId="2" xfId="0" applyNumberFormat="1" applyFont="1" applyBorder="1" applyAlignment="1" applyProtection="1">
      <alignment horizontal="right"/>
      <protection locked="0"/>
    </xf>
    <xf numFmtId="0" fontId="17" fillId="0" borderId="0" xfId="0" applyNumberFormat="1" applyFont="1" applyProtection="1">
      <protection locked="0"/>
    </xf>
    <xf numFmtId="0" fontId="15" fillId="0" borderId="1" xfId="0" applyNumberFormat="1" applyFont="1" applyBorder="1" applyProtection="1">
      <protection locked="0"/>
    </xf>
    <xf numFmtId="0" fontId="15" fillId="0" borderId="1" xfId="0" applyNumberFormat="1" applyFont="1" applyBorder="1"/>
    <xf numFmtId="0" fontId="15" fillId="0" borderId="1" xfId="0" applyNumberFormat="1" applyFont="1" applyBorder="1" applyAlignment="1"/>
    <xf numFmtId="9" fontId="15" fillId="0" borderId="0" xfId="0" applyNumberFormat="1" applyFont="1" applyAlignment="1"/>
    <xf numFmtId="173" fontId="15" fillId="0" borderId="1" xfId="0" applyFont="1" applyBorder="1" applyAlignment="1"/>
    <xf numFmtId="168" fontId="15" fillId="0" borderId="0" xfId="0" applyNumberFormat="1" applyFont="1" applyProtection="1">
      <protection locked="0"/>
    </xf>
    <xf numFmtId="0" fontId="15" fillId="0" borderId="0" xfId="0" applyNumberFormat="1" applyFont="1" applyBorder="1" applyAlignment="1" applyProtection="1">
      <alignment horizontal="center"/>
      <protection locked="0"/>
    </xf>
    <xf numFmtId="38" fontId="15" fillId="0" borderId="0" xfId="0" applyNumberFormat="1" applyFont="1" applyFill="1" applyBorder="1" applyProtection="1"/>
    <xf numFmtId="0" fontId="15" fillId="0" borderId="0" xfId="0" applyNumberFormat="1" applyFont="1" applyFill="1" applyProtection="1">
      <protection locked="0"/>
    </xf>
    <xf numFmtId="169" fontId="15" fillId="0" borderId="1" xfId="0" applyNumberFormat="1" applyFont="1" applyBorder="1" applyAlignment="1"/>
    <xf numFmtId="165" fontId="15" fillId="0" borderId="0" xfId="0" applyNumberFormat="1" applyFont="1" applyFill="1" applyAlignment="1">
      <alignment horizontal="right"/>
    </xf>
    <xf numFmtId="171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/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173" fontId="15" fillId="0" borderId="0" xfId="0" applyFont="1" applyFill="1" applyAlignment="1"/>
    <xf numFmtId="0" fontId="15" fillId="0" borderId="1" xfId="0" applyNumberFormat="1" applyFont="1" applyFill="1" applyBorder="1"/>
    <xf numFmtId="3" fontId="15" fillId="0" borderId="1" xfId="0" applyNumberFormat="1" applyFont="1" applyFill="1" applyBorder="1" applyAlignment="1"/>
    <xf numFmtId="3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/>
    <xf numFmtId="49" fontId="15" fillId="0" borderId="0" xfId="0" applyNumberFormat="1" applyFont="1" applyFill="1" applyAlignment="1"/>
    <xf numFmtId="49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165" fontId="15" fillId="0" borderId="0" xfId="0" applyNumberFormat="1" applyFont="1" applyFill="1"/>
    <xf numFmtId="166" fontId="15" fillId="0" borderId="0" xfId="0" applyNumberFormat="1" applyFont="1" applyFill="1"/>
    <xf numFmtId="0" fontId="15" fillId="0" borderId="0" xfId="0" applyNumberFormat="1" applyFont="1" applyAlignment="1">
      <alignment horizontal="right"/>
    </xf>
    <xf numFmtId="173" fontId="0" fillId="0" borderId="0" xfId="0" applyAlignment="1">
      <alignment horizontal="center"/>
    </xf>
    <xf numFmtId="170" fontId="18" fillId="0" borderId="0" xfId="0" applyNumberFormat="1" applyFont="1" applyFill="1" applyBorder="1" applyProtection="1"/>
    <xf numFmtId="173" fontId="24" fillId="0" borderId="0" xfId="0" applyFont="1" applyAlignment="1"/>
    <xf numFmtId="165" fontId="31" fillId="0" borderId="0" xfId="0" applyNumberFormat="1" applyFont="1" applyFill="1" applyAlignment="1">
      <alignment horizontal="right"/>
    </xf>
    <xf numFmtId="166" fontId="31" fillId="0" borderId="0" xfId="0" applyNumberFormat="1" applyFont="1" applyFill="1" applyAlignment="1">
      <alignment horizontal="right"/>
    </xf>
    <xf numFmtId="4" fontId="31" fillId="0" borderId="0" xfId="0" applyNumberFormat="1" applyFont="1" applyAlignment="1"/>
    <xf numFmtId="42" fontId="15" fillId="0" borderId="0" xfId="0" applyNumberFormat="1" applyFont="1" applyFill="1" applyAlignment="1"/>
    <xf numFmtId="0" fontId="24" fillId="0" borderId="0" xfId="8" applyFont="1"/>
    <xf numFmtId="0" fontId="29" fillId="0" borderId="0" xfId="10"/>
    <xf numFmtId="0" fontId="34" fillId="0" borderId="0" xfId="10" applyFont="1" applyAlignment="1">
      <alignment horizontal="center"/>
    </xf>
    <xf numFmtId="0" fontId="35" fillId="0" borderId="0" xfId="10" applyFont="1" applyAlignment="1">
      <alignment horizontal="center"/>
    </xf>
    <xf numFmtId="41" fontId="29" fillId="0" borderId="0" xfId="1" applyNumberFormat="1"/>
    <xf numFmtId="41" fontId="27" fillId="0" borderId="0" xfId="1" applyNumberFormat="1" applyFont="1" applyAlignment="1">
      <alignment vertical="center"/>
    </xf>
    <xf numFmtId="0" fontId="31" fillId="0" borderId="0" xfId="0" applyNumberFormat="1" applyFont="1" applyAlignment="1" applyProtection="1">
      <alignment horizontal="right"/>
      <protection locked="0"/>
    </xf>
    <xf numFmtId="0" fontId="15" fillId="0" borderId="0" xfId="0" applyNumberFormat="1" applyFont="1" applyAlignment="1" applyProtection="1">
      <alignment horizontal="right"/>
      <protection locked="0"/>
    </xf>
    <xf numFmtId="0" fontId="24" fillId="0" borderId="0" xfId="0" applyNumberFormat="1" applyFont="1" applyAlignment="1" applyProtection="1">
      <alignment horizontal="right"/>
      <protection locked="0"/>
    </xf>
    <xf numFmtId="3" fontId="15" fillId="0" borderId="0" xfId="0" applyNumberFormat="1" applyFont="1" applyBorder="1" applyAlignment="1"/>
    <xf numFmtId="41" fontId="24" fillId="0" borderId="0" xfId="8" applyNumberFormat="1" applyFont="1"/>
    <xf numFmtId="0" fontId="33" fillId="0" borderId="0" xfId="10" applyFont="1" applyAlignment="1">
      <alignment horizontal="centerContinuous"/>
    </xf>
    <xf numFmtId="0" fontId="25" fillId="0" borderId="0" xfId="10" applyFont="1" applyAlignment="1">
      <alignment horizontal="centerContinuous"/>
    </xf>
    <xf numFmtId="173" fontId="24" fillId="0" borderId="0" xfId="0" applyFont="1" applyFill="1" applyBorder="1" applyAlignment="1"/>
    <xf numFmtId="0" fontId="29" fillId="0" borderId="0" xfId="6"/>
    <xf numFmtId="0" fontId="29" fillId="0" borderId="0" xfId="7"/>
    <xf numFmtId="173" fontId="24" fillId="0" borderId="0" xfId="0" applyFont="1" applyAlignment="1">
      <alignment horizontal="centerContinuous"/>
    </xf>
    <xf numFmtId="173" fontId="24" fillId="0" borderId="0" xfId="0" applyFont="1"/>
    <xf numFmtId="173" fontId="24" fillId="0" borderId="0" xfId="0" quotePrefix="1" applyFont="1"/>
    <xf numFmtId="7" fontId="24" fillId="0" borderId="0" xfId="0" applyNumberFormat="1" applyFont="1"/>
    <xf numFmtId="173" fontId="15" fillId="0" borderId="0" xfId="0" applyFont="1"/>
    <xf numFmtId="173" fontId="15" fillId="0" borderId="0" xfId="0" applyFont="1" applyFill="1" applyBorder="1" applyAlignment="1"/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"/>
    </xf>
    <xf numFmtId="173" fontId="12" fillId="0" borderId="0" xfId="0" applyFont="1" applyFill="1" applyBorder="1" applyAlignment="1"/>
    <xf numFmtId="0" fontId="15" fillId="0" borderId="0" xfId="0" applyNumberFormat="1" applyFont="1" applyFill="1" applyBorder="1"/>
    <xf numFmtId="3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 applyProtection="1">
      <protection locked="0"/>
    </xf>
    <xf numFmtId="173" fontId="15" fillId="0" borderId="0" xfId="0" applyFont="1" applyFill="1" applyBorder="1" applyAlignment="1">
      <alignment horizontal="center"/>
    </xf>
    <xf numFmtId="41" fontId="30" fillId="0" borderId="0" xfId="7" applyNumberFormat="1" applyFont="1"/>
    <xf numFmtId="42" fontId="15" fillId="2" borderId="0" xfId="0" applyNumberFormat="1" applyFont="1" applyFill="1" applyBorder="1" applyProtection="1"/>
    <xf numFmtId="173" fontId="17" fillId="0" borderId="0" xfId="0" applyFont="1" applyAlignment="1">
      <alignment horizontal="centerContinuous"/>
    </xf>
    <xf numFmtId="173" fontId="15" fillId="0" borderId="0" xfId="0" applyFont="1" applyAlignment="1">
      <alignment horizontal="centerContinuous"/>
    </xf>
    <xf numFmtId="0" fontId="15" fillId="0" borderId="0" xfId="7" applyFont="1"/>
    <xf numFmtId="0" fontId="17" fillId="0" borderId="0" xfId="5" applyFont="1" applyBorder="1" applyAlignment="1">
      <alignment horizontal="center"/>
    </xf>
    <xf numFmtId="0" fontId="38" fillId="0" borderId="0" xfId="5" applyFont="1" applyAlignment="1">
      <alignment horizontal="centerContinuous"/>
    </xf>
    <xf numFmtId="0" fontId="15" fillId="0" borderId="0" xfId="5" applyFont="1" applyAlignment="1">
      <alignment horizontal="centerContinuous"/>
    </xf>
    <xf numFmtId="0" fontId="38" fillId="0" borderId="0" xfId="7" applyFont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7" applyFont="1" applyAlignment="1">
      <alignment horizontal="left"/>
    </xf>
    <xf numFmtId="41" fontId="49" fillId="0" borderId="0" xfId="6" applyNumberFormat="1" applyFont="1" applyFill="1"/>
    <xf numFmtId="0" fontId="15" fillId="0" borderId="0" xfId="7" applyFont="1" applyAlignment="1">
      <alignment horizontal="left" vertical="center"/>
    </xf>
    <xf numFmtId="42" fontId="46" fillId="0" borderId="0" xfId="7" applyNumberFormat="1" applyFont="1" applyAlignment="1">
      <alignment horizontal="left" vertical="center"/>
    </xf>
    <xf numFmtId="173" fontId="40" fillId="0" borderId="0" xfId="0" applyFont="1" applyAlignment="1">
      <alignment horizontal="centerContinuous"/>
    </xf>
    <xf numFmtId="41" fontId="39" fillId="0" borderId="0" xfId="6" applyNumberFormat="1" applyFont="1" applyFill="1"/>
    <xf numFmtId="0" fontId="15" fillId="0" borderId="0" xfId="7" applyFont="1" applyAlignment="1">
      <alignment horizontal="left" vertical="center" indent="1"/>
    </xf>
    <xf numFmtId="0" fontId="15" fillId="0" borderId="0" xfId="7" applyFont="1" applyAlignment="1">
      <alignment horizontal="left" wrapText="1"/>
    </xf>
    <xf numFmtId="0" fontId="15" fillId="0" borderId="0" xfId="6" applyFont="1" applyAlignment="1">
      <alignment horizontal="left" vertical="center"/>
    </xf>
    <xf numFmtId="0" fontId="15" fillId="0" borderId="0" xfId="6" applyFont="1"/>
    <xf numFmtId="41" fontId="31" fillId="0" borderId="0" xfId="7" applyNumberFormat="1" applyFont="1"/>
    <xf numFmtId="42" fontId="46" fillId="0" borderId="0" xfId="7" applyNumberFormat="1" applyFont="1" applyAlignment="1">
      <alignment vertical="center"/>
    </xf>
    <xf numFmtId="0" fontId="24" fillId="0" borderId="0" xfId="8" applyFont="1" applyAlignment="1">
      <alignment horizontal="left"/>
    </xf>
    <xf numFmtId="173" fontId="0" fillId="0" borderId="0" xfId="0" applyFill="1" applyBorder="1" applyAlignment="1"/>
    <xf numFmtId="0" fontId="1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0" fontId="21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15" fillId="0" borderId="0" xfId="0" applyNumberFormat="1" applyFont="1" applyFill="1" applyBorder="1"/>
    <xf numFmtId="49" fontId="15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17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applyNumberFormat="1" applyFont="1" applyFill="1" applyBorder="1" applyAlignment="1"/>
    <xf numFmtId="0" fontId="52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41" fontId="15" fillId="2" borderId="0" xfId="0" applyNumberFormat="1" applyFont="1" applyFill="1" applyBorder="1" applyAlignment="1"/>
    <xf numFmtId="10" fontId="15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17" fillId="0" borderId="0" xfId="0" applyNumberFormat="1" applyFont="1" applyFill="1" applyBorder="1" applyAlignment="1"/>
    <xf numFmtId="3" fontId="2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173" fontId="20" fillId="0" borderId="0" xfId="0" applyFont="1" applyFill="1" applyBorder="1" applyAlignment="1"/>
    <xf numFmtId="3" fontId="17" fillId="0" borderId="0" xfId="0" applyNumberFormat="1" applyFont="1" applyFill="1" applyBorder="1" applyAlignment="1"/>
    <xf numFmtId="10" fontId="17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23" fillId="0" borderId="0" xfId="0" applyFont="1" applyFill="1" applyBorder="1" applyAlignment="1"/>
    <xf numFmtId="164" fontId="15" fillId="0" borderId="0" xfId="0" applyNumberFormat="1" applyFont="1" applyFill="1" applyBorder="1" applyAlignment="1">
      <alignment horizontal="center"/>
    </xf>
    <xf numFmtId="10" fontId="15" fillId="0" borderId="0" xfId="11" applyNumberFormat="1" applyFont="1" applyFill="1" applyBorder="1" applyAlignment="1"/>
    <xf numFmtId="49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173" fontId="15" fillId="0" borderId="0" xfId="0" applyFont="1" applyFill="1" applyBorder="1" applyAlignment="1">
      <alignment horizontal="right"/>
    </xf>
    <xf numFmtId="177" fontId="17" fillId="0" borderId="0" xfId="0" applyNumberFormat="1" applyFont="1" applyFill="1" applyBorder="1" applyAlignment="1">
      <alignment horizontal="center"/>
    </xf>
    <xf numFmtId="173" fontId="20" fillId="0" borderId="15" xfId="0" applyFont="1" applyFill="1" applyBorder="1" applyAlignment="1">
      <alignment horizontal="center" wrapText="1"/>
    </xf>
    <xf numFmtId="173" fontId="20" fillId="0" borderId="16" xfId="0" applyFont="1" applyFill="1" applyBorder="1" applyAlignment="1"/>
    <xf numFmtId="173" fontId="20" fillId="0" borderId="16" xfId="0" applyFont="1" applyFill="1" applyBorder="1" applyAlignment="1">
      <alignment horizontal="center" wrapText="1"/>
    </xf>
    <xf numFmtId="0" fontId="17" fillId="0" borderId="16" xfId="0" applyNumberFormat="1" applyFont="1" applyFill="1" applyBorder="1" applyAlignment="1">
      <alignment horizontal="center" wrapText="1"/>
    </xf>
    <xf numFmtId="173" fontId="20" fillId="0" borderId="14" xfId="0" applyFont="1" applyFill="1" applyBorder="1" applyAlignment="1">
      <alignment horizontal="center" wrapText="1"/>
    </xf>
    <xf numFmtId="3" fontId="17" fillId="0" borderId="14" xfId="0" applyNumberFormat="1" applyFont="1" applyFill="1" applyBorder="1" applyAlignment="1">
      <alignment horizontal="center" wrapText="1"/>
    </xf>
    <xf numFmtId="3" fontId="17" fillId="0" borderId="16" xfId="0" applyNumberFormat="1" applyFont="1" applyFill="1" applyBorder="1" applyAlignment="1">
      <alignment horizontal="center" wrapText="1"/>
    </xf>
    <xf numFmtId="0" fontId="15" fillId="0" borderId="15" xfId="0" applyNumberFormat="1" applyFont="1" applyFill="1" applyBorder="1"/>
    <xf numFmtId="0" fontId="15" fillId="0" borderId="16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0" fontId="15" fillId="0" borderId="14" xfId="0" applyNumberFormat="1" applyFont="1" applyFill="1" applyBorder="1" applyAlignment="1">
      <alignment horizontal="center"/>
    </xf>
    <xf numFmtId="3" fontId="15" fillId="0" borderId="16" xfId="0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 wrapText="1"/>
    </xf>
    <xf numFmtId="0" fontId="15" fillId="0" borderId="3" xfId="0" applyNumberFormat="1" applyFont="1" applyFill="1" applyBorder="1"/>
    <xf numFmtId="0" fontId="15" fillId="0" borderId="17" xfId="0" applyNumberFormat="1" applyFont="1" applyFill="1" applyBorder="1"/>
    <xf numFmtId="3" fontId="15" fillId="0" borderId="17" xfId="0" applyNumberFormat="1" applyFont="1" applyFill="1" applyBorder="1" applyAlignment="1"/>
    <xf numFmtId="173" fontId="0" fillId="0" borderId="3" xfId="0" applyFill="1" applyBorder="1" applyAlignment="1"/>
    <xf numFmtId="175" fontId="0" fillId="2" borderId="0" xfId="12" applyNumberFormat="1" applyFont="1" applyFill="1" applyBorder="1" applyAlignment="1"/>
    <xf numFmtId="173" fontId="0" fillId="0" borderId="17" xfId="0" applyFill="1" applyBorder="1" applyAlignment="1"/>
    <xf numFmtId="170" fontId="0" fillId="2" borderId="0" xfId="0" applyNumberFormat="1" applyFill="1" applyBorder="1" applyAlignment="1"/>
    <xf numFmtId="175" fontId="15" fillId="2" borderId="0" xfId="12" applyNumberFormat="1" applyFont="1" applyFill="1" applyBorder="1" applyAlignment="1"/>
    <xf numFmtId="173" fontId="14" fillId="0" borderId="0" xfId="0" applyFont="1" applyFill="1" applyBorder="1" applyAlignment="1"/>
    <xf numFmtId="173" fontId="14" fillId="0" borderId="17" xfId="0" applyFont="1" applyFill="1" applyBorder="1" applyAlignment="1"/>
    <xf numFmtId="173" fontId="0" fillId="0" borderId="5" xfId="0" applyFill="1" applyBorder="1" applyAlignment="1"/>
    <xf numFmtId="173" fontId="0" fillId="0" borderId="6" xfId="0" applyFill="1" applyBorder="1" applyAlignment="1"/>
    <xf numFmtId="173" fontId="14" fillId="0" borderId="6" xfId="0" applyFont="1" applyFill="1" applyBorder="1" applyAlignment="1"/>
    <xf numFmtId="173" fontId="14" fillId="0" borderId="12" xfId="0" applyFont="1" applyFill="1" applyBorder="1" applyAlignment="1"/>
    <xf numFmtId="1" fontId="15" fillId="0" borderId="0" xfId="13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/>
    <xf numFmtId="173" fontId="15" fillId="0" borderId="1" xfId="0" applyFont="1" applyFill="1" applyBorder="1" applyAlignment="1"/>
    <xf numFmtId="173" fontId="12" fillId="0" borderId="0" xfId="0" applyFont="1" applyFill="1" applyBorder="1" applyAlignment="1">
      <alignment horizontal="center"/>
    </xf>
    <xf numFmtId="173" fontId="12" fillId="0" borderId="0" xfId="0" applyFont="1" applyFill="1" applyBorder="1" applyAlignment="1">
      <alignment horizontal="center" vertical="top"/>
    </xf>
    <xf numFmtId="173" fontId="13" fillId="0" borderId="0" xfId="0" applyFont="1" applyFill="1" applyBorder="1" applyAlignment="1"/>
    <xf numFmtId="49" fontId="13" fillId="0" borderId="0" xfId="0" applyNumberFormat="1" applyFont="1" applyFill="1" applyBorder="1" applyAlignment="1">
      <alignment horizontal="center"/>
    </xf>
    <xf numFmtId="0" fontId="24" fillId="0" borderId="0" xfId="10" applyFont="1" applyAlignment="1">
      <alignment horizontal="left" indent="1"/>
    </xf>
    <xf numFmtId="173" fontId="24" fillId="0" borderId="0" xfId="0" applyFont="1" applyFill="1"/>
    <xf numFmtId="42" fontId="15" fillId="0" borderId="0" xfId="0" applyNumberFormat="1" applyFont="1" applyAlignment="1">
      <alignment horizontal="center"/>
    </xf>
    <xf numFmtId="169" fontId="17" fillId="2" borderId="0" xfId="0" applyNumberFormat="1" applyFont="1" applyFill="1" applyAlignment="1"/>
    <xf numFmtId="0" fontId="48" fillId="0" borderId="0" xfId="7" applyFont="1"/>
    <xf numFmtId="0" fontId="17" fillId="0" borderId="0" xfId="7" applyFont="1" applyBorder="1" applyAlignment="1">
      <alignment horizontal="center"/>
    </xf>
    <xf numFmtId="0" fontId="38" fillId="0" borderId="0" xfId="5" applyFont="1" applyFill="1" applyAlignment="1">
      <alignment horizontal="centerContinuous"/>
    </xf>
    <xf numFmtId="0" fontId="38" fillId="0" borderId="0" xfId="7" applyFont="1" applyFill="1" applyAlignment="1">
      <alignment horizontal="center"/>
    </xf>
    <xf numFmtId="42" fontId="15" fillId="0" borderId="0" xfId="7" applyNumberFormat="1" applyFont="1" applyFill="1"/>
    <xf numFmtId="0" fontId="15" fillId="0" borderId="0" xfId="7" applyFont="1" applyFill="1"/>
    <xf numFmtId="42" fontId="46" fillId="0" borderId="0" xfId="7" applyNumberFormat="1" applyFont="1" applyFill="1" applyAlignment="1">
      <alignment vertical="center"/>
    </xf>
    <xf numFmtId="0" fontId="15" fillId="0" borderId="0" xfId="0" applyNumberFormat="1" applyFont="1" applyFill="1" applyBorder="1" applyAlignment="1" applyProtection="1">
      <alignment horizontal="centerContinuous"/>
      <protection locked="0"/>
    </xf>
    <xf numFmtId="3" fontId="15" fillId="0" borderId="0" xfId="0" applyNumberFormat="1" applyFont="1" applyFill="1" applyBorder="1" applyAlignment="1">
      <alignment horizontal="centerContinuous"/>
    </xf>
    <xf numFmtId="0" fontId="15" fillId="0" borderId="0" xfId="0" applyNumberFormat="1" applyFont="1" applyFill="1" applyBorder="1" applyAlignment="1">
      <alignment horizontal="centerContinuous"/>
    </xf>
    <xf numFmtId="173" fontId="15" fillId="0" borderId="0" xfId="0" applyFont="1" applyFill="1" applyBorder="1" applyAlignment="1">
      <alignment horizontal="centerContinuous"/>
    </xf>
    <xf numFmtId="37" fontId="15" fillId="0" borderId="0" xfId="0" applyNumberFormat="1" applyFont="1" applyFill="1" applyAlignment="1"/>
    <xf numFmtId="37" fontId="15" fillId="0" borderId="1" xfId="0" applyNumberFormat="1" applyFont="1" applyFill="1" applyBorder="1" applyAlignment="1"/>
    <xf numFmtId="37" fontId="15" fillId="0" borderId="0" xfId="0" applyNumberFormat="1" applyFont="1" applyAlignment="1"/>
    <xf numFmtId="37" fontId="15" fillId="0" borderId="1" xfId="0" applyNumberFormat="1" applyFont="1" applyBorder="1" applyAlignment="1"/>
    <xf numFmtId="37" fontId="31" fillId="0" borderId="0" xfId="0" applyNumberFormat="1" applyFont="1" applyAlignment="1"/>
    <xf numFmtId="37" fontId="15" fillId="0" borderId="0" xfId="0" applyNumberFormat="1" applyFont="1" applyBorder="1" applyAlignment="1"/>
    <xf numFmtId="37" fontId="15" fillId="0" borderId="0" xfId="0" applyNumberFormat="1" applyFont="1" applyFill="1"/>
    <xf numFmtId="37" fontId="15" fillId="0" borderId="0" xfId="0" applyNumberFormat="1" applyFont="1"/>
    <xf numFmtId="37" fontId="31" fillId="2" borderId="0" xfId="0" applyNumberFormat="1" applyFont="1" applyFill="1" applyAlignment="1"/>
    <xf numFmtId="37" fontId="15" fillId="2" borderId="1" xfId="0" applyNumberFormat="1" applyFont="1" applyFill="1" applyBorder="1" applyAlignment="1"/>
    <xf numFmtId="0" fontId="15" fillId="0" borderId="0" xfId="0" applyNumberFormat="1" applyFont="1" applyFill="1" applyAlignment="1" applyProtection="1">
      <alignment horizontal="center"/>
      <protection locked="0"/>
    </xf>
    <xf numFmtId="173" fontId="15" fillId="0" borderId="0" xfId="0" applyFont="1" applyBorder="1" applyAlignment="1"/>
    <xf numFmtId="0" fontId="15" fillId="0" borderId="0" xfId="0" applyNumberFormat="1" applyFont="1" applyBorder="1" applyAlignment="1"/>
    <xf numFmtId="173" fontId="22" fillId="0" borderId="0" xfId="0" applyFont="1" applyBorder="1"/>
    <xf numFmtId="173" fontId="22" fillId="0" borderId="0" xfId="0" applyFont="1" applyBorder="1" applyAlignment="1">
      <alignment horizontal="left" wrapText="1"/>
    </xf>
    <xf numFmtId="173" fontId="15" fillId="0" borderId="0" xfId="0" applyFont="1" applyFill="1" applyAlignment="1" applyProtection="1"/>
    <xf numFmtId="38" fontId="15" fillId="0" borderId="0" xfId="0" applyNumberFormat="1" applyFont="1" applyAlignment="1" applyProtection="1"/>
    <xf numFmtId="38" fontId="15" fillId="0" borderId="0" xfId="0" applyNumberFormat="1" applyFont="1" applyAlignment="1"/>
    <xf numFmtId="3" fontId="15" fillId="0" borderId="0" xfId="0" applyNumberFormat="1" applyFont="1" applyFill="1" applyAlignment="1" applyProtection="1"/>
    <xf numFmtId="170" fontId="15" fillId="0" borderId="0" xfId="0" applyNumberFormat="1" applyFont="1" applyProtection="1">
      <protection locked="0"/>
    </xf>
    <xf numFmtId="0" fontId="43" fillId="0" borderId="0" xfId="0" applyNumberFormat="1" applyFont="1" applyProtection="1">
      <protection locked="0"/>
    </xf>
    <xf numFmtId="0" fontId="43" fillId="0" borderId="0" xfId="0" applyNumberFormat="1" applyFont="1" applyFill="1" applyProtection="1">
      <protection locked="0"/>
    </xf>
    <xf numFmtId="173" fontId="54" fillId="0" borderId="0" xfId="0" applyFont="1" applyAlignment="1"/>
    <xf numFmtId="10" fontId="15" fillId="0" borderId="0" xfId="0" applyNumberFormat="1" applyFont="1" applyFill="1"/>
    <xf numFmtId="0" fontId="24" fillId="0" borderId="0" xfId="0" applyNumberFormat="1" applyFont="1" applyFill="1"/>
    <xf numFmtId="0" fontId="24" fillId="0" borderId="0" xfId="0" applyNumberFormat="1" applyFont="1"/>
    <xf numFmtId="37" fontId="15" fillId="0" borderId="0" xfId="0" applyNumberFormat="1" applyFont="1" applyFill="1" applyBorder="1" applyProtection="1"/>
    <xf numFmtId="175" fontId="47" fillId="2" borderId="0" xfId="12" applyNumberFormat="1" applyFont="1" applyFill="1" applyBorder="1" applyAlignment="1"/>
    <xf numFmtId="0" fontId="24" fillId="0" borderId="0" xfId="8" applyFont="1" applyAlignment="1">
      <alignment horizontal="right"/>
    </xf>
    <xf numFmtId="0" fontId="55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10" fontId="26" fillId="0" borderId="0" xfId="11" applyNumberFormat="1" applyFont="1" applyBorder="1"/>
    <xf numFmtId="0" fontId="24" fillId="0" borderId="0" xfId="8" applyFont="1" applyBorder="1"/>
    <xf numFmtId="41" fontId="24" fillId="0" borderId="0" xfId="13" applyNumberFormat="1" applyFont="1" applyBorder="1"/>
    <xf numFmtId="41" fontId="24" fillId="0" borderId="0" xfId="8" applyNumberFormat="1" applyFont="1" applyBorder="1"/>
    <xf numFmtId="0" fontId="24" fillId="0" borderId="0" xfId="8" applyFont="1" applyFill="1" applyBorder="1"/>
    <xf numFmtId="0" fontId="24" fillId="0" borderId="0" xfId="8" applyFont="1" applyFill="1" applyBorder="1" applyAlignment="1">
      <alignment horizontal="left"/>
    </xf>
    <xf numFmtId="0" fontId="26" fillId="0" borderId="0" xfId="8" applyFont="1" applyFill="1" applyBorder="1" applyAlignment="1">
      <alignment horizontal="center"/>
    </xf>
    <xf numFmtId="41" fontId="24" fillId="0" borderId="0" xfId="8" applyNumberFormat="1" applyFont="1" applyFill="1" applyBorder="1"/>
    <xf numFmtId="41" fontId="26" fillId="0" borderId="0" xfId="8" applyNumberFormat="1" applyFont="1" applyFill="1" applyBorder="1"/>
    <xf numFmtId="41" fontId="36" fillId="0" borderId="0" xfId="8" applyNumberFormat="1" applyFont="1" applyFill="1" applyBorder="1" applyAlignment="1">
      <alignment vertical="center"/>
    </xf>
    <xf numFmtId="0" fontId="24" fillId="0" borderId="0" xfId="8" applyFont="1" applyFill="1" applyBorder="1" applyAlignment="1">
      <alignment horizontal="center"/>
    </xf>
    <xf numFmtId="37" fontId="24" fillId="0" borderId="0" xfId="8" applyNumberFormat="1" applyFont="1" applyFill="1" applyBorder="1"/>
    <xf numFmtId="41" fontId="24" fillId="0" borderId="0" xfId="13" applyNumberFormat="1" applyFont="1" applyFill="1" applyBorder="1"/>
    <xf numFmtId="0" fontId="19" fillId="0" borderId="0" xfId="15" applyFont="1" applyFill="1"/>
    <xf numFmtId="15" fontId="19" fillId="0" borderId="0" xfId="15" applyNumberFormat="1" applyFont="1" applyFill="1" applyAlignment="1">
      <alignment horizontal="center"/>
    </xf>
    <xf numFmtId="0" fontId="41" fillId="0" borderId="0" xfId="15" applyFont="1" applyFill="1"/>
    <xf numFmtId="0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3" fontId="15" fillId="0" borderId="0" xfId="0" applyNumberFormat="1" applyFont="1" applyAlignment="1">
      <alignment horizontal="centerContinuous"/>
    </xf>
    <xf numFmtId="0" fontId="15" fillId="0" borderId="0" xfId="0" applyNumberFormat="1" applyFont="1" applyAlignment="1">
      <alignment horizontal="centerContinuous"/>
    </xf>
    <xf numFmtId="49" fontId="32" fillId="0" borderId="0" xfId="0" applyNumberFormat="1" applyFont="1" applyFill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173" fontId="48" fillId="0" borderId="0" xfId="0" applyFont="1" applyFill="1" applyAlignment="1">
      <alignment horizontal="centerContinuous"/>
    </xf>
    <xf numFmtId="173" fontId="15" fillId="0" borderId="0" xfId="0" applyFont="1" applyFill="1" applyAlignment="1">
      <alignment horizontal="centerContinuous"/>
    </xf>
    <xf numFmtId="3" fontId="15" fillId="0" borderId="0" xfId="0" applyNumberFormat="1" applyFont="1" applyFill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173" fontId="15" fillId="0" borderId="0" xfId="0" applyFont="1" applyFill="1" applyBorder="1" applyAlignment="1">
      <alignment horizontal="left"/>
    </xf>
    <xf numFmtId="173" fontId="0" fillId="0" borderId="0" xfId="0" applyFill="1" applyBorder="1" applyAlignment="1">
      <alignment horizontal="centerContinuous"/>
    </xf>
    <xf numFmtId="0" fontId="17" fillId="0" borderId="0" xfId="0" applyNumberFormat="1" applyFont="1" applyFill="1" applyBorder="1" applyAlignment="1">
      <alignment horizontal="centerContinuous"/>
    </xf>
    <xf numFmtId="49" fontId="48" fillId="0" borderId="0" xfId="0" applyNumberFormat="1" applyFont="1" applyFill="1" applyBorder="1" applyAlignment="1">
      <alignment horizontal="centerContinuous"/>
    </xf>
    <xf numFmtId="49" fontId="15" fillId="0" borderId="0" xfId="0" applyNumberFormat="1" applyFont="1" applyFill="1" applyBorder="1" applyAlignment="1">
      <alignment horizontal="centerContinuous"/>
    </xf>
    <xf numFmtId="37" fontId="48" fillId="4" borderId="0" xfId="0" applyNumberFormat="1" applyFont="1" applyFill="1" applyAlignment="1"/>
    <xf numFmtId="0" fontId="24" fillId="0" borderId="0" xfId="10" applyFont="1"/>
    <xf numFmtId="0" fontId="15" fillId="0" borderId="0" xfId="0" applyNumberFormat="1" applyFont="1" applyBorder="1"/>
    <xf numFmtId="0" fontId="110" fillId="0" borderId="0" xfId="0" applyNumberFormat="1" applyFont="1" applyBorder="1" applyAlignment="1" applyProtection="1">
      <alignment horizontal="center"/>
      <protection locked="0"/>
    </xf>
    <xf numFmtId="0" fontId="16" fillId="0" borderId="0" xfId="0" applyNumberFormat="1" applyFont="1" applyAlignment="1"/>
    <xf numFmtId="173" fontId="110" fillId="0" borderId="0" xfId="0" applyFont="1" applyAlignment="1"/>
    <xf numFmtId="0" fontId="111" fillId="0" borderId="0" xfId="0" applyNumberFormat="1" applyFont="1" applyAlignment="1" applyProtection="1">
      <alignment horizontal="center"/>
      <protection locked="0"/>
    </xf>
    <xf numFmtId="173" fontId="110" fillId="0" borderId="0" xfId="0" applyFont="1" applyAlignment="1">
      <alignment horizontal="centerContinuous"/>
    </xf>
    <xf numFmtId="0" fontId="110" fillId="0" borderId="0" xfId="0" applyNumberFormat="1" applyFont="1" applyAlignment="1"/>
    <xf numFmtId="0" fontId="15" fillId="0" borderId="0" xfId="0" applyNumberFormat="1" applyFont="1" applyFill="1" applyAlignment="1" applyProtection="1">
      <alignment horizontal="right"/>
      <protection locked="0"/>
    </xf>
    <xf numFmtId="173" fontId="110" fillId="0" borderId="0" xfId="0" applyFont="1" applyBorder="1" applyAlignment="1"/>
    <xf numFmtId="0" fontId="110" fillId="0" borderId="0" xfId="0" applyNumberFormat="1" applyFont="1" applyBorder="1"/>
    <xf numFmtId="0" fontId="110" fillId="0" borderId="0" xfId="0" applyNumberFormat="1" applyFont="1" applyBorder="1" applyAlignment="1"/>
    <xf numFmtId="0" fontId="16" fillId="0" borderId="0" xfId="0" applyNumberFormat="1" applyFont="1" applyBorder="1" applyAlignment="1" applyProtection="1">
      <alignment horizontal="center"/>
      <protection locked="0"/>
    </xf>
    <xf numFmtId="173" fontId="16" fillId="0" borderId="0" xfId="0" applyFont="1" applyBorder="1" applyAlignment="1">
      <alignment horizontal="center"/>
    </xf>
    <xf numFmtId="3" fontId="16" fillId="0" borderId="0" xfId="0" applyNumberFormat="1" applyFont="1" applyBorder="1" applyAlignment="1"/>
    <xf numFmtId="0" fontId="16" fillId="0" borderId="0" xfId="0" applyNumberFormat="1" applyFont="1" applyBorder="1" applyAlignment="1" applyProtection="1">
      <alignment horizontal="centerContinuous"/>
      <protection locked="0"/>
    </xf>
    <xf numFmtId="173" fontId="110" fillId="0" borderId="0" xfId="0" applyFont="1" applyBorder="1" applyAlignment="1">
      <alignment horizontal="centerContinuous"/>
    </xf>
    <xf numFmtId="0" fontId="48" fillId="0" borderId="0" xfId="0" applyNumberFormat="1" applyFont="1" applyFill="1" applyAlignment="1" applyProtection="1">
      <alignment horizontal="centerContinuous"/>
      <protection locked="0"/>
    </xf>
    <xf numFmtId="0" fontId="24" fillId="0" borderId="0" xfId="6" applyFont="1"/>
    <xf numFmtId="10" fontId="36" fillId="0" borderId="0" xfId="8" applyNumberFormat="1" applyFont="1" applyFill="1" applyBorder="1" applyAlignment="1">
      <alignment vertical="center"/>
    </xf>
    <xf numFmtId="173" fontId="15" fillId="0" borderId="0" xfId="325" applyFont="1" applyAlignment="1"/>
    <xf numFmtId="173" fontId="12" fillId="0" borderId="0" xfId="325" applyFont="1" applyAlignment="1"/>
    <xf numFmtId="173" fontId="15" fillId="0" borderId="0" xfId="325" applyFont="1" applyFill="1" applyAlignment="1"/>
    <xf numFmtId="173" fontId="12" fillId="0" borderId="0" xfId="325" applyFont="1" applyFill="1" applyAlignment="1"/>
    <xf numFmtId="0" fontId="15" fillId="0" borderId="0" xfId="325" applyNumberFormat="1" applyFont="1" applyFill="1"/>
    <xf numFmtId="0" fontId="12" fillId="0" borderId="0" xfId="325" applyNumberFormat="1" applyFont="1" applyFill="1"/>
    <xf numFmtId="0" fontId="112" fillId="0" borderId="0" xfId="326"/>
    <xf numFmtId="0" fontId="15" fillId="0" borderId="0" xfId="325" applyNumberFormat="1" applyFont="1" applyFill="1" applyProtection="1">
      <protection locked="0"/>
    </xf>
    <xf numFmtId="0" fontId="12" fillId="0" borderId="0" xfId="325" applyNumberFormat="1" applyFont="1" applyFill="1" applyProtection="1">
      <protection locked="0"/>
    </xf>
    <xf numFmtId="0" fontId="15" fillId="0" borderId="0" xfId="326" applyFont="1"/>
    <xf numFmtId="173" fontId="15" fillId="0" borderId="0" xfId="325" applyFont="1" applyAlignment="1" applyProtection="1">
      <protection locked="0"/>
    </xf>
    <xf numFmtId="0" fontId="15" fillId="0" borderId="0" xfId="326" applyNumberFormat="1" applyFont="1" applyFill="1"/>
    <xf numFmtId="0" fontId="15" fillId="0" borderId="0" xfId="326" applyFont="1" applyFill="1"/>
    <xf numFmtId="0" fontId="12" fillId="0" borderId="0" xfId="325" applyNumberFormat="1" applyFont="1" applyFill="1" applyAlignment="1" applyProtection="1">
      <alignment horizontal="center"/>
      <protection locked="0"/>
    </xf>
    <xf numFmtId="274" fontId="15" fillId="0" borderId="0" xfId="325" applyNumberFormat="1" applyFont="1" applyAlignment="1"/>
    <xf numFmtId="0" fontId="15" fillId="0" borderId="0" xfId="326" quotePrefix="1" applyFont="1"/>
    <xf numFmtId="0" fontId="15" fillId="0" borderId="0" xfId="326" applyFont="1" applyAlignment="1">
      <alignment horizontal="center"/>
    </xf>
    <xf numFmtId="0" fontId="15" fillId="0" borderId="0" xfId="325" applyNumberFormat="1" applyFont="1" applyProtection="1">
      <protection locked="0"/>
    </xf>
    <xf numFmtId="43" fontId="15" fillId="0" borderId="0" xfId="89" applyFont="1" applyAlignment="1"/>
    <xf numFmtId="1" fontId="15" fillId="0" borderId="0" xfId="325" applyNumberFormat="1" applyFont="1" applyAlignment="1" applyProtection="1">
      <alignment horizontal="center"/>
      <protection locked="0"/>
    </xf>
    <xf numFmtId="0" fontId="15" fillId="0" borderId="0" xfId="325" applyNumberFormat="1" applyFont="1" applyAlignment="1" applyProtection="1">
      <alignment horizontal="center"/>
      <protection locked="0"/>
    </xf>
    <xf numFmtId="0" fontId="12" fillId="0" borderId="0" xfId="325" applyNumberFormat="1" applyFont="1" applyAlignment="1" applyProtection="1">
      <alignment horizontal="center"/>
      <protection locked="0"/>
    </xf>
    <xf numFmtId="0" fontId="15" fillId="0" borderId="0" xfId="325" applyNumberFormat="1" applyFont="1" applyBorder="1" applyAlignment="1" applyProtection="1">
      <alignment horizontal="center"/>
      <protection locked="0"/>
    </xf>
    <xf numFmtId="173" fontId="17" fillId="0" borderId="0" xfId="325" applyFont="1" applyAlignment="1">
      <alignment horizontal="center"/>
    </xf>
    <xf numFmtId="170" fontId="15" fillId="0" borderId="0" xfId="325" applyNumberFormat="1" applyFont="1" applyFill="1" applyBorder="1" applyAlignment="1" applyProtection="1">
      <protection locked="0"/>
    </xf>
    <xf numFmtId="0" fontId="15" fillId="0" borderId="0" xfId="325" applyNumberFormat="1" applyFont="1" applyFill="1" applyBorder="1" applyProtection="1">
      <protection locked="0"/>
    </xf>
    <xf numFmtId="0" fontId="15" fillId="0" borderId="0" xfId="326" applyNumberFormat="1" applyFont="1"/>
    <xf numFmtId="42" fontId="15" fillId="0" borderId="0" xfId="325" applyNumberFormat="1" applyFont="1" applyFill="1" applyBorder="1" applyAlignment="1" applyProtection="1">
      <protection locked="0"/>
    </xf>
    <xf numFmtId="42" fontId="15" fillId="0" borderId="0" xfId="325" applyNumberFormat="1" applyFont="1" applyFill="1" applyBorder="1" applyProtection="1">
      <protection locked="0"/>
    </xf>
    <xf numFmtId="42" fontId="15" fillId="0" borderId="22" xfId="325" applyNumberFormat="1" applyFont="1" applyFill="1" applyBorder="1" applyAlignment="1" applyProtection="1">
      <protection locked="0"/>
    </xf>
    <xf numFmtId="1" fontId="15" fillId="0" borderId="20" xfId="325" applyNumberFormat="1" applyFont="1" applyBorder="1" applyAlignment="1" applyProtection="1">
      <alignment horizontal="center"/>
      <protection locked="0"/>
    </xf>
    <xf numFmtId="0" fontId="15" fillId="0" borderId="20" xfId="325" applyNumberFormat="1" applyFont="1" applyBorder="1" applyProtection="1">
      <protection locked="0"/>
    </xf>
    <xf numFmtId="0" fontId="15" fillId="0" borderId="23" xfId="326" applyNumberFormat="1" applyFont="1" applyBorder="1"/>
    <xf numFmtId="42" fontId="15" fillId="0" borderId="0" xfId="325" applyNumberFormat="1" applyFont="1" applyFill="1" applyAlignment="1"/>
    <xf numFmtId="42" fontId="15" fillId="0" borderId="0" xfId="325" applyNumberFormat="1" applyFont="1" applyFill="1" applyAlignment="1" applyProtection="1">
      <protection locked="0"/>
    </xf>
    <xf numFmtId="42" fontId="15" fillId="0" borderId="0" xfId="325" applyNumberFormat="1" applyFont="1" applyBorder="1" applyAlignment="1" applyProtection="1">
      <protection locked="0"/>
    </xf>
    <xf numFmtId="42" fontId="15" fillId="0" borderId="0" xfId="325" applyNumberFormat="1" applyFont="1" applyBorder="1" applyProtection="1">
      <protection locked="0"/>
    </xf>
    <xf numFmtId="0" fontId="12" fillId="0" borderId="0" xfId="325" applyNumberFormat="1" applyFont="1" applyBorder="1" applyAlignment="1" applyProtection="1">
      <alignment horizontal="center"/>
      <protection locked="0"/>
    </xf>
    <xf numFmtId="0" fontId="17" fillId="0" borderId="0" xfId="325" applyNumberFormat="1" applyFont="1" applyAlignment="1" applyProtection="1">
      <alignment horizontal="center"/>
      <protection locked="0"/>
    </xf>
    <xf numFmtId="49" fontId="15" fillId="0" borderId="0" xfId="325" applyNumberFormat="1" applyFont="1" applyAlignment="1" applyProtection="1">
      <alignment horizontal="center"/>
      <protection locked="0"/>
    </xf>
    <xf numFmtId="49" fontId="32" fillId="0" borderId="0" xfId="325" applyNumberFormat="1" applyFont="1" applyAlignment="1" applyProtection="1">
      <alignment horizontal="center"/>
      <protection locked="0"/>
    </xf>
    <xf numFmtId="49" fontId="32" fillId="0" borderId="0" xfId="325" applyNumberFormat="1" applyFont="1" applyAlignment="1" applyProtection="1">
      <alignment horizontal="left"/>
      <protection locked="0"/>
    </xf>
    <xf numFmtId="49" fontId="32" fillId="0" borderId="0" xfId="325" applyNumberFormat="1" applyFont="1" applyAlignment="1" applyProtection="1">
      <alignment horizontal="centerContinuous"/>
      <protection locked="0"/>
    </xf>
    <xf numFmtId="0" fontId="15" fillId="0" borderId="0" xfId="326" applyNumberFormat="1" applyFont="1" applyAlignment="1">
      <alignment horizontal="left"/>
    </xf>
    <xf numFmtId="0" fontId="15" fillId="0" borderId="0" xfId="326" applyNumberFormat="1" applyFont="1" applyAlignment="1">
      <alignment horizontal="centerContinuous"/>
    </xf>
    <xf numFmtId="3" fontId="15" fillId="0" borderId="0" xfId="326" applyNumberFormat="1" applyFont="1" applyAlignment="1">
      <alignment horizontal="left"/>
    </xf>
    <xf numFmtId="3" fontId="15" fillId="0" borderId="0" xfId="326" applyNumberFormat="1" applyFont="1" applyAlignment="1">
      <alignment horizontal="centerContinuous"/>
    </xf>
    <xf numFmtId="174" fontId="15" fillId="0" borderId="0" xfId="89" applyNumberFormat="1" applyFont="1" applyAlignment="1"/>
    <xf numFmtId="173" fontId="15" fillId="0" borderId="0" xfId="325" applyFont="1" applyAlignment="1">
      <alignment horizontal="right"/>
    </xf>
    <xf numFmtId="0" fontId="0" fillId="0" borderId="0" xfId="325" applyNumberFormat="1" applyFont="1" applyFill="1" applyAlignment="1" applyProtection="1">
      <alignment horizontal="center"/>
      <protection locked="0"/>
    </xf>
    <xf numFmtId="0" fontId="113" fillId="0" borderId="0" xfId="325" applyNumberFormat="1" applyFont="1" applyFill="1" applyAlignment="1" applyProtection="1">
      <alignment horizontal="center"/>
      <protection locked="0"/>
    </xf>
    <xf numFmtId="0" fontId="0" fillId="0" borderId="0" xfId="326" applyFont="1" applyAlignment="1">
      <alignment horizontal="center"/>
    </xf>
    <xf numFmtId="0" fontId="12" fillId="0" borderId="0" xfId="326" applyFont="1" applyAlignment="1">
      <alignment horizontal="center"/>
    </xf>
    <xf numFmtId="173" fontId="15" fillId="0" borderId="0" xfId="325" applyFont="1" applyAlignment="1">
      <alignment horizontal="center"/>
    </xf>
    <xf numFmtId="0" fontId="28" fillId="0" borderId="0" xfId="8" applyFont="1"/>
    <xf numFmtId="173" fontId="20" fillId="0" borderId="0" xfId="0" applyFont="1" applyAlignment="1"/>
    <xf numFmtId="0" fontId="48" fillId="0" borderId="0" xfId="0" applyNumberFormat="1" applyFont="1" applyFill="1" applyBorder="1" applyAlignment="1">
      <alignment horizontal="centerContinuous"/>
    </xf>
    <xf numFmtId="42" fontId="15" fillId="0" borderId="0" xfId="0" applyNumberFormat="1" applyFont="1" applyFill="1" applyBorder="1" applyProtection="1"/>
    <xf numFmtId="42" fontId="15" fillId="0" borderId="0" xfId="0" applyNumberFormat="1" applyFont="1" applyAlignment="1"/>
    <xf numFmtId="42" fontId="15" fillId="0" borderId="2" xfId="0" applyNumberFormat="1" applyFont="1" applyBorder="1" applyAlignment="1"/>
    <xf numFmtId="37" fontId="15" fillId="4" borderId="0" xfId="0" applyNumberFormat="1" applyFont="1" applyFill="1" applyAlignment="1"/>
    <xf numFmtId="42" fontId="15" fillId="0" borderId="0" xfId="0" applyNumberFormat="1" applyFont="1" applyFill="1" applyAlignment="1">
      <alignment horizontal="right"/>
    </xf>
    <xf numFmtId="42" fontId="15" fillId="0" borderId="2" xfId="0" applyNumberFormat="1" applyFont="1" applyFill="1" applyBorder="1" applyAlignment="1"/>
    <xf numFmtId="49" fontId="24" fillId="0" borderId="0" xfId="0" applyNumberFormat="1" applyFont="1" applyFill="1" applyBorder="1" applyAlignment="1">
      <alignment horizontal="center"/>
    </xf>
    <xf numFmtId="173" fontId="24" fillId="0" borderId="0" xfId="325" applyFont="1" applyAlignment="1"/>
    <xf numFmtId="0" fontId="24" fillId="0" borderId="0" xfId="8" applyFont="1" applyFill="1"/>
    <xf numFmtId="0" fontId="29" fillId="0" borderId="0" xfId="6" applyFill="1"/>
    <xf numFmtId="0" fontId="15" fillId="0" borderId="0" xfId="0" applyNumberFormat="1" applyFont="1" applyFill="1" applyBorder="1" applyAlignment="1" applyProtection="1">
      <alignment horizontal="center"/>
      <protection locked="0"/>
    </xf>
    <xf numFmtId="173" fontId="15" fillId="0" borderId="0" xfId="0" applyFont="1" applyAlignment="1">
      <alignment horizontal="center"/>
    </xf>
    <xf numFmtId="173" fontId="39" fillId="0" borderId="0" xfId="0" applyFont="1" applyAlignment="1">
      <alignment horizontal="center"/>
    </xf>
    <xf numFmtId="173" fontId="39" fillId="0" borderId="0" xfId="0" applyFont="1" applyAlignment="1">
      <alignment horizontal="center" wrapText="1"/>
    </xf>
    <xf numFmtId="173" fontId="39" fillId="0" borderId="0" xfId="0" applyFont="1" applyAlignment="1"/>
    <xf numFmtId="41" fontId="15" fillId="0" borderId="0" xfId="0" applyNumberFormat="1" applyFont="1" applyAlignment="1"/>
    <xf numFmtId="173" fontId="17" fillId="0" borderId="0" xfId="0" applyFont="1" applyAlignment="1"/>
    <xf numFmtId="41" fontId="39" fillId="0" borderId="0" xfId="0" applyNumberFormat="1" applyFont="1" applyAlignment="1"/>
    <xf numFmtId="173" fontId="15" fillId="0" borderId="0" xfId="0" applyFont="1" applyAlignment="1">
      <alignment horizontal="left" indent="2"/>
    </xf>
    <xf numFmtId="42" fontId="46" fillId="0" borderId="0" xfId="0" applyNumberFormat="1" applyFont="1" applyAlignment="1"/>
    <xf numFmtId="173" fontId="15" fillId="0" borderId="0" xfId="0" applyFont="1" applyBorder="1" applyAlignment="1">
      <alignment horizontal="center"/>
    </xf>
    <xf numFmtId="41" fontId="46" fillId="0" borderId="0" xfId="0" applyNumberFormat="1" applyFont="1" applyAlignment="1"/>
    <xf numFmtId="44" fontId="15" fillId="0" borderId="0" xfId="0" applyNumberFormat="1" applyFont="1" applyAlignment="1"/>
    <xf numFmtId="10" fontId="15" fillId="0" borderId="0" xfId="0" applyNumberFormat="1" applyFont="1" applyAlignment="1"/>
    <xf numFmtId="0" fontId="24" fillId="0" borderId="0" xfId="8" applyFont="1" applyAlignment="1">
      <alignment horizontal="centerContinuous"/>
    </xf>
    <xf numFmtId="0" fontId="28" fillId="0" borderId="0" xfId="8" applyFont="1" applyAlignment="1">
      <alignment horizontal="centerContinuous"/>
    </xf>
    <xf numFmtId="173" fontId="0" fillId="15" borderId="0" xfId="0" applyFill="1" applyAlignment="1"/>
    <xf numFmtId="0" fontId="17" fillId="0" borderId="0" xfId="0" applyNumberFormat="1" applyFont="1" applyAlignment="1" applyProtection="1">
      <protection locked="0"/>
    </xf>
    <xf numFmtId="0" fontId="17" fillId="0" borderId="0" xfId="0" applyNumberFormat="1" applyFont="1" applyFill="1" applyAlignment="1"/>
    <xf numFmtId="0" fontId="17" fillId="0" borderId="0" xfId="0" applyNumberFormat="1" applyFont="1" applyFill="1" applyBorder="1" applyAlignment="1" applyProtection="1">
      <protection locked="0"/>
    </xf>
    <xf numFmtId="173" fontId="0" fillId="0" borderId="0" xfId="0" applyFont="1" applyAlignment="1"/>
    <xf numFmtId="173" fontId="15" fillId="0" borderId="0" xfId="0" applyFont="1" applyFill="1"/>
    <xf numFmtId="0" fontId="15" fillId="0" borderId="0" xfId="5" applyFont="1"/>
    <xf numFmtId="0" fontId="39" fillId="0" borderId="0" xfId="5" applyFont="1" applyBorder="1" applyAlignment="1">
      <alignment horizontal="centerContinuous"/>
    </xf>
    <xf numFmtId="0" fontId="15" fillId="0" borderId="0" xfId="5" applyFont="1" applyBorder="1" applyAlignment="1">
      <alignment horizontal="left" indent="1"/>
    </xf>
    <xf numFmtId="0" fontId="15" fillId="0" borderId="0" xfId="7" applyFont="1" applyAlignment="1">
      <alignment horizontal="left" indent="1"/>
    </xf>
    <xf numFmtId="42" fontId="46" fillId="0" borderId="0" xfId="7" applyNumberFormat="1" applyFont="1"/>
    <xf numFmtId="41" fontId="31" fillId="0" borderId="0" xfId="7" applyNumberFormat="1" applyFont="1" applyFill="1"/>
    <xf numFmtId="42" fontId="46" fillId="0" borderId="0" xfId="7" applyNumberFormat="1" applyFont="1" applyFill="1"/>
    <xf numFmtId="0" fontId="15" fillId="0" borderId="0" xfId="7" applyFont="1" applyAlignment="1">
      <alignment horizontal="right"/>
    </xf>
    <xf numFmtId="173" fontId="110" fillId="0" borderId="0" xfId="0" applyFont="1" applyAlignment="1">
      <alignment horizontal="center"/>
    </xf>
    <xf numFmtId="0" fontId="110" fillId="0" borderId="0" xfId="0" applyNumberFormat="1" applyFont="1" applyAlignment="1" applyProtection="1">
      <alignment horizontal="center"/>
      <protection locked="0"/>
    </xf>
    <xf numFmtId="3" fontId="110" fillId="0" borderId="0" xfId="0" applyNumberFormat="1" applyFont="1" applyAlignment="1"/>
    <xf numFmtId="0" fontId="110" fillId="0" borderId="0" xfId="0" applyNumberFormat="1" applyFont="1" applyAlignment="1" applyProtection="1">
      <alignment horizontal="centerContinuous"/>
      <protection locked="0"/>
    </xf>
    <xf numFmtId="173" fontId="110" fillId="0" borderId="0" xfId="0" applyFont="1" applyBorder="1" applyAlignment="1">
      <alignment horizontal="center"/>
    </xf>
    <xf numFmtId="275" fontId="15" fillId="0" borderId="0" xfId="0" applyNumberFormat="1" applyFont="1" applyFill="1" applyAlignment="1">
      <alignment horizontal="right"/>
    </xf>
    <xf numFmtId="42" fontId="15" fillId="0" borderId="0" xfId="7" applyNumberFormat="1" applyFont="1"/>
    <xf numFmtId="37" fontId="31" fillId="0" borderId="0" xfId="0" applyNumberFormat="1" applyFont="1" applyFill="1" applyBorder="1" applyProtection="1">
      <protection locked="0"/>
    </xf>
    <xf numFmtId="37" fontId="31" fillId="0" borderId="1" xfId="0" applyNumberFormat="1" applyFont="1" applyFill="1" applyBorder="1" applyProtection="1">
      <protection locked="0"/>
    </xf>
    <xf numFmtId="10" fontId="31" fillId="2" borderId="0" xfId="0" applyNumberFormat="1" applyFont="1" applyFill="1" applyProtection="1">
      <protection locked="0"/>
    </xf>
    <xf numFmtId="10" fontId="15" fillId="0" borderId="0" xfId="0" applyNumberFormat="1" applyFont="1" applyFill="1" applyProtection="1">
      <protection locked="0"/>
    </xf>
    <xf numFmtId="0" fontId="113" fillId="0" borderId="0" xfId="325" applyNumberFormat="1" applyFont="1" applyBorder="1" applyAlignment="1" applyProtection="1">
      <alignment horizontal="left"/>
      <protection locked="0"/>
    </xf>
    <xf numFmtId="0" fontId="12" fillId="0" borderId="6" xfId="325" applyNumberFormat="1" applyFont="1" applyBorder="1" applyAlignment="1" applyProtection="1">
      <alignment horizontal="center"/>
      <protection locked="0"/>
    </xf>
    <xf numFmtId="173" fontId="0" fillId="0" borderId="0" xfId="0" applyFont="1" applyFill="1" applyBorder="1" applyAlignment="1">
      <alignment horizontal="center"/>
    </xf>
    <xf numFmtId="0" fontId="110" fillId="0" borderId="0" xfId="0" applyNumberFormat="1" applyFont="1" applyFill="1" applyBorder="1" applyAlignment="1" applyProtection="1">
      <alignment horizontal="center"/>
      <protection locked="0"/>
    </xf>
    <xf numFmtId="173" fontId="113" fillId="0" borderId="0" xfId="0" applyFont="1" applyFill="1" applyBorder="1" applyAlignment="1"/>
    <xf numFmtId="0" fontId="110" fillId="0" borderId="0" xfId="0" applyNumberFormat="1" applyFont="1" applyFill="1" applyBorder="1" applyAlignment="1"/>
    <xf numFmtId="173" fontId="11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15" fillId="0" borderId="0" xfId="0" applyNumberFormat="1" applyFont="1" applyFill="1" applyBorder="1" applyAlignment="1">
      <alignment horizontal="right"/>
    </xf>
    <xf numFmtId="173" fontId="113" fillId="0" borderId="0" xfId="0" applyFont="1" applyAlignment="1">
      <alignment horizontal="center"/>
    </xf>
    <xf numFmtId="37" fontId="15" fillId="0" borderId="6" xfId="0" applyNumberFormat="1" applyFont="1" applyFill="1" applyBorder="1" applyAlignment="1"/>
    <xf numFmtId="3" fontId="17" fillId="0" borderId="0" xfId="0" applyNumberFormat="1" applyFont="1" applyAlignment="1">
      <alignment horizontal="centerContinuous"/>
    </xf>
    <xf numFmtId="0" fontId="15" fillId="0" borderId="0" xfId="0" quotePrefix="1" applyNumberFormat="1" applyFont="1" applyAlignment="1">
      <alignment horizontal="left" indent="1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NumberFormat="1" applyFont="1" applyAlignment="1" applyProtection="1">
      <alignment horizontal="left"/>
      <protection locked="0"/>
    </xf>
    <xf numFmtId="0" fontId="15" fillId="0" borderId="0" xfId="0" quotePrefix="1" applyNumberFormat="1" applyFont="1" applyAlignment="1">
      <alignment horizontal="left"/>
    </xf>
    <xf numFmtId="0" fontId="15" fillId="0" borderId="0" xfId="0" quotePrefix="1" applyNumberFormat="1" applyFont="1" applyFill="1" applyAlignment="1" applyProtection="1">
      <alignment horizontal="left"/>
      <protection locked="0"/>
    </xf>
    <xf numFmtId="0" fontId="15" fillId="0" borderId="1" xfId="0" quotePrefix="1" applyNumberFormat="1" applyFont="1" applyFill="1" applyBorder="1" applyAlignment="1" applyProtection="1">
      <alignment horizontal="left"/>
      <protection locked="0"/>
    </xf>
    <xf numFmtId="0" fontId="17" fillId="0" borderId="0" xfId="0" quotePrefix="1" applyNumberFormat="1" applyFont="1" applyAlignment="1">
      <alignment horizontal="left"/>
    </xf>
    <xf numFmtId="173" fontId="0" fillId="4" borderId="0" xfId="0" applyFill="1" applyBorder="1" applyAlignment="1"/>
    <xf numFmtId="3" fontId="17" fillId="0" borderId="0" xfId="0" applyNumberFormat="1" applyFont="1" applyAlignment="1"/>
    <xf numFmtId="0" fontId="41" fillId="0" borderId="1" xfId="0" applyNumberFormat="1" applyFont="1" applyBorder="1" applyAlignment="1" applyProtection="1">
      <alignment horizontal="center"/>
      <protection locked="0"/>
    </xf>
    <xf numFmtId="173" fontId="17" fillId="0" borderId="1" xfId="0" applyFont="1" applyBorder="1" applyAlignment="1">
      <alignment horizontal="center"/>
    </xf>
    <xf numFmtId="0" fontId="17" fillId="0" borderId="1" xfId="0" applyNumberFormat="1" applyFont="1" applyBorder="1" applyAlignment="1" applyProtection="1">
      <alignment horizontal="center"/>
      <protection locked="0"/>
    </xf>
    <xf numFmtId="0" fontId="17" fillId="0" borderId="1" xfId="0" applyNumberFormat="1" applyFont="1" applyBorder="1" applyAlignment="1" applyProtection="1">
      <alignment horizontal="centerContinuous"/>
      <protection locked="0"/>
    </xf>
    <xf numFmtId="164" fontId="15" fillId="0" borderId="0" xfId="0" applyNumberFormat="1" applyFont="1" applyAlignment="1">
      <alignment horizontal="right"/>
    </xf>
    <xf numFmtId="174" fontId="15" fillId="0" borderId="0" xfId="1" applyNumberFormat="1" applyFont="1"/>
    <xf numFmtId="174" fontId="15" fillId="0" borderId="0" xfId="0" applyNumberFormat="1" applyFont="1"/>
    <xf numFmtId="41" fontId="15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right"/>
    </xf>
    <xf numFmtId="0" fontId="48" fillId="0" borderId="0" xfId="326" applyNumberFormat="1" applyFont="1" applyFill="1" applyAlignment="1">
      <alignment horizontal="centerContinuous"/>
    </xf>
    <xf numFmtId="175" fontId="0" fillId="0" borderId="0" xfId="12" applyNumberFormat="1" applyFont="1" applyFill="1" applyBorder="1" applyAlignment="1"/>
    <xf numFmtId="170" fontId="0" fillId="0" borderId="0" xfId="0" applyNumberFormat="1" applyFill="1" applyBorder="1" applyAlignment="1"/>
    <xf numFmtId="0" fontId="15" fillId="0" borderId="0" xfId="0" quotePrefix="1" applyNumberFormat="1" applyFont="1" applyFill="1" applyAlignment="1" applyProtection="1">
      <alignment horizontal="center"/>
      <protection locked="0"/>
    </xf>
    <xf numFmtId="0" fontId="15" fillId="0" borderId="0" xfId="0" applyNumberFormat="1" applyFont="1" applyAlignment="1">
      <alignment wrapText="1"/>
    </xf>
    <xf numFmtId="172" fontId="15" fillId="0" borderId="0" xfId="0" applyNumberFormat="1" applyFont="1" applyAlignment="1">
      <alignment horizontal="center"/>
    </xf>
    <xf numFmtId="0" fontId="110" fillId="0" borderId="0" xfId="0" applyNumberFormat="1" applyFont="1" applyFill="1" applyBorder="1" applyAlignment="1">
      <alignment horizontal="left" indent="1"/>
    </xf>
    <xf numFmtId="3" fontId="15" fillId="0" borderId="0" xfId="0" applyNumberFormat="1" applyFont="1" applyFill="1" applyBorder="1" applyAlignment="1">
      <alignment horizontal="left"/>
    </xf>
    <xf numFmtId="0" fontId="0" fillId="0" borderId="0" xfId="0" quotePrefix="1" applyNumberFormat="1" applyFill="1" applyBorder="1" applyAlignment="1" applyProtection="1">
      <alignment horizontal="center"/>
      <protection locked="0"/>
    </xf>
    <xf numFmtId="173" fontId="17" fillId="0" borderId="6" xfId="0" quotePrefix="1" applyFont="1" applyFill="1" applyBorder="1" applyAlignment="1">
      <alignment horizontal="center"/>
    </xf>
    <xf numFmtId="0" fontId="17" fillId="0" borderId="6" xfId="0" quotePrefix="1" applyNumberFormat="1" applyFont="1" applyFill="1" applyBorder="1" applyAlignment="1" applyProtection="1">
      <alignment horizontal="center"/>
      <protection locked="0"/>
    </xf>
    <xf numFmtId="0" fontId="20" fillId="0" borderId="0" xfId="0" quotePrefix="1" applyNumberFormat="1" applyFont="1" applyFill="1" applyBorder="1" applyAlignment="1" applyProtection="1">
      <alignment horizontal="center"/>
      <protection locked="0"/>
    </xf>
    <xf numFmtId="173" fontId="20" fillId="0" borderId="0" xfId="0" quotePrefix="1" applyFont="1" applyAlignment="1">
      <alignment horizontal="center"/>
    </xf>
    <xf numFmtId="173" fontId="20" fillId="0" borderId="0" xfId="0" applyFont="1" applyAlignment="1">
      <alignment horizontal="center"/>
    </xf>
    <xf numFmtId="0" fontId="20" fillId="0" borderId="6" xfId="0" quotePrefix="1" applyNumberFormat="1" applyFont="1" applyFill="1" applyBorder="1" applyAlignment="1" applyProtection="1">
      <alignment horizontal="center"/>
      <protection locked="0"/>
    </xf>
    <xf numFmtId="173" fontId="20" fillId="0" borderId="6" xfId="0" quotePrefix="1" applyFont="1" applyBorder="1" applyAlignment="1">
      <alignment horizontal="center"/>
    </xf>
    <xf numFmtId="173" fontId="20" fillId="0" borderId="6" xfId="0" applyFont="1" applyBorder="1" applyAlignment="1">
      <alignment horizontal="center"/>
    </xf>
    <xf numFmtId="175" fontId="0" fillId="0" borderId="0" xfId="327" applyNumberFormat="1" applyFont="1" applyAlignment="1"/>
    <xf numFmtId="174" fontId="0" fillId="0" borderId="0" xfId="329" applyNumberFormat="1" applyFont="1" applyAlignment="1"/>
    <xf numFmtId="174" fontId="0" fillId="0" borderId="0" xfId="329" applyNumberFormat="1" applyFont="1" applyBorder="1" applyAlignment="1"/>
    <xf numFmtId="174" fontId="0" fillId="0" borderId="28" xfId="329" applyNumberFormat="1" applyFont="1" applyBorder="1" applyAlignment="1"/>
    <xf numFmtId="276" fontId="20" fillId="0" borderId="0" xfId="0" applyNumberFormat="1" applyFont="1" applyFill="1" applyBorder="1" applyAlignment="1" applyProtection="1">
      <alignment horizontal="center"/>
      <protection locked="0"/>
    </xf>
    <xf numFmtId="174" fontId="0" fillId="0" borderId="0" xfId="329" quotePrefix="1" applyNumberFormat="1" applyFont="1" applyAlignment="1">
      <alignment horizontal="left"/>
    </xf>
    <xf numFmtId="173" fontId="15" fillId="0" borderId="0" xfId="0" applyFont="1" applyAlignment="1">
      <alignment wrapText="1"/>
    </xf>
    <xf numFmtId="0" fontId="24" fillId="0" borderId="0" xfId="8" quotePrefix="1" applyFont="1"/>
    <xf numFmtId="41" fontId="27" fillId="0" borderId="0" xfId="8" applyNumberFormat="1" applyFont="1" applyFill="1" applyBorder="1" applyAlignment="1">
      <alignment vertical="center"/>
    </xf>
    <xf numFmtId="41" fontId="26" fillId="0" borderId="0" xfId="8" applyNumberFormat="1" applyFont="1"/>
    <xf numFmtId="10" fontId="27" fillId="0" borderId="0" xfId="8" applyNumberFormat="1" applyFont="1" applyFill="1" applyBorder="1" applyAlignment="1">
      <alignment vertical="center"/>
    </xf>
    <xf numFmtId="41" fontId="24" fillId="0" borderId="0" xfId="8" quotePrefix="1" applyNumberFormat="1" applyFont="1"/>
    <xf numFmtId="0" fontId="15" fillId="0" borderId="0" xfId="8" applyFont="1" applyAlignment="1">
      <alignment horizontal="right"/>
    </xf>
    <xf numFmtId="173" fontId="17" fillId="0" borderId="0" xfId="0" applyFont="1" applyBorder="1" applyAlignment="1">
      <alignment horizontal="left"/>
    </xf>
    <xf numFmtId="41" fontId="15" fillId="0" borderId="0" xfId="7" applyNumberFormat="1" applyFont="1" applyFill="1"/>
    <xf numFmtId="0" fontId="15" fillId="0" borderId="0" xfId="7" applyFont="1" applyAlignment="1">
      <alignment horizontal="left" vertical="center" wrapText="1" indent="1"/>
    </xf>
    <xf numFmtId="174" fontId="15" fillId="0" borderId="0" xfId="13" applyNumberFormat="1" applyFont="1"/>
    <xf numFmtId="176" fontId="39" fillId="0" borderId="0" xfId="7" applyNumberFormat="1" applyFont="1"/>
    <xf numFmtId="41" fontId="15" fillId="0" borderId="0" xfId="7" applyNumberFormat="1" applyFont="1"/>
    <xf numFmtId="41" fontId="39" fillId="0" borderId="0" xfId="7" applyNumberFormat="1" applyFont="1" applyFill="1"/>
    <xf numFmtId="0" fontId="15" fillId="0" borderId="0" xfId="7" applyFont="1" applyBorder="1"/>
    <xf numFmtId="0" fontId="15" fillId="0" borderId="0" xfId="7" applyFont="1" applyBorder="1" applyAlignment="1">
      <alignment horizontal="right"/>
    </xf>
    <xf numFmtId="173" fontId="0" fillId="0" borderId="0" xfId="0" applyFont="1" applyBorder="1" applyAlignment="1"/>
    <xf numFmtId="0" fontId="15" fillId="0" borderId="0" xfId="7" applyFont="1" applyFill="1" applyBorder="1"/>
    <xf numFmtId="0" fontId="15" fillId="4" borderId="0" xfId="0" applyNumberFormat="1" applyFont="1" applyFill="1" applyAlignment="1" applyProtection="1">
      <protection locked="0"/>
    </xf>
    <xf numFmtId="0" fontId="15" fillId="4" borderId="0" xfId="0" applyNumberFormat="1" applyFont="1" applyFill="1" applyProtection="1">
      <protection locked="0"/>
    </xf>
    <xf numFmtId="49" fontId="32" fillId="4" borderId="0" xfId="0" applyNumberFormat="1" applyFont="1" applyFill="1" applyAlignment="1">
      <alignment horizontal="centerContinuous"/>
    </xf>
    <xf numFmtId="173" fontId="15" fillId="4" borderId="0" xfId="0" applyFont="1" applyFill="1" applyAlignment="1">
      <alignment horizontal="centerContinuous"/>
    </xf>
    <xf numFmtId="0" fontId="15" fillId="4" borderId="0" xfId="0" applyNumberFormat="1" applyFont="1" applyFill="1" applyAlignment="1">
      <alignment horizontal="centerContinuous"/>
    </xf>
    <xf numFmtId="37" fontId="15" fillId="4" borderId="1" xfId="0" applyNumberFormat="1" applyFont="1" applyFill="1" applyBorder="1" applyAlignment="1"/>
    <xf numFmtId="165" fontId="31" fillId="4" borderId="0" xfId="0" applyNumberFormat="1" applyFont="1" applyFill="1" applyAlignment="1"/>
    <xf numFmtId="42" fontId="15" fillId="4" borderId="0" xfId="0" applyNumberFormat="1" applyFont="1" applyFill="1" applyAlignment="1"/>
    <xf numFmtId="38" fontId="31" fillId="4" borderId="0" xfId="0" applyNumberFormat="1" applyFont="1" applyFill="1" applyBorder="1" applyProtection="1">
      <protection locked="0"/>
    </xf>
    <xf numFmtId="38" fontId="31" fillId="4" borderId="1" xfId="0" applyNumberFormat="1" applyFont="1" applyFill="1" applyBorder="1" applyProtection="1">
      <protection locked="0"/>
    </xf>
    <xf numFmtId="37" fontId="15" fillId="4" borderId="0" xfId="0" applyNumberFormat="1" applyFont="1" applyFill="1" applyBorder="1" applyAlignment="1"/>
    <xf numFmtId="173" fontId="0" fillId="4" borderId="3" xfId="0" applyFill="1" applyBorder="1" applyAlignment="1"/>
    <xf numFmtId="0" fontId="0" fillId="4" borderId="0" xfId="0" applyNumberFormat="1" applyFill="1" applyBorder="1" applyAlignment="1">
      <alignment horizontal="left"/>
    </xf>
    <xf numFmtId="175" fontId="0" fillId="4" borderId="0" xfId="12" applyNumberFormat="1" applyFont="1" applyFill="1" applyBorder="1" applyAlignment="1"/>
    <xf numFmtId="173" fontId="0" fillId="4" borderId="3" xfId="0" quotePrefix="1" applyFill="1" applyBorder="1" applyAlignment="1">
      <alignment horizontal="left"/>
    </xf>
    <xf numFmtId="173" fontId="0" fillId="4" borderId="0" xfId="0" quotePrefix="1" applyFill="1" applyBorder="1" applyAlignment="1">
      <alignment horizontal="left"/>
    </xf>
    <xf numFmtId="41" fontId="15" fillId="4" borderId="0" xfId="0" applyNumberFormat="1" applyFont="1" applyFill="1" applyBorder="1" applyAlignment="1"/>
    <xf numFmtId="10" fontId="15" fillId="4" borderId="0" xfId="0" applyNumberFormat="1" applyFont="1" applyFill="1" applyAlignment="1">
      <alignment horizontal="right"/>
    </xf>
    <xf numFmtId="0" fontId="19" fillId="0" borderId="0" xfId="9" applyFont="1" applyFill="1"/>
    <xf numFmtId="175" fontId="0" fillId="4" borderId="0" xfId="327" applyNumberFormat="1" applyFont="1" applyFill="1" applyAlignment="1"/>
    <xf numFmtId="174" fontId="0" fillId="4" borderId="0" xfId="329" applyNumberFormat="1" applyFont="1" applyFill="1" applyAlignment="1"/>
    <xf numFmtId="174" fontId="0" fillId="4" borderId="0" xfId="329" applyNumberFormat="1" applyFont="1" applyFill="1" applyBorder="1" applyAlignment="1"/>
    <xf numFmtId="174" fontId="39" fillId="0" borderId="0" xfId="13" applyNumberFormat="1" applyFont="1"/>
    <xf numFmtId="166" fontId="48" fillId="0" borderId="0" xfId="0" applyNumberFormat="1" applyFont="1" applyFill="1" applyAlignment="1"/>
    <xf numFmtId="0" fontId="0" fillId="0" borderId="0" xfId="0" applyNumberFormat="1" applyFont="1" applyFill="1" applyBorder="1" applyAlignment="1" applyProtection="1">
      <alignment horizontal="centerContinuous"/>
      <protection locked="0"/>
    </xf>
    <xf numFmtId="173" fontId="0" fillId="0" borderId="0" xfId="0" applyFont="1" applyFill="1" applyBorder="1" applyAlignment="1">
      <alignment horizontal="centerContinuous"/>
    </xf>
    <xf numFmtId="0" fontId="0" fillId="0" borderId="0" xfId="0" quotePrefix="1" applyNumberFormat="1" applyFont="1" applyFill="1" applyBorder="1" applyAlignment="1" applyProtection="1">
      <alignment horizontal="center"/>
      <protection locked="0"/>
    </xf>
    <xf numFmtId="49" fontId="15" fillId="0" borderId="0" xfId="0" quotePrefix="1" applyNumberFormat="1" applyFont="1" applyFill="1" applyBorder="1" applyAlignment="1">
      <alignment horizontal="center"/>
    </xf>
    <xf numFmtId="0" fontId="15" fillId="0" borderId="0" xfId="0" quotePrefix="1" applyNumberFormat="1" applyFont="1" applyFill="1" applyBorder="1" applyAlignment="1">
      <alignment horizontal="center"/>
    </xf>
    <xf numFmtId="276" fontId="0" fillId="0" borderId="0" xfId="0" quotePrefix="1" applyNumberFormat="1" applyFont="1" applyFill="1" applyBorder="1" applyAlignment="1" applyProtection="1">
      <alignment horizontal="center"/>
      <protection locked="0"/>
    </xf>
    <xf numFmtId="173" fontId="0" fillId="0" borderId="0" xfId="0" quotePrefix="1" applyFont="1" applyAlignment="1">
      <alignment horizontal="center"/>
    </xf>
    <xf numFmtId="0" fontId="17" fillId="0" borderId="0" xfId="10" applyFont="1" applyAlignment="1">
      <alignment horizontal="centerContinuous"/>
    </xf>
    <xf numFmtId="0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11" fillId="0" borderId="0" xfId="330" applyAlignment="1">
      <alignment horizontal="centerContinuous"/>
    </xf>
    <xf numFmtId="0" fontId="11" fillId="0" borderId="0" xfId="330" applyFill="1" applyAlignment="1">
      <alignment horizontal="centerContinuous"/>
    </xf>
    <xf numFmtId="0" fontId="11" fillId="0" borderId="0" xfId="330"/>
    <xf numFmtId="0" fontId="11" fillId="0" borderId="0" xfId="330" applyAlignment="1">
      <alignment horizontal="center"/>
    </xf>
    <xf numFmtId="0" fontId="11" fillId="0" borderId="0" xfId="330" applyFill="1" applyAlignment="1">
      <alignment horizontal="center"/>
    </xf>
    <xf numFmtId="0" fontId="119" fillId="0" borderId="0" xfId="330" applyFont="1" applyAlignment="1">
      <alignment horizontal="center"/>
    </xf>
    <xf numFmtId="0" fontId="119" fillId="0" borderId="0" xfId="330" applyFont="1" applyFill="1" applyAlignment="1">
      <alignment horizontal="center"/>
    </xf>
    <xf numFmtId="0" fontId="11" fillId="0" borderId="0" xfId="330" quotePrefix="1" applyAlignment="1">
      <alignment horizontal="center"/>
    </xf>
    <xf numFmtId="0" fontId="11" fillId="0" borderId="0" xfId="330" quotePrefix="1" applyFill="1" applyAlignment="1">
      <alignment horizontal="center"/>
    </xf>
    <xf numFmtId="0" fontId="118" fillId="0" borderId="0" xfId="330" applyFont="1" applyAlignment="1">
      <alignment horizontal="centerContinuous"/>
    </xf>
    <xf numFmtId="2" fontId="11" fillId="0" borderId="0" xfId="330" applyNumberFormat="1" applyFill="1"/>
    <xf numFmtId="2" fontId="11" fillId="0" borderId="0" xfId="330" applyNumberFormat="1" applyFill="1" applyAlignment="1">
      <alignment horizontal="centerContinuous"/>
    </xf>
    <xf numFmtId="0" fontId="11" fillId="0" borderId="0" xfId="330" applyFill="1"/>
    <xf numFmtId="0" fontId="24" fillId="0" borderId="0" xfId="330" applyFont="1" applyFill="1" applyAlignment="1">
      <alignment horizontal="center"/>
    </xf>
    <xf numFmtId="0" fontId="24" fillId="0" borderId="0" xfId="330" applyNumberFormat="1" applyFont="1" applyFill="1" applyAlignment="1" applyProtection="1">
      <alignment horizontal="center"/>
    </xf>
    <xf numFmtId="0" fontId="24" fillId="0" borderId="0" xfId="330" applyFont="1" applyFill="1" applyAlignment="1" applyProtection="1">
      <alignment horizontal="center"/>
    </xf>
    <xf numFmtId="0" fontId="11" fillId="0" borderId="0" xfId="330" applyAlignment="1">
      <alignment horizontal="left"/>
    </xf>
    <xf numFmtId="0" fontId="15" fillId="0" borderId="0" xfId="331" applyFont="1" applyAlignment="1" applyProtection="1">
      <alignment horizontal="center"/>
    </xf>
    <xf numFmtId="0" fontId="121" fillId="0" borderId="0" xfId="330" quotePrefix="1" applyFont="1"/>
    <xf numFmtId="2" fontId="11" fillId="0" borderId="0" xfId="330" applyNumberFormat="1" applyAlignment="1">
      <alignment horizontal="right"/>
    </xf>
    <xf numFmtId="0" fontId="34" fillId="0" borderId="0" xfId="8" applyFont="1" applyAlignment="1">
      <alignment horizontal="center" vertical="center"/>
    </xf>
    <xf numFmtId="0" fontId="19" fillId="0" borderId="0" xfId="15" applyFont="1" applyFill="1" applyAlignment="1">
      <alignment horizontal="centerContinuous"/>
    </xf>
    <xf numFmtId="15" fontId="19" fillId="0" borderId="0" xfId="15" quotePrefix="1" applyNumberFormat="1" applyFont="1" applyFill="1" applyAlignment="1">
      <alignment horizontal="centerContinuous"/>
    </xf>
    <xf numFmtId="15" fontId="19" fillId="0" borderId="0" xfId="15" applyNumberFormat="1" applyFont="1" applyFill="1" applyAlignment="1">
      <alignment horizontal="centerContinuous"/>
    </xf>
    <xf numFmtId="0" fontId="29" fillId="0" borderId="0" xfId="10" applyFill="1"/>
    <xf numFmtId="0" fontId="24" fillId="0" borderId="0" xfId="10" applyFont="1" applyFill="1"/>
    <xf numFmtId="0" fontId="15" fillId="0" borderId="0" xfId="5" applyFont="1" applyFill="1" applyAlignment="1">
      <alignment horizontal="centerContinuous"/>
    </xf>
    <xf numFmtId="0" fontId="15" fillId="0" borderId="0" xfId="7" applyFont="1" applyFill="1" applyAlignment="1">
      <alignment horizontal="right"/>
    </xf>
    <xf numFmtId="174" fontId="48" fillId="0" borderId="0" xfId="89" applyNumberFormat="1" applyFont="1" applyFill="1"/>
    <xf numFmtId="0" fontId="48" fillId="0" borderId="0" xfId="7" applyFont="1" applyFill="1"/>
    <xf numFmtId="0" fontId="17" fillId="0" borderId="0" xfId="7" applyFont="1" applyFill="1" applyAlignment="1">
      <alignment horizontal="right"/>
    </xf>
    <xf numFmtId="174" fontId="15" fillId="0" borderId="0" xfId="7" applyNumberFormat="1" applyFont="1" applyFill="1"/>
    <xf numFmtId="174" fontId="49" fillId="0" borderId="0" xfId="89" applyNumberFormat="1" applyFont="1" applyFill="1"/>
    <xf numFmtId="174" fontId="15" fillId="0" borderId="0" xfId="89" applyNumberFormat="1" applyFont="1" applyFill="1"/>
    <xf numFmtId="174" fontId="39" fillId="0" borderId="0" xfId="89" applyNumberFormat="1" applyFont="1" applyFill="1"/>
    <xf numFmtId="0" fontId="19" fillId="0" borderId="0" xfId="8" applyFont="1" applyFill="1" applyAlignment="1">
      <alignment horizontal="right"/>
    </xf>
    <xf numFmtId="175" fontId="123" fillId="0" borderId="0" xfId="16" applyNumberFormat="1" applyFont="1" applyFill="1"/>
    <xf numFmtId="175" fontId="19" fillId="0" borderId="0" xfId="16" applyNumberFormat="1" applyFont="1" applyFill="1"/>
    <xf numFmtId="175" fontId="19" fillId="0" borderId="0" xfId="16" applyNumberFormat="1" applyFont="1" applyFill="1" applyBorder="1"/>
    <xf numFmtId="3" fontId="41" fillId="0" borderId="0" xfId="15" applyNumberFormat="1" applyFont="1" applyFill="1"/>
    <xf numFmtId="3" fontId="41" fillId="0" borderId="0" xfId="15" applyNumberFormat="1" applyFont="1" applyFill="1" applyBorder="1"/>
    <xf numFmtId="41" fontId="123" fillId="0" borderId="0" xfId="16" applyNumberFormat="1" applyFont="1" applyFill="1"/>
    <xf numFmtId="41" fontId="19" fillId="0" borderId="0" xfId="16" applyNumberFormat="1" applyFont="1" applyFill="1"/>
    <xf numFmtId="41" fontId="123" fillId="0" borderId="0" xfId="15" applyNumberFormat="1" applyFont="1" applyFill="1"/>
    <xf numFmtId="41" fontId="19" fillId="0" borderId="0" xfId="16" applyNumberFormat="1" applyFont="1" applyFill="1" applyBorder="1"/>
    <xf numFmtId="41" fontId="123" fillId="0" borderId="0" xfId="16" applyNumberFormat="1" applyFont="1" applyFill="1" applyBorder="1"/>
    <xf numFmtId="175" fontId="41" fillId="0" borderId="0" xfId="16" applyNumberFormat="1" applyFont="1" applyFill="1" applyBorder="1"/>
    <xf numFmtId="41" fontId="51" fillId="0" borderId="0" xfId="8" applyNumberFormat="1" applyFont="1" applyFill="1"/>
    <xf numFmtId="41" fontId="24" fillId="0" borderId="0" xfId="8" applyNumberFormat="1" applyFont="1" applyFill="1"/>
    <xf numFmtId="0" fontId="24" fillId="0" borderId="0" xfId="8" quotePrefix="1" applyFont="1" applyFill="1"/>
    <xf numFmtId="41" fontId="109" fillId="0" borderId="0" xfId="8" applyNumberFormat="1" applyFont="1" applyFill="1" applyBorder="1"/>
    <xf numFmtId="0" fontId="24" fillId="0" borderId="0" xfId="8" applyFont="1" applyFill="1" applyAlignment="1">
      <alignment horizontal="center"/>
    </xf>
    <xf numFmtId="37" fontId="24" fillId="0" borderId="0" xfId="8" applyNumberFormat="1" applyFont="1" applyFill="1"/>
    <xf numFmtId="42" fontId="46" fillId="0" borderId="0" xfId="7" applyNumberFormat="1" applyFont="1" applyFill="1" applyAlignment="1">
      <alignment horizontal="left" vertical="center"/>
    </xf>
    <xf numFmtId="41" fontId="30" fillId="0" borderId="0" xfId="7" applyNumberFormat="1" applyFont="1" applyFill="1"/>
    <xf numFmtId="7" fontId="24" fillId="0" borderId="0" xfId="0" applyNumberFormat="1" applyFont="1" applyFill="1"/>
    <xf numFmtId="0" fontId="42" fillId="0" borderId="0" xfId="9" applyFont="1" applyFill="1" applyAlignment="1">
      <alignment horizontal="centerContinuous"/>
    </xf>
    <xf numFmtId="173" fontId="24" fillId="0" borderId="0" xfId="0" applyNumberFormat="1" applyFont="1" applyAlignment="1" applyProtection="1">
      <protection locked="0"/>
    </xf>
    <xf numFmtId="0" fontId="24" fillId="0" borderId="0" xfId="0" applyNumberFormat="1" applyFont="1" applyProtection="1">
      <protection locked="0"/>
    </xf>
    <xf numFmtId="0" fontId="28" fillId="0" borderId="0" xfId="0" applyNumberFormat="1" applyFont="1" applyAlignment="1" applyProtection="1">
      <protection locked="0"/>
    </xf>
    <xf numFmtId="0" fontId="24" fillId="0" borderId="0" xfId="0" applyNumberFormat="1" applyFont="1" applyFill="1" applyProtection="1">
      <protection locked="0"/>
    </xf>
    <xf numFmtId="0" fontId="24" fillId="0" borderId="0" xfId="0" quotePrefix="1" applyNumberFormat="1" applyFont="1" applyFill="1" applyBorder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protection locked="0"/>
    </xf>
    <xf numFmtId="0" fontId="28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Alignment="1" applyProtection="1">
      <protection locked="0"/>
    </xf>
    <xf numFmtId="0" fontId="28" fillId="0" borderId="1" xfId="0" applyNumberFormat="1" applyFont="1" applyBorder="1" applyAlignment="1" applyProtection="1">
      <alignment horizontal="center"/>
      <protection locked="0"/>
    </xf>
    <xf numFmtId="0" fontId="24" fillId="0" borderId="0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37" fontId="24" fillId="0" borderId="0" xfId="0" applyNumberFormat="1" applyFont="1" applyFill="1" applyAlignment="1" applyProtection="1">
      <protection locked="0"/>
    </xf>
    <xf numFmtId="0" fontId="24" fillId="0" borderId="0" xfId="0" applyNumberFormat="1" applyFont="1" applyAlignment="1" applyProtection="1">
      <alignment horizontal="left"/>
      <protection locked="0"/>
    </xf>
    <xf numFmtId="37" fontId="15" fillId="2" borderId="0" xfId="0" applyNumberFormat="1" applyFont="1" applyFill="1" applyBorder="1" applyProtection="1">
      <protection locked="0"/>
    </xf>
    <xf numFmtId="37" fontId="15" fillId="4" borderId="0" xfId="0" quotePrefix="1" applyNumberFormat="1" applyFont="1" applyFill="1" applyAlignment="1"/>
    <xf numFmtId="275" fontId="15" fillId="4" borderId="0" xfId="0" applyNumberFormat="1" applyFont="1" applyFill="1" applyAlignment="1">
      <alignment horizontal="right"/>
    </xf>
    <xf numFmtId="3" fontId="15" fillId="0" borderId="1" xfId="0" applyNumberFormat="1" applyFont="1" applyBorder="1" applyAlignment="1">
      <alignment horizontal="center"/>
    </xf>
    <xf numFmtId="42" fontId="15" fillId="0" borderId="0" xfId="0" applyNumberFormat="1" applyFont="1" applyFill="1" applyAlignment="1"/>
    <xf numFmtId="42" fontId="15" fillId="0" borderId="0" xfId="0" applyNumberFormat="1" applyFont="1" applyAlignment="1"/>
    <xf numFmtId="37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Alignment="1"/>
    <xf numFmtId="3" fontId="15" fillId="0" borderId="1" xfId="0" applyNumberFormat="1" applyFont="1" applyBorder="1" applyAlignment="1">
      <alignment horizontal="center"/>
    </xf>
    <xf numFmtId="169" fontId="17" fillId="2" borderId="0" xfId="0" applyNumberFormat="1" applyFont="1" applyFill="1" applyAlignment="1"/>
    <xf numFmtId="37" fontId="15" fillId="0" borderId="0" xfId="0" applyNumberFormat="1" applyFont="1" applyAlignment="1"/>
    <xf numFmtId="37" fontId="15" fillId="2" borderId="1" xfId="0" applyNumberFormat="1" applyFont="1" applyFill="1" applyBorder="1" applyAlignment="1"/>
    <xf numFmtId="37" fontId="15" fillId="4" borderId="0" xfId="0" applyNumberFormat="1" applyFont="1" applyFill="1" applyAlignment="1"/>
    <xf numFmtId="37" fontId="15" fillId="4" borderId="1" xfId="0" applyNumberFormat="1" applyFont="1" applyFill="1" applyBorder="1" applyAlignment="1"/>
    <xf numFmtId="0" fontId="28" fillId="0" borderId="0" xfId="0" quotePrefix="1" applyNumberFormat="1" applyFont="1" applyAlignment="1" applyProtection="1">
      <alignment horizontal="left"/>
      <protection locked="0"/>
    </xf>
    <xf numFmtId="0" fontId="24" fillId="0" borderId="1" xfId="0" applyNumberFormat="1" applyFont="1" applyBorder="1" applyAlignment="1" applyProtection="1">
      <protection locked="0"/>
    </xf>
    <xf numFmtId="0" fontId="113" fillId="0" borderId="0" xfId="0" quotePrefix="1" applyNumberFormat="1" applyFont="1" applyFill="1" applyBorder="1" applyAlignment="1" applyProtection="1">
      <alignment horizontal="center"/>
      <protection locked="0"/>
    </xf>
    <xf numFmtId="10" fontId="15" fillId="2" borderId="0" xfId="0" applyNumberFormat="1" applyFont="1" applyFill="1" applyProtection="1">
      <protection locked="0"/>
    </xf>
    <xf numFmtId="0" fontId="15" fillId="4" borderId="0" xfId="0" applyNumberFormat="1" applyFont="1" applyFill="1" applyAlignment="1" applyProtection="1">
      <alignment horizontal="right"/>
      <protection locked="0"/>
    </xf>
    <xf numFmtId="0" fontId="17" fillId="0" borderId="0" xfId="0" applyNumberFormat="1" applyFont="1" applyFill="1" applyAlignment="1" applyProtection="1">
      <alignment horizontal="right"/>
      <protection locked="0"/>
    </xf>
    <xf numFmtId="0" fontId="17" fillId="16" borderId="9" xfId="0" applyNumberFormat="1" applyFont="1" applyFill="1" applyBorder="1" applyAlignment="1" applyProtection="1">
      <alignment horizontal="right"/>
      <protection locked="0"/>
    </xf>
    <xf numFmtId="0" fontId="17" fillId="16" borderId="5" xfId="0" applyNumberFormat="1" applyFont="1" applyFill="1" applyBorder="1" applyAlignment="1" applyProtection="1">
      <alignment horizontal="right"/>
      <protection locked="0"/>
    </xf>
    <xf numFmtId="0" fontId="28" fillId="0" borderId="15" xfId="0" applyNumberFormat="1" applyFont="1" applyFill="1" applyBorder="1" applyAlignment="1" applyProtection="1">
      <protection locked="0"/>
    </xf>
    <xf numFmtId="14" fontId="17" fillId="0" borderId="0" xfId="0" applyNumberFormat="1" applyFont="1" applyFill="1" applyAlignment="1" applyProtection="1">
      <alignment horizontal="right"/>
      <protection locked="0"/>
    </xf>
    <xf numFmtId="173" fontId="24" fillId="0" borderId="0" xfId="0" applyFont="1" applyAlignment="1" applyProtection="1">
      <protection locked="0"/>
    </xf>
    <xf numFmtId="14" fontId="17" fillId="0" borderId="0" xfId="0" applyNumberFormat="1" applyFont="1" applyFill="1" applyAlignment="1" applyProtection="1">
      <protection locked="0"/>
    </xf>
    <xf numFmtId="0" fontId="28" fillId="4" borderId="23" xfId="0" applyNumberFormat="1" applyFont="1" applyFill="1" applyBorder="1" applyAlignment="1" applyProtection="1">
      <alignment horizontal="centerContinuous"/>
      <protection locked="0"/>
    </xf>
    <xf numFmtId="173" fontId="28" fillId="4" borderId="20" xfId="0" applyFont="1" applyFill="1" applyBorder="1" applyAlignment="1" applyProtection="1">
      <alignment horizontal="centerContinuous"/>
      <protection locked="0"/>
    </xf>
    <xf numFmtId="173" fontId="28" fillId="4" borderId="22" xfId="0" applyFont="1" applyFill="1" applyBorder="1" applyAlignment="1" applyProtection="1">
      <alignment horizontal="centerContinuous"/>
      <protection locked="0"/>
    </xf>
    <xf numFmtId="3" fontId="28" fillId="0" borderId="0" xfId="0" applyNumberFormat="1" applyFont="1" applyAlignment="1" applyProtection="1">
      <alignment horizontal="center"/>
      <protection locked="0"/>
    </xf>
    <xf numFmtId="3" fontId="28" fillId="0" borderId="0" xfId="0" applyNumberFormat="1" applyFont="1" applyAlignment="1" applyProtection="1">
      <protection locked="0"/>
    </xf>
    <xf numFmtId="0" fontId="28" fillId="0" borderId="1" xfId="0" applyNumberFormat="1" applyFont="1" applyBorder="1" applyAlignment="1" applyProtection="1">
      <protection locked="0"/>
    </xf>
    <xf numFmtId="173" fontId="28" fillId="0" borderId="1" xfId="0" applyFont="1" applyBorder="1" applyAlignment="1" applyProtection="1">
      <alignment horizontal="center"/>
      <protection locked="0"/>
    </xf>
    <xf numFmtId="3" fontId="24" fillId="0" borderId="0" xfId="0" applyNumberFormat="1" applyFont="1" applyAlignment="1" applyProtection="1">
      <protection locked="0"/>
    </xf>
    <xf numFmtId="173" fontId="24" fillId="0" borderId="0" xfId="0" applyFont="1" applyBorder="1" applyAlignment="1" applyProtection="1">
      <protection locked="0"/>
    </xf>
    <xf numFmtId="42" fontId="24" fillId="0" borderId="0" xfId="0" applyNumberFormat="1" applyFont="1" applyFill="1" applyAlignment="1" applyProtection="1">
      <protection locked="0"/>
    </xf>
    <xf numFmtId="3" fontId="24" fillId="0" borderId="1" xfId="0" applyNumberFormat="1" applyFont="1" applyBorder="1" applyAlignment="1" applyProtection="1">
      <protection locked="0"/>
    </xf>
    <xf numFmtId="37" fontId="24" fillId="0" borderId="1" xfId="0" applyNumberFormat="1" applyFont="1" applyFill="1" applyBorder="1" applyAlignment="1" applyProtection="1">
      <protection locked="0"/>
    </xf>
    <xf numFmtId="37" fontId="24" fillId="0" borderId="0" xfId="0" applyNumberFormat="1" applyFont="1" applyFill="1" applyBorder="1" applyAlignment="1" applyProtection="1">
      <protection locked="0"/>
    </xf>
    <xf numFmtId="173" fontId="24" fillId="0" borderId="1" xfId="0" applyFont="1" applyBorder="1" applyAlignment="1" applyProtection="1">
      <protection locked="0"/>
    </xf>
    <xf numFmtId="0" fontId="24" fillId="0" borderId="0" xfId="0" quotePrefix="1" applyNumberFormat="1" applyFont="1" applyAlignment="1" applyProtection="1">
      <alignment horizontal="left"/>
      <protection locked="0"/>
    </xf>
    <xf numFmtId="42" fontId="24" fillId="0" borderId="0" xfId="0" applyNumberFormat="1" applyFont="1" applyAlignment="1" applyProtection="1">
      <protection locked="0"/>
    </xf>
    <xf numFmtId="37" fontId="24" fillId="0" borderId="1" xfId="0" applyNumberFormat="1" applyFont="1" applyBorder="1" applyAlignment="1" applyProtection="1">
      <protection locked="0"/>
    </xf>
    <xf numFmtId="42" fontId="24" fillId="0" borderId="2" xfId="0" applyNumberFormat="1" applyFont="1" applyBorder="1" applyAlignment="1" applyProtection="1">
      <protection locked="0"/>
    </xf>
    <xf numFmtId="3" fontId="24" fillId="0" borderId="0" xfId="0" applyNumberFormat="1" applyFont="1" applyFill="1" applyAlignment="1" applyProtection="1">
      <protection locked="0"/>
    </xf>
    <xf numFmtId="0" fontId="24" fillId="0" borderId="0" xfId="0" quotePrefix="1" applyNumberFormat="1" applyFont="1" applyFill="1" applyAlignment="1" applyProtection="1">
      <alignment horizontal="left" vertical="top" wrapText="1" indent="1"/>
      <protection locked="0"/>
    </xf>
    <xf numFmtId="0" fontId="24" fillId="0" borderId="0" xfId="0" applyNumberFormat="1" applyFont="1" applyAlignment="1" applyProtection="1">
      <alignment horizontal="left" indent="1"/>
      <protection locked="0"/>
    </xf>
    <xf numFmtId="0" fontId="24" fillId="0" borderId="0" xfId="0" applyNumberFormat="1" applyFont="1" applyFill="1" applyAlignment="1" applyProtection="1">
      <alignment horizontal="left" indent="1"/>
      <protection locked="0"/>
    </xf>
    <xf numFmtId="173" fontId="24" fillId="0" borderId="0" xfId="0" applyFont="1" applyFill="1" applyAlignment="1" applyProtection="1">
      <protection locked="0"/>
    </xf>
    <xf numFmtId="37" fontId="24" fillId="0" borderId="0" xfId="0" applyNumberFormat="1" applyFont="1" applyAlignment="1" applyProtection="1">
      <protection locked="0"/>
    </xf>
    <xf numFmtId="0" fontId="24" fillId="0" borderId="0" xfId="0" applyNumberFormat="1" applyFont="1" applyAlignment="1" applyProtection="1">
      <alignment horizontal="left" indent="3"/>
      <protection locked="0"/>
    </xf>
    <xf numFmtId="37" fontId="51" fillId="0" borderId="0" xfId="0" applyNumberFormat="1" applyFont="1" applyFill="1" applyAlignment="1" applyProtection="1">
      <protection locked="0"/>
    </xf>
    <xf numFmtId="173" fontId="28" fillId="0" borderId="0" xfId="0" applyFont="1" applyAlignment="1" applyProtection="1">
      <alignment horizontal="center"/>
      <protection locked="0"/>
    </xf>
    <xf numFmtId="275" fontId="51" fillId="0" borderId="0" xfId="0" applyNumberFormat="1" applyFont="1" applyFill="1" applyAlignment="1" applyProtection="1">
      <alignment horizontal="right"/>
      <protection locked="0"/>
    </xf>
    <xf numFmtId="173" fontId="28" fillId="0" borderId="0" xfId="0" applyFont="1" applyFill="1" applyAlignment="1" applyProtection="1">
      <alignment horizontal="center"/>
      <protection locked="0"/>
    </xf>
    <xf numFmtId="0" fontId="24" fillId="0" borderId="0" xfId="0" quotePrefix="1" applyNumberFormat="1" applyFont="1" applyFill="1" applyAlignment="1" applyProtection="1">
      <alignment vertical="top" wrapText="1"/>
      <protection locked="0"/>
    </xf>
    <xf numFmtId="0" fontId="24" fillId="0" borderId="0" xfId="0" applyNumberFormat="1" applyFont="1" applyFill="1" applyAlignment="1" applyProtection="1">
      <alignment vertical="top" wrapText="1"/>
      <protection locked="0"/>
    </xf>
    <xf numFmtId="0" fontId="24" fillId="0" borderId="0" xfId="0" applyNumberFormat="1" applyFont="1" applyFill="1" applyBorder="1" applyProtection="1">
      <protection locked="0"/>
    </xf>
    <xf numFmtId="3" fontId="24" fillId="0" borderId="0" xfId="0" applyNumberFormat="1" applyFont="1" applyBorder="1" applyAlignment="1" applyProtection="1">
      <protection locked="0"/>
    </xf>
    <xf numFmtId="3" fontId="24" fillId="0" borderId="1" xfId="0" applyNumberFormat="1" applyFont="1" applyBorder="1" applyAlignment="1" applyProtection="1">
      <alignment horizontal="center"/>
      <protection locked="0"/>
    </xf>
    <xf numFmtId="3" fontId="24" fillId="0" borderId="0" xfId="0" applyNumberFormat="1" applyFont="1" applyAlignment="1" applyProtection="1">
      <alignment horizontal="center"/>
      <protection locked="0"/>
    </xf>
    <xf numFmtId="37" fontId="51" fillId="0" borderId="0" xfId="0" applyNumberFormat="1" applyFont="1" applyAlignment="1" applyProtection="1">
      <protection locked="0"/>
    </xf>
    <xf numFmtId="0" fontId="24" fillId="0" borderId="0" xfId="0" quotePrefix="1" applyNumberFormat="1" applyFont="1" applyFill="1" applyBorder="1" applyAlignment="1" applyProtection="1">
      <alignment horizontal="left" vertical="top" wrapText="1" indent="1"/>
      <protection locked="0"/>
    </xf>
    <xf numFmtId="0" fontId="24" fillId="0" borderId="0" xfId="0" applyNumberFormat="1" applyFont="1" applyBorder="1" applyProtection="1">
      <protection locked="0"/>
    </xf>
    <xf numFmtId="170" fontId="127" fillId="0" borderId="0" xfId="0" applyNumberFormat="1" applyFont="1" applyFill="1" applyBorder="1" applyProtection="1">
      <protection locked="0"/>
    </xf>
    <xf numFmtId="173" fontId="128" fillId="0" borderId="23" xfId="0" applyFont="1" applyBorder="1" applyAlignment="1" applyProtection="1">
      <protection locked="0"/>
    </xf>
    <xf numFmtId="173" fontId="24" fillId="0" borderId="20" xfId="0" applyFont="1" applyBorder="1" applyAlignment="1" applyProtection="1">
      <protection locked="0"/>
    </xf>
    <xf numFmtId="10" fontId="28" fillId="0" borderId="20" xfId="0" applyNumberFormat="1" applyFont="1" applyBorder="1" applyAlignment="1" applyProtection="1">
      <protection locked="0"/>
    </xf>
    <xf numFmtId="173" fontId="24" fillId="0" borderId="16" xfId="0" applyFont="1" applyBorder="1" applyAlignment="1" applyProtection="1">
      <protection locked="0"/>
    </xf>
    <xf numFmtId="173" fontId="28" fillId="0" borderId="0" xfId="0" applyFont="1" applyAlignment="1" applyProtection="1">
      <protection locked="0"/>
    </xf>
    <xf numFmtId="0" fontId="15" fillId="0" borderId="0" xfId="7" applyFont="1" applyFill="1" applyAlignment="1">
      <alignment horizontal="left" wrapText="1"/>
    </xf>
    <xf numFmtId="173" fontId="20" fillId="0" borderId="0" xfId="0" applyFont="1" applyBorder="1" applyAlignment="1"/>
    <xf numFmtId="175" fontId="0" fillId="0" borderId="0" xfId="327" applyNumberFormat="1" applyFont="1" applyBorder="1" applyAlignment="1"/>
    <xf numFmtId="175" fontId="47" fillId="4" borderId="0" xfId="327" applyNumberFormat="1" applyFont="1" applyFill="1" applyAlignment="1"/>
    <xf numFmtId="174" fontId="47" fillId="4" borderId="0" xfId="329" applyNumberFormat="1" applyFont="1" applyFill="1" applyAlignment="1"/>
    <xf numFmtId="174" fontId="0" fillId="4" borderId="28" xfId="329" applyNumberFormat="1" applyFont="1" applyFill="1" applyBorder="1" applyAlignment="1"/>
    <xf numFmtId="10" fontId="48" fillId="4" borderId="0" xfId="0" applyNumberFormat="1" applyFont="1" applyFill="1" applyAlignment="1">
      <alignment horizontal="right"/>
    </xf>
    <xf numFmtId="174" fontId="47" fillId="4" borderId="28" xfId="329" applyNumberFormat="1" applyFont="1" applyFill="1" applyBorder="1" applyAlignment="1"/>
    <xf numFmtId="0" fontId="24" fillId="0" borderId="0" xfId="10" applyFont="1" applyAlignment="1">
      <alignment horizontal="left"/>
    </xf>
    <xf numFmtId="0" fontId="24" fillId="0" borderId="0" xfId="10" applyFont="1" applyAlignment="1">
      <alignment horizontal="left" vertical="center" wrapText="1"/>
    </xf>
    <xf numFmtId="42" fontId="24" fillId="0" borderId="0" xfId="0" applyNumberFormat="1" applyFont="1" applyFill="1" applyAlignment="1" applyProtection="1"/>
    <xf numFmtId="37" fontId="24" fillId="0" borderId="0" xfId="0" applyNumberFormat="1" applyFont="1" applyFill="1" applyAlignment="1" applyProtection="1"/>
    <xf numFmtId="42" fontId="24" fillId="0" borderId="0" xfId="0" applyNumberFormat="1" applyFont="1" applyFill="1" applyBorder="1" applyProtection="1"/>
    <xf numFmtId="173" fontId="24" fillId="0" borderId="0" xfId="0" applyFont="1" applyFill="1" applyAlignment="1" applyProtection="1"/>
    <xf numFmtId="3" fontId="24" fillId="0" borderId="0" xfId="0" applyNumberFormat="1" applyFont="1" applyFill="1" applyAlignment="1" applyProtection="1">
      <alignment vertical="top"/>
      <protection locked="0"/>
    </xf>
    <xf numFmtId="173" fontId="24" fillId="0" borderId="0" xfId="0" applyFont="1" applyAlignment="1" applyProtection="1">
      <alignment vertical="top"/>
      <protection locked="0"/>
    </xf>
    <xf numFmtId="0" fontId="28" fillId="0" borderId="29" xfId="0" applyNumberFormat="1" applyFont="1" applyBorder="1" applyAlignment="1" applyProtection="1">
      <protection locked="0"/>
    </xf>
    <xf numFmtId="3" fontId="24" fillId="0" borderId="29" xfId="0" applyNumberFormat="1" applyFont="1" applyBorder="1" applyAlignment="1" applyProtection="1">
      <protection locked="0"/>
    </xf>
    <xf numFmtId="0" fontId="28" fillId="0" borderId="29" xfId="0" applyNumberFormat="1" applyFont="1" applyFill="1" applyBorder="1" applyAlignment="1" applyProtection="1">
      <protection locked="0"/>
    </xf>
    <xf numFmtId="173" fontId="24" fillId="0" borderId="29" xfId="0" applyFont="1" applyFill="1" applyBorder="1" applyAlignment="1" applyProtection="1">
      <protection locked="0"/>
    </xf>
    <xf numFmtId="0" fontId="129" fillId="0" borderId="0" xfId="10" applyFont="1" applyFill="1" applyAlignment="1">
      <alignment horizontal="left"/>
    </xf>
    <xf numFmtId="0" fontId="129" fillId="0" borderId="0" xfId="10" applyFont="1" applyFill="1" applyAlignment="1">
      <alignment horizontal="center"/>
    </xf>
    <xf numFmtId="0" fontId="35" fillId="0" borderId="0" xfId="10" applyFont="1" applyFill="1" applyAlignment="1">
      <alignment horizontal="center"/>
    </xf>
    <xf numFmtId="0" fontId="24" fillId="0" borderId="0" xfId="0" quotePrefix="1" applyNumberFormat="1" applyFont="1" applyFill="1" applyAlignment="1" applyProtection="1">
      <alignment horizontal="left" vertical="top" wrapText="1"/>
      <protection locked="0"/>
    </xf>
    <xf numFmtId="0" fontId="34" fillId="0" borderId="0" xfId="0" applyNumberFormat="1" applyFont="1" applyFill="1" applyAlignment="1" applyProtection="1">
      <protection locked="0"/>
    </xf>
    <xf numFmtId="0" fontId="24" fillId="0" borderId="0" xfId="0" applyNumberFormat="1" applyFont="1" applyFill="1" applyAlignment="1" applyProtection="1">
      <alignment horizontal="center"/>
      <protection locked="0"/>
    </xf>
    <xf numFmtId="174" fontId="15" fillId="4" borderId="0" xfId="89" applyNumberFormat="1" applyFont="1" applyFill="1" applyAlignment="1"/>
    <xf numFmtId="0" fontId="17" fillId="0" borderId="0" xfId="7" applyFont="1" applyAlignment="1">
      <alignment horizontal="center"/>
    </xf>
    <xf numFmtId="37" fontId="15" fillId="0" borderId="0" xfId="0" applyNumberFormat="1" applyFont="1" applyFill="1" applyBorder="1" applyAlignment="1"/>
    <xf numFmtId="174" fontId="47" fillId="0" borderId="28" xfId="329" applyNumberFormat="1" applyFont="1" applyFill="1" applyBorder="1" applyAlignment="1"/>
    <xf numFmtId="174" fontId="0" fillId="0" borderId="0" xfId="329" applyNumberFormat="1" applyFont="1" applyFill="1" applyBorder="1" applyAlignment="1"/>
    <xf numFmtId="174" fontId="0" fillId="0" borderId="28" xfId="329" applyNumberFormat="1" applyFont="1" applyFill="1" applyBorder="1" applyAlignment="1"/>
    <xf numFmtId="0" fontId="38" fillId="0" borderId="0" xfId="7" quotePrefix="1" applyFont="1" applyFill="1" applyAlignment="1">
      <alignment horizontal="center"/>
    </xf>
    <xf numFmtId="42" fontId="48" fillId="0" borderId="0" xfId="7" applyNumberFormat="1" applyFont="1" applyFill="1" applyProtection="1">
      <protection locked="0"/>
    </xf>
    <xf numFmtId="0" fontId="48" fillId="0" borderId="0" xfId="7" applyFont="1" applyFill="1" applyProtection="1">
      <protection locked="0"/>
    </xf>
    <xf numFmtId="42" fontId="31" fillId="0" borderId="0" xfId="7" applyNumberFormat="1" applyFont="1" applyFill="1" applyProtection="1">
      <protection locked="0"/>
    </xf>
    <xf numFmtId="0" fontId="15" fillId="0" borderId="0" xfId="7" applyFont="1" applyFill="1" applyProtection="1">
      <protection locked="0"/>
    </xf>
    <xf numFmtId="41" fontId="31" fillId="0" borderId="0" xfId="7" applyNumberFormat="1" applyFont="1" applyFill="1" applyProtection="1">
      <protection locked="0"/>
    </xf>
    <xf numFmtId="176" fontId="49" fillId="0" borderId="0" xfId="7" applyNumberFormat="1" applyFont="1" applyFill="1" applyProtection="1">
      <protection locked="0"/>
    </xf>
    <xf numFmtId="176" fontId="114" fillId="0" borderId="0" xfId="7" applyNumberFormat="1" applyFont="1" applyFill="1" applyProtection="1">
      <protection locked="0"/>
    </xf>
    <xf numFmtId="41" fontId="114" fillId="0" borderId="0" xfId="7" applyNumberFormat="1" applyFont="1" applyFill="1" applyProtection="1">
      <protection locked="0"/>
    </xf>
    <xf numFmtId="0" fontId="24" fillId="0" borderId="0" xfId="0" applyNumberFormat="1" applyFont="1" applyFill="1" applyBorder="1" applyAlignment="1" applyProtection="1">
      <alignment vertical="top"/>
      <protection locked="0"/>
    </xf>
    <xf numFmtId="173" fontId="16" fillId="0" borderId="0" xfId="0" applyFont="1" applyAlignment="1"/>
    <xf numFmtId="37" fontId="15" fillId="0" borderId="0" xfId="6" applyNumberFormat="1" applyFont="1"/>
    <xf numFmtId="0" fontId="48" fillId="0" borderId="0" xfId="6" applyFont="1"/>
    <xf numFmtId="37" fontId="48" fillId="0" borderId="0" xfId="6" applyNumberFormat="1" applyFont="1"/>
    <xf numFmtId="37" fontId="48" fillId="0" borderId="0" xfId="6" applyNumberFormat="1" applyFont="1" applyFill="1"/>
    <xf numFmtId="37" fontId="24" fillId="0" borderId="0" xfId="0" applyNumberFormat="1" applyFont="1" applyFill="1" applyBorder="1" applyAlignment="1" applyProtection="1"/>
    <xf numFmtId="3" fontId="15" fillId="0" borderId="0" xfId="0" applyNumberFormat="1" applyFont="1" applyAlignment="1"/>
    <xf numFmtId="173" fontId="15" fillId="0" borderId="0" xfId="0" applyFont="1" applyAlignment="1"/>
    <xf numFmtId="173" fontId="132" fillId="0" borderId="0" xfId="0" applyFont="1" applyAlignment="1"/>
    <xf numFmtId="41" fontId="49" fillId="0" borderId="0" xfId="6" applyNumberFormat="1" applyFont="1" applyFill="1" applyProtection="1">
      <protection locked="0"/>
    </xf>
    <xf numFmtId="37" fontId="24" fillId="0" borderId="1" xfId="0" applyNumberFormat="1" applyFont="1" applyFill="1" applyBorder="1" applyAlignment="1" applyProtection="1"/>
    <xf numFmtId="42" fontId="24" fillId="0" borderId="2" xfId="0" applyNumberFormat="1" applyFont="1" applyFill="1" applyBorder="1" applyAlignment="1" applyProtection="1"/>
    <xf numFmtId="3" fontId="24" fillId="0" borderId="0" xfId="0" applyNumberFormat="1" applyFont="1" applyFill="1" applyAlignment="1" applyProtection="1"/>
    <xf numFmtId="3" fontId="24" fillId="0" borderId="29" xfId="0" applyNumberFormat="1" applyFont="1" applyFill="1" applyBorder="1" applyAlignment="1" applyProtection="1"/>
    <xf numFmtId="37" fontId="24" fillId="0" borderId="0" xfId="0" applyNumberFormat="1" applyFont="1" applyFill="1" applyAlignment="1" applyProtection="1">
      <alignment vertical="top"/>
    </xf>
    <xf numFmtId="3" fontId="28" fillId="0" borderId="0" xfId="0" applyNumberFormat="1" applyFont="1" applyFill="1" applyAlignment="1" applyProtection="1">
      <alignment horizontal="center"/>
    </xf>
    <xf numFmtId="3" fontId="25" fillId="0" borderId="0" xfId="0" applyNumberFormat="1" applyFont="1" applyFill="1" applyAlignment="1" applyProtection="1">
      <alignment horizontal="center"/>
    </xf>
    <xf numFmtId="275" fontId="24" fillId="0" borderId="0" xfId="0" applyNumberFormat="1" applyFont="1" applyFill="1" applyAlignment="1" applyProtection="1">
      <alignment horizontal="right"/>
    </xf>
    <xf numFmtId="0" fontId="24" fillId="0" borderId="0" xfId="0" applyNumberFormat="1" applyFont="1" applyFill="1" applyProtection="1"/>
    <xf numFmtId="37" fontId="24" fillId="0" borderId="0" xfId="0" applyNumberFormat="1" applyFont="1" applyFill="1" applyBorder="1" applyAlignment="1" applyProtection="1">
      <alignment vertical="top"/>
    </xf>
    <xf numFmtId="173" fontId="24" fillId="0" borderId="29" xfId="0" applyFont="1" applyFill="1" applyBorder="1" applyAlignment="1" applyProtection="1"/>
    <xf numFmtId="3" fontId="24" fillId="0" borderId="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Alignment="1" applyProtection="1">
      <alignment horizontal="center"/>
    </xf>
    <xf numFmtId="37" fontId="24" fillId="0" borderId="0" xfId="0" quotePrefix="1" applyNumberFormat="1" applyFont="1" applyFill="1" applyAlignment="1" applyProtection="1"/>
    <xf numFmtId="37" fontId="24" fillId="0" borderId="0" xfId="0" applyNumberFormat="1" applyFont="1" applyFill="1" applyBorder="1" applyProtection="1"/>
    <xf numFmtId="0" fontId="24" fillId="0" borderId="1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Alignment="1" applyProtection="1"/>
    <xf numFmtId="38" fontId="24" fillId="0" borderId="0" xfId="0" applyNumberFormat="1" applyFont="1" applyFill="1" applyBorder="1" applyProtection="1"/>
    <xf numFmtId="38" fontId="24" fillId="0" borderId="1" xfId="0" applyNumberFormat="1" applyFont="1" applyFill="1" applyBorder="1" applyProtection="1"/>
    <xf numFmtId="0" fontId="24" fillId="0" borderId="0" xfId="0" applyNumberFormat="1" applyFont="1" applyFill="1" applyAlignment="1" applyProtection="1">
      <alignment horizontal="left"/>
    </xf>
    <xf numFmtId="10" fontId="28" fillId="0" borderId="22" xfId="0" applyNumberFormat="1" applyFont="1" applyBorder="1" applyAlignment="1" applyProtection="1"/>
    <xf numFmtId="38" fontId="24" fillId="0" borderId="25" xfId="0" applyNumberFormat="1" applyFont="1" applyFill="1" applyBorder="1" applyProtection="1"/>
    <xf numFmtId="38" fontId="24" fillId="0" borderId="27" xfId="0" applyNumberFormat="1" applyFont="1" applyFill="1" applyBorder="1" applyProtection="1"/>
    <xf numFmtId="0" fontId="41" fillId="0" borderId="0" xfId="9" applyFont="1" applyFill="1" applyAlignment="1">
      <alignment horizontal="center"/>
    </xf>
    <xf numFmtId="0" fontId="128" fillId="0" borderId="0" xfId="0" applyNumberFormat="1" applyFont="1" applyAlignment="1" applyProtection="1">
      <protection locked="0"/>
    </xf>
    <xf numFmtId="0" fontId="24" fillId="0" borderId="0" xfId="0" applyNumberFormat="1" applyFont="1" applyAlignment="1" applyProtection="1">
      <alignment horizontal="right"/>
    </xf>
    <xf numFmtId="173" fontId="40" fillId="0" borderId="0" xfId="0" applyFont="1" applyAlignment="1" applyProtection="1">
      <alignment horizontal="centerContinuous"/>
    </xf>
    <xf numFmtId="0" fontId="24" fillId="0" borderId="0" xfId="8" applyFont="1" applyAlignment="1" applyProtection="1">
      <alignment horizontal="centerContinuous"/>
    </xf>
    <xf numFmtId="0" fontId="24" fillId="0" borderId="0" xfId="8" applyFont="1" applyProtection="1"/>
    <xf numFmtId="0" fontId="24" fillId="0" borderId="0" xfId="8" applyFont="1" applyAlignment="1" applyProtection="1">
      <alignment horizontal="right"/>
    </xf>
    <xf numFmtId="0" fontId="28" fillId="0" borderId="0" xfId="8" applyFont="1" applyAlignment="1" applyProtection="1">
      <alignment horizontal="centerContinuous"/>
    </xf>
    <xf numFmtId="0" fontId="15" fillId="0" borderId="0" xfId="0" applyNumberFormat="1" applyFont="1" applyAlignment="1" applyProtection="1">
      <alignment horizontal="right"/>
    </xf>
    <xf numFmtId="173" fontId="15" fillId="0" borderId="0" xfId="0" applyFont="1" applyAlignment="1" applyProtection="1">
      <alignment horizontal="centerContinuous"/>
    </xf>
    <xf numFmtId="0" fontId="15" fillId="0" borderId="0" xfId="8" applyFont="1" applyAlignment="1" applyProtection="1">
      <alignment horizontal="right"/>
    </xf>
    <xf numFmtId="173" fontId="15" fillId="0" borderId="0" xfId="0" applyFont="1" applyAlignment="1" applyProtection="1"/>
    <xf numFmtId="173" fontId="17" fillId="0" borderId="0" xfId="0" applyFont="1" applyAlignment="1" applyProtection="1">
      <alignment horizontal="centerContinuous"/>
    </xf>
    <xf numFmtId="0" fontId="29" fillId="0" borderId="0" xfId="6" applyAlignment="1" applyProtection="1">
      <alignment horizontal="centerContinuous"/>
    </xf>
    <xf numFmtId="0" fontId="29" fillId="0" borderId="0" xfId="6" applyProtection="1"/>
    <xf numFmtId="0" fontId="17" fillId="0" borderId="0" xfId="5" applyFont="1" applyBorder="1" applyAlignment="1" applyProtection="1">
      <alignment horizontal="center"/>
    </xf>
    <xf numFmtId="0" fontId="15" fillId="0" borderId="0" xfId="7" applyFont="1" applyProtection="1"/>
    <xf numFmtId="0" fontId="19" fillId="0" borderId="0" xfId="0" applyNumberFormat="1" applyFont="1" applyAlignment="1" applyProtection="1">
      <alignment horizontal="right"/>
    </xf>
    <xf numFmtId="0" fontId="17" fillId="0" borderId="8" xfId="7" applyFont="1" applyBorder="1" applyAlignment="1">
      <alignment horizontal="center" vertical="center"/>
    </xf>
    <xf numFmtId="42" fontId="46" fillId="0" borderId="0" xfId="7" applyNumberFormat="1" applyFont="1" applyAlignment="1">
      <alignment horizontal="left"/>
    </xf>
    <xf numFmtId="277" fontId="15" fillId="0" borderId="0" xfId="0" applyNumberFormat="1" applyFont="1" applyFill="1" applyAlignment="1">
      <alignment horizontal="right"/>
    </xf>
    <xf numFmtId="173" fontId="15" fillId="0" borderId="0" xfId="0" applyFont="1" applyFill="1" applyAlignment="1">
      <alignment horizontal="center"/>
    </xf>
    <xf numFmtId="3" fontId="48" fillId="0" borderId="0" xfId="0" applyNumberFormat="1" applyFont="1" applyAlignment="1"/>
    <xf numFmtId="0" fontId="48" fillId="0" borderId="0" xfId="0" applyNumberFormat="1" applyFont="1"/>
    <xf numFmtId="0" fontId="48" fillId="0" borderId="0" xfId="0" applyNumberFormat="1" applyFont="1" applyAlignment="1">
      <alignment wrapText="1"/>
    </xf>
    <xf numFmtId="3" fontId="48" fillId="0" borderId="0" xfId="0" applyNumberFormat="1" applyFont="1" applyFill="1" applyAlignment="1"/>
    <xf numFmtId="173" fontId="48" fillId="0" borderId="0" xfId="0" applyFont="1" applyAlignment="1"/>
    <xf numFmtId="3" fontId="48" fillId="0" borderId="1" xfId="0" applyNumberFormat="1" applyFont="1" applyBorder="1" applyAlignment="1"/>
    <xf numFmtId="173" fontId="0" fillId="0" borderId="0" xfId="0" applyAlignment="1"/>
    <xf numFmtId="0" fontId="15" fillId="0" borderId="0" xfId="0" applyNumberFormat="1" applyFont="1" applyAlignment="1"/>
    <xf numFmtId="173" fontId="15" fillId="0" borderId="0" xfId="0" applyFont="1" applyAlignment="1"/>
    <xf numFmtId="0" fontId="15" fillId="0" borderId="0" xfId="0" applyNumberFormat="1" applyFont="1" applyAlignment="1" applyProtection="1">
      <protection locked="0"/>
    </xf>
    <xf numFmtId="0" fontId="15" fillId="0" borderId="0" xfId="0" quotePrefix="1" applyNumberFormat="1" applyFont="1" applyAlignment="1" applyProtection="1">
      <alignment horizontal="left"/>
      <protection locked="0"/>
    </xf>
    <xf numFmtId="0" fontId="15" fillId="0" borderId="0" xfId="0" quotePrefix="1" applyNumberFormat="1" applyFont="1" applyAlignment="1">
      <alignment horizontal="left"/>
    </xf>
    <xf numFmtId="173" fontId="0" fillId="0" borderId="0" xfId="0" applyAlignment="1"/>
    <xf numFmtId="0" fontId="15" fillId="0" borderId="0" xfId="0" applyNumberFormat="1" applyFont="1" applyAlignment="1"/>
    <xf numFmtId="173" fontId="15" fillId="0" borderId="0" xfId="0" applyFont="1" applyAlignme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 applyProtection="1">
      <alignment horizontal="left"/>
      <protection locked="0"/>
    </xf>
    <xf numFmtId="173" fontId="15" fillId="0" borderId="0" xfId="0" applyFont="1" applyFill="1" applyAlignment="1"/>
    <xf numFmtId="0" fontId="15" fillId="0" borderId="0" xfId="0" applyNumberFormat="1" applyFont="1" applyAlignment="1">
      <alignment horizontal="left" indent="1"/>
    </xf>
    <xf numFmtId="0" fontId="15" fillId="0" borderId="0" xfId="0" applyNumberFormat="1" applyFont="1" applyAlignment="1">
      <alignment horizontal="left" indent="3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Fill="1" applyAlignment="1">
      <alignment horizontal="left" indent="1"/>
    </xf>
    <xf numFmtId="0" fontId="15" fillId="0" borderId="0" xfId="0" applyNumberFormat="1" applyFont="1" applyFill="1" applyAlignment="1"/>
    <xf numFmtId="173" fontId="0" fillId="0" borderId="0" xfId="0" applyAlignment="1"/>
    <xf numFmtId="0" fontId="15" fillId="0" borderId="0" xfId="0" applyNumberFormat="1" applyFont="1" applyAlignment="1"/>
    <xf numFmtId="173" fontId="15" fillId="0" borderId="0" xfId="0" applyFont="1" applyAlignme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 applyProtection="1">
      <alignment horizontal="left"/>
      <protection locked="0"/>
    </xf>
    <xf numFmtId="173" fontId="15" fillId="0" borderId="0" xfId="0" applyFont="1" applyFill="1" applyAlignment="1"/>
    <xf numFmtId="0" fontId="15" fillId="0" borderId="0" xfId="0" applyNumberFormat="1" applyFont="1" applyAlignment="1">
      <alignment horizontal="left" indent="1"/>
    </xf>
    <xf numFmtId="0" fontId="15" fillId="0" borderId="0" xfId="0" applyNumberFormat="1" applyFont="1" applyAlignment="1">
      <alignment horizontal="left" indent="3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Fill="1" applyAlignment="1">
      <alignment horizontal="left" indent="1"/>
    </xf>
    <xf numFmtId="0" fontId="15" fillId="0" borderId="0" xfId="0" applyNumberFormat="1" applyFont="1" applyFill="1" applyAlignment="1"/>
    <xf numFmtId="173" fontId="0" fillId="0" borderId="0" xfId="0" applyAlignment="1"/>
    <xf numFmtId="0" fontId="15" fillId="0" borderId="0" xfId="0" applyNumberFormat="1" applyFont="1" applyAlignment="1"/>
    <xf numFmtId="173" fontId="15" fillId="0" borderId="0" xfId="0" applyFont="1" applyAlignme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 applyProtection="1">
      <alignment horizontal="left"/>
      <protection locked="0"/>
    </xf>
    <xf numFmtId="173" fontId="15" fillId="0" borderId="0" xfId="0" applyFont="1" applyFill="1" applyAlignment="1"/>
    <xf numFmtId="0" fontId="15" fillId="0" borderId="0" xfId="0" applyNumberFormat="1" applyFont="1" applyAlignment="1">
      <alignment horizontal="left" indent="1"/>
    </xf>
    <xf numFmtId="0" fontId="15" fillId="0" borderId="0" xfId="0" applyNumberFormat="1" applyFont="1" applyAlignment="1">
      <alignment horizontal="left" indent="3"/>
    </xf>
    <xf numFmtId="0" fontId="15" fillId="0" borderId="0" xfId="0" quotePrefix="1" applyNumberFormat="1" applyFont="1" applyFill="1" applyAlignment="1">
      <alignment horizontal="left" indent="1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Fill="1" applyAlignment="1">
      <alignment horizontal="left" indent="1"/>
    </xf>
    <xf numFmtId="0" fontId="15" fillId="0" borderId="0" xfId="0" applyNumberFormat="1" applyFont="1" applyFill="1" applyAlignment="1"/>
    <xf numFmtId="173" fontId="15" fillId="0" borderId="0" xfId="0" applyFont="1" applyAlignme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horizontal="center"/>
      <protection locked="0"/>
    </xf>
    <xf numFmtId="3" fontId="15" fillId="0" borderId="0" xfId="0" applyNumberFormat="1" applyFont="1" applyFill="1" applyAlignment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alignment horizontal="center"/>
      <protection locked="0"/>
    </xf>
    <xf numFmtId="0" fontId="43" fillId="0" borderId="0" xfId="0" applyNumberFormat="1" applyFont="1" applyFill="1" applyProtection="1">
      <protection locked="0"/>
    </xf>
    <xf numFmtId="173" fontId="15" fillId="0" borderId="0" xfId="0" applyFont="1" applyAlignment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173" fontId="15" fillId="0" borderId="0" xfId="0" applyFont="1" applyFill="1" applyAlignment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0" fontId="15" fillId="0" borderId="0" xfId="0" applyNumberFormat="1" applyFont="1"/>
    <xf numFmtId="173" fontId="15" fillId="0" borderId="0" xfId="0" applyFont="1" applyAlignment="1"/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0" fontId="15" fillId="0" borderId="0" xfId="0" applyNumberFormat="1" applyFont="1"/>
    <xf numFmtId="173" fontId="15" fillId="0" borderId="0" xfId="0" applyFont="1" applyAlignment="1"/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0" fontId="15" fillId="0" borderId="0" xfId="0" applyNumberFormat="1" applyFont="1"/>
    <xf numFmtId="3" fontId="15" fillId="0" borderId="0" xfId="0" applyNumberFormat="1" applyFont="1" applyAlignment="1"/>
    <xf numFmtId="173" fontId="15" fillId="0" borderId="0" xfId="0" applyFont="1" applyAlignment="1"/>
    <xf numFmtId="0" fontId="15" fillId="0" borderId="0" xfId="0" applyNumberFormat="1" applyFont="1" applyFill="1" applyAlignment="1" applyProtection="1">
      <protection locked="0"/>
    </xf>
    <xf numFmtId="0" fontId="15" fillId="0" borderId="0" xfId="0" applyNumberFormat="1" applyFont="1" applyFill="1"/>
    <xf numFmtId="173" fontId="15" fillId="0" borderId="0" xfId="0" applyFont="1" applyFill="1" applyAlignment="1"/>
    <xf numFmtId="173" fontId="14" fillId="0" borderId="0" xfId="0" applyFont="1" applyFill="1" applyBorder="1" applyAlignment="1"/>
    <xf numFmtId="170" fontId="15" fillId="0" borderId="0" xfId="0" applyNumberFormat="1" applyFont="1" applyFill="1" applyBorder="1" applyAlignment="1"/>
    <xf numFmtId="173" fontId="15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/>
    </xf>
    <xf numFmtId="173" fontId="15" fillId="0" borderId="0" xfId="0" applyFont="1" applyFill="1" applyBorder="1" applyAlignment="1"/>
    <xf numFmtId="173" fontId="15" fillId="0" borderId="0" xfId="0" applyFont="1" applyFill="1" applyBorder="1" applyAlignment="1"/>
    <xf numFmtId="173" fontId="15" fillId="0" borderId="0" xfId="0" applyFont="1" applyFill="1" applyBorder="1" applyAlignment="1"/>
    <xf numFmtId="173" fontId="15" fillId="0" borderId="0" xfId="0" applyFont="1" applyFill="1" applyBorder="1" applyAlignment="1"/>
    <xf numFmtId="173" fontId="0" fillId="0" borderId="0" xfId="0" applyAlignment="1"/>
    <xf numFmtId="173" fontId="0" fillId="0" borderId="0" xfId="0" applyAlignment="1">
      <alignment horizontal="center"/>
    </xf>
    <xf numFmtId="173" fontId="20" fillId="0" borderId="0" xfId="0" applyFont="1" applyAlignment="1"/>
    <xf numFmtId="173" fontId="0" fillId="0" borderId="0" xfId="0" quotePrefix="1" applyAlignment="1">
      <alignment horizontal="center"/>
    </xf>
    <xf numFmtId="173" fontId="20" fillId="0" borderId="0" xfId="0" quotePrefix="1" applyFont="1" applyAlignment="1">
      <alignment horizontal="left"/>
    </xf>
    <xf numFmtId="173" fontId="0" fillId="0" borderId="0" xfId="0" quotePrefix="1" applyAlignment="1">
      <alignment horizontal="left"/>
    </xf>
    <xf numFmtId="173" fontId="0" fillId="0" borderId="0" xfId="0" quotePrefix="1" applyAlignment="1">
      <alignment horizontal="right"/>
    </xf>
    <xf numFmtId="173" fontId="15" fillId="0" borderId="0" xfId="0" applyFont="1" applyAlignment="1"/>
    <xf numFmtId="173" fontId="0" fillId="0" borderId="0" xfId="0" quotePrefix="1" applyFont="1" applyAlignment="1">
      <alignment horizontal="left"/>
    </xf>
    <xf numFmtId="173" fontId="0" fillId="0" borderId="0" xfId="0" applyAlignment="1">
      <alignment horizontal="left"/>
    </xf>
    <xf numFmtId="173" fontId="39" fillId="0" borderId="0" xfId="0" applyFont="1" applyAlignment="1"/>
    <xf numFmtId="0" fontId="15" fillId="0" borderId="0" xfId="357" applyFont="1" applyAlignment="1">
      <alignment horizontal="left"/>
    </xf>
    <xf numFmtId="0" fontId="15" fillId="0" borderId="0" xfId="357" applyFont="1" applyAlignment="1">
      <alignment horizontal="left" indent="1"/>
    </xf>
    <xf numFmtId="173" fontId="17" fillId="0" borderId="0" xfId="0" applyFont="1" applyAlignment="1">
      <alignment horizontal="centerContinuous"/>
    </xf>
    <xf numFmtId="0" fontId="15" fillId="0" borderId="0" xfId="357" applyFont="1"/>
    <xf numFmtId="173" fontId="15" fillId="0" borderId="0" xfId="0" applyFont="1" applyAlignment="1">
      <alignment horizontal="center"/>
    </xf>
    <xf numFmtId="0" fontId="15" fillId="0" borderId="0" xfId="0" applyNumberFormat="1" applyFont="1"/>
    <xf numFmtId="173" fontId="15" fillId="0" borderId="0" xfId="0" applyFont="1" applyAlignment="1"/>
    <xf numFmtId="0" fontId="24" fillId="0" borderId="0" xfId="373" applyFont="1" applyAlignment="1">
      <alignment horizontal="left" indent="1"/>
    </xf>
    <xf numFmtId="0" fontId="24" fillId="0" borderId="0" xfId="0" applyNumberFormat="1" applyFont="1" applyFill="1" applyAlignment="1" applyProtection="1">
      <alignment horizontal="left" indent="1"/>
      <protection locked="0"/>
    </xf>
    <xf numFmtId="5" fontId="0" fillId="0" borderId="0" xfId="0" applyNumberFormat="1" applyAlignment="1"/>
    <xf numFmtId="173" fontId="15" fillId="0" borderId="0" xfId="0" applyFont="1" applyAlignment="1"/>
    <xf numFmtId="0" fontId="15" fillId="0" borderId="0" xfId="0" applyNumberFormat="1" applyFont="1" applyFill="1" applyAlignment="1" applyProtection="1">
      <protection locked="0"/>
    </xf>
    <xf numFmtId="173" fontId="15" fillId="0" borderId="0" xfId="0" applyFont="1" applyAlignment="1"/>
    <xf numFmtId="0" fontId="15" fillId="0" borderId="0" xfId="0" applyNumberFormat="1" applyFont="1" applyFill="1" applyAlignment="1" applyProtection="1">
      <protection locked="0"/>
    </xf>
    <xf numFmtId="0" fontId="19" fillId="0" borderId="0" xfId="15" applyFont="1" applyFill="1"/>
    <xf numFmtId="0" fontId="19" fillId="0" borderId="0" xfId="15" applyFont="1" applyFill="1" applyBorder="1"/>
    <xf numFmtId="173" fontId="110" fillId="0" borderId="0" xfId="0" applyFont="1" applyAlignment="1">
      <alignment horizontal="center"/>
    </xf>
    <xf numFmtId="0" fontId="15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>
      <alignment vertical="center"/>
    </xf>
    <xf numFmtId="173" fontId="0" fillId="4" borderId="3" xfId="0" applyFill="1" applyBorder="1" applyAlignment="1">
      <alignment vertical="top"/>
    </xf>
    <xf numFmtId="173" fontId="0" fillId="4" borderId="0" xfId="0" applyFill="1" applyBorder="1" applyAlignment="1">
      <alignment vertical="top"/>
    </xf>
    <xf numFmtId="173" fontId="0" fillId="4" borderId="0" xfId="0" applyFill="1" applyBorder="1" applyAlignment="1">
      <alignment vertical="top" wrapText="1"/>
    </xf>
    <xf numFmtId="0" fontId="0" fillId="4" borderId="0" xfId="0" applyNumberFormat="1" applyFill="1" applyBorder="1" applyAlignment="1">
      <alignment horizontal="left" vertical="top" wrapText="1"/>
    </xf>
    <xf numFmtId="175" fontId="47" fillId="2" borderId="0" xfId="12" applyNumberFormat="1" applyFont="1" applyFill="1" applyBorder="1" applyAlignment="1">
      <alignment vertical="top"/>
    </xf>
    <xf numFmtId="10" fontId="0" fillId="0" borderId="0" xfId="11" applyNumberFormat="1" applyFont="1" applyFill="1" applyBorder="1" applyAlignment="1">
      <alignment vertical="top"/>
    </xf>
    <xf numFmtId="173" fontId="0" fillId="0" borderId="17" xfId="0" applyFill="1" applyBorder="1" applyAlignment="1">
      <alignment vertical="top"/>
    </xf>
    <xf numFmtId="170" fontId="47" fillId="2" borderId="0" xfId="0" applyNumberFormat="1" applyFont="1" applyFill="1" applyBorder="1" applyAlignment="1">
      <alignment vertical="top"/>
    </xf>
    <xf numFmtId="175" fontId="15" fillId="2" borderId="0" xfId="12" applyNumberFormat="1" applyFont="1" applyFill="1" applyBorder="1" applyAlignment="1">
      <alignment vertical="top"/>
    </xf>
    <xf numFmtId="175" fontId="0" fillId="4" borderId="0" xfId="12" applyNumberFormat="1" applyFont="1" applyFill="1" applyBorder="1" applyAlignment="1">
      <alignment vertical="top"/>
    </xf>
    <xf numFmtId="175" fontId="0" fillId="0" borderId="0" xfId="12" applyNumberFormat="1" applyFont="1" applyFill="1" applyBorder="1" applyAlignment="1">
      <alignment vertical="top"/>
    </xf>
    <xf numFmtId="170" fontId="0" fillId="0" borderId="0" xfId="0" applyNumberFormat="1" applyFill="1" applyBorder="1" applyAlignment="1">
      <alignment vertical="top"/>
    </xf>
    <xf numFmtId="175" fontId="0" fillId="2" borderId="0" xfId="12" applyNumberFormat="1" applyFont="1" applyFill="1" applyBorder="1" applyAlignment="1">
      <alignment vertical="top"/>
    </xf>
    <xf numFmtId="170" fontId="0" fillId="2" borderId="0" xfId="0" applyNumberFormat="1" applyFill="1" applyBorder="1" applyAlignment="1">
      <alignment vertical="top"/>
    </xf>
    <xf numFmtId="174" fontId="47" fillId="4" borderId="0" xfId="329" applyNumberFormat="1" applyFont="1" applyFill="1" applyBorder="1" applyAlignment="1"/>
    <xf numFmtId="10" fontId="0" fillId="0" borderId="0" xfId="328" applyNumberFormat="1" applyFont="1" applyAlignment="1"/>
    <xf numFmtId="0" fontId="15" fillId="0" borderId="0" xfId="371" applyFont="1" applyBorder="1" applyAlignment="1">
      <alignment horizontal="left" vertical="center"/>
    </xf>
    <xf numFmtId="0" fontId="15" fillId="0" borderId="0" xfId="372" applyFont="1" applyAlignment="1">
      <alignment horizontal="left" vertical="center"/>
    </xf>
    <xf numFmtId="42" fontId="15" fillId="0" borderId="0" xfId="7" applyNumberFormat="1" applyFont="1" applyAlignment="1">
      <alignment vertical="center"/>
    </xf>
    <xf numFmtId="37" fontId="15" fillId="0" borderId="0" xfId="7" applyNumberFormat="1" applyFont="1" applyAlignment="1">
      <alignment vertical="center"/>
    </xf>
    <xf numFmtId="175" fontId="0" fillId="0" borderId="0" xfId="327" applyNumberFormat="1" applyFont="1" applyFill="1" applyAlignment="1"/>
    <xf numFmtId="0" fontId="15" fillId="0" borderId="0" xfId="371" applyFont="1" applyFill="1" applyBorder="1" applyAlignment="1">
      <alignment horizontal="left"/>
    </xf>
    <xf numFmtId="0" fontId="4" fillId="0" borderId="0" xfId="457"/>
    <xf numFmtId="0" fontId="15" fillId="0" borderId="0" xfId="357" applyFont="1" applyFill="1" applyAlignment="1">
      <alignment horizontal="left" vertical="center"/>
    </xf>
    <xf numFmtId="174" fontId="50" fillId="0" borderId="0" xfId="13" applyNumberFormat="1" applyFont="1" applyFill="1"/>
    <xf numFmtId="0" fontId="15" fillId="0" borderId="0" xfId="371" applyFont="1" applyBorder="1" applyAlignment="1">
      <alignment horizontal="left" indent="1"/>
    </xf>
    <xf numFmtId="174" fontId="49" fillId="0" borderId="0" xfId="13" applyNumberFormat="1" applyFont="1" applyFill="1" applyProtection="1">
      <protection locked="0"/>
    </xf>
    <xf numFmtId="0" fontId="15" fillId="0" borderId="0" xfId="357" applyFont="1" applyAlignment="1">
      <alignment horizontal="left" indent="1"/>
    </xf>
    <xf numFmtId="0" fontId="26" fillId="0" borderId="0" xfId="425" quotePrefix="1" applyFont="1" applyFill="1" applyBorder="1" applyAlignment="1">
      <alignment horizontal="center"/>
    </xf>
    <xf numFmtId="0" fontId="15" fillId="0" borderId="0" xfId="372" applyFont="1" applyFill="1" applyAlignment="1">
      <alignment horizontal="left" vertical="center"/>
    </xf>
    <xf numFmtId="0" fontId="15" fillId="0" borderId="0" xfId="371" applyFont="1" applyBorder="1" applyAlignment="1">
      <alignment horizontal="left"/>
    </xf>
    <xf numFmtId="0" fontId="15" fillId="0" borderId="0" xfId="357" applyFont="1"/>
    <xf numFmtId="173" fontId="17" fillId="0" borderId="0" xfId="0" applyFont="1" applyAlignment="1">
      <alignment horizontal="centerContinuous"/>
    </xf>
    <xf numFmtId="173" fontId="15" fillId="0" borderId="0" xfId="0" applyFont="1" applyAlignment="1">
      <alignment horizontal="centerContinuous"/>
    </xf>
    <xf numFmtId="174" fontId="48" fillId="0" borderId="0" xfId="13" applyNumberFormat="1" applyFont="1" applyFill="1" applyProtection="1">
      <protection locked="0"/>
    </xf>
    <xf numFmtId="0" fontId="15" fillId="0" borderId="0" xfId="371" applyFont="1" applyBorder="1" applyAlignment="1">
      <alignment horizontal="left"/>
    </xf>
    <xf numFmtId="41" fontId="24" fillId="0" borderId="0" xfId="13" applyNumberFormat="1" applyFont="1" applyBorder="1"/>
    <xf numFmtId="41" fontId="24" fillId="0" borderId="0" xfId="425" applyNumberFormat="1" applyFont="1" applyBorder="1"/>
    <xf numFmtId="0" fontId="24" fillId="0" borderId="0" xfId="425" applyFont="1" applyFill="1" applyBorder="1"/>
    <xf numFmtId="0" fontId="15" fillId="0" borderId="0" xfId="357" applyFont="1" applyAlignment="1">
      <alignment horizontal="left" vertical="center"/>
    </xf>
    <xf numFmtId="0" fontId="15" fillId="0" borderId="0" xfId="357" applyFont="1" applyAlignment="1">
      <alignment horizontal="left" vertical="center"/>
    </xf>
    <xf numFmtId="0" fontId="38" fillId="0" borderId="0" xfId="357" applyFont="1" applyAlignment="1">
      <alignment horizontal="center"/>
    </xf>
    <xf numFmtId="0" fontId="26" fillId="0" borderId="0" xfId="425" applyFont="1" applyFill="1" applyBorder="1" applyAlignment="1">
      <alignment horizontal="center"/>
    </xf>
    <xf numFmtId="10" fontId="24" fillId="0" borderId="0" xfId="11" applyNumberFormat="1" applyFont="1" applyFill="1"/>
    <xf numFmtId="10" fontId="26" fillId="0" borderId="0" xfId="11" applyNumberFormat="1" applyFont="1" applyFill="1" applyBorder="1"/>
    <xf numFmtId="3" fontId="24" fillId="0" borderId="1" xfId="0" quotePrefix="1" applyNumberFormat="1" applyFont="1" applyBorder="1" applyAlignment="1" applyProtection="1">
      <protection locked="0"/>
    </xf>
    <xf numFmtId="3" fontId="24" fillId="0" borderId="0" xfId="0" applyNumberFormat="1" applyFont="1" applyAlignment="1" applyProtection="1">
      <protection locked="0"/>
    </xf>
    <xf numFmtId="0" fontId="24" fillId="0" borderId="0" xfId="0" quotePrefix="1" applyNumberFormat="1" applyFont="1" applyFill="1" applyAlignment="1" applyProtection="1">
      <alignment vertical="top" wrapText="1"/>
      <protection locked="0"/>
    </xf>
    <xf numFmtId="3" fontId="24" fillId="0" borderId="0" xfId="0" applyNumberFormat="1" applyFont="1" applyFill="1" applyAlignment="1" applyProtection="1">
      <protection locked="0"/>
    </xf>
    <xf numFmtId="3" fontId="15" fillId="0" borderId="0" xfId="0" applyNumberFormat="1" applyFont="1" applyAlignment="1">
      <alignment vertical="top"/>
    </xf>
    <xf numFmtId="3" fontId="48" fillId="0" borderId="0" xfId="0" applyNumberFormat="1" applyFont="1" applyFill="1" applyAlignment="1">
      <alignment vertical="top"/>
    </xf>
    <xf numFmtId="3" fontId="48" fillId="0" borderId="0" xfId="0" applyNumberFormat="1" applyFont="1" applyAlignment="1">
      <alignment vertical="top"/>
    </xf>
    <xf numFmtId="173" fontId="15" fillId="0" borderId="0" xfId="0" applyFont="1" applyAlignment="1"/>
    <xf numFmtId="42" fontId="15" fillId="0" borderId="0" xfId="0" applyNumberFormat="1" applyFont="1" applyAlignment="1"/>
    <xf numFmtId="5" fontId="47" fillId="0" borderId="0" xfId="0" applyNumberFormat="1" applyFont="1" applyAlignment="1"/>
    <xf numFmtId="41" fontId="15" fillId="0" borderId="0" xfId="6" applyNumberFormat="1" applyFont="1" applyFill="1"/>
    <xf numFmtId="275" fontId="24" fillId="0" borderId="0" xfId="0" applyNumberFormat="1" applyFont="1" applyFill="1" applyAlignment="1" applyProtection="1">
      <alignment horizontal="right"/>
      <protection locked="0"/>
    </xf>
    <xf numFmtId="14" fontId="130" fillId="17" borderId="11" xfId="0" applyNumberFormat="1" applyFont="1" applyFill="1" applyBorder="1" applyAlignment="1" applyProtection="1">
      <protection locked="0"/>
    </xf>
    <xf numFmtId="14" fontId="17" fillId="17" borderId="7" xfId="0" applyNumberFormat="1" applyFont="1" applyFill="1" applyBorder="1" applyAlignment="1" applyProtection="1"/>
    <xf numFmtId="37" fontId="48" fillId="0" borderId="0" xfId="7" applyNumberFormat="1" applyFont="1" applyFill="1" applyAlignment="1" applyProtection="1">
      <alignment vertical="center"/>
      <protection locked="0"/>
    </xf>
    <xf numFmtId="42" fontId="48" fillId="4" borderId="0" xfId="325" applyNumberFormat="1" applyFont="1" applyFill="1" applyBorder="1" applyAlignment="1" applyProtection="1">
      <protection locked="0"/>
    </xf>
    <xf numFmtId="174" fontId="47" fillId="0" borderId="0" xfId="329" applyNumberFormat="1" applyFont="1" applyFill="1" applyBorder="1" applyAlignment="1"/>
    <xf numFmtId="174" fontId="0" fillId="0" borderId="0" xfId="329" applyNumberFormat="1" applyFont="1" applyFill="1" applyAlignment="1"/>
    <xf numFmtId="175" fontId="47" fillId="0" borderId="0" xfId="327" applyNumberFormat="1" applyFont="1" applyFill="1" applyAlignment="1"/>
    <xf numFmtId="10" fontId="128" fillId="4" borderId="20" xfId="0" applyNumberFormat="1" applyFont="1" applyFill="1" applyBorder="1" applyAlignment="1" applyProtection="1">
      <protection locked="0"/>
    </xf>
    <xf numFmtId="37" fontId="24" fillId="0" borderId="0" xfId="0" applyNumberFormat="1" applyFont="1" applyFill="1" applyBorder="1" applyAlignment="1" applyProtection="1">
      <alignment vertical="top"/>
      <protection locked="0"/>
    </xf>
    <xf numFmtId="41" fontId="51" fillId="0" borderId="0" xfId="8" applyNumberFormat="1" applyFont="1" applyFill="1" applyProtection="1">
      <protection locked="0"/>
    </xf>
    <xf numFmtId="37" fontId="48" fillId="0" borderId="0" xfId="357" applyNumberFormat="1" applyFont="1" applyFill="1" applyAlignment="1" applyProtection="1">
      <alignment vertical="center"/>
      <protection locked="0"/>
    </xf>
    <xf numFmtId="9" fontId="41" fillId="0" borderId="0" xfId="15" applyNumberFormat="1" applyFont="1" applyFill="1" applyBorder="1"/>
    <xf numFmtId="0" fontId="1" fillId="0" borderId="0" xfId="557"/>
    <xf numFmtId="0" fontId="41" fillId="0" borderId="0" xfId="430" applyFont="1" applyFill="1"/>
    <xf numFmtId="0" fontId="159" fillId="0" borderId="0" xfId="430" applyFont="1" applyFill="1" applyAlignment="1">
      <alignment horizontal="right"/>
    </xf>
    <xf numFmtId="0" fontId="1" fillId="0" borderId="0" xfId="556"/>
    <xf numFmtId="0" fontId="19" fillId="0" borderId="0" xfId="430" applyFont="1" applyFill="1" applyAlignment="1">
      <alignment horizontal="center"/>
    </xf>
    <xf numFmtId="0" fontId="19" fillId="0" borderId="0" xfId="430" applyFont="1" applyFill="1" applyBorder="1" applyAlignment="1">
      <alignment horizontal="center"/>
    </xf>
    <xf numFmtId="49" fontId="41" fillId="0" borderId="0" xfId="430" applyNumberFormat="1" applyFont="1" applyFill="1" applyAlignment="1">
      <alignment horizontal="center"/>
    </xf>
    <xf numFmtId="14" fontId="41" fillId="0" borderId="6" xfId="430" applyNumberFormat="1" applyFont="1" applyFill="1" applyBorder="1" applyAlignment="1">
      <alignment horizontal="center"/>
    </xf>
    <xf numFmtId="0" fontId="19" fillId="0" borderId="0" xfId="430" applyFont="1" applyFill="1" applyBorder="1"/>
    <xf numFmtId="9" fontId="41" fillId="0" borderId="0" xfId="430" applyNumberFormat="1" applyFont="1" applyFill="1"/>
    <xf numFmtId="175" fontId="41" fillId="0" borderId="13" xfId="12" applyNumberFormat="1" applyFont="1" applyFill="1" applyBorder="1"/>
    <xf numFmtId="0" fontId="15" fillId="0" borderId="0" xfId="325" applyNumberFormat="1" applyFont="1" applyFill="1" applyAlignment="1" applyProtection="1">
      <alignment horizontal="center"/>
      <protection locked="0"/>
    </xf>
    <xf numFmtId="41" fontId="48" fillId="0" borderId="0" xfId="0" applyNumberFormat="1" applyFont="1" applyFill="1" applyAlignment="1" applyProtection="1">
      <protection locked="0"/>
    </xf>
    <xf numFmtId="41" fontId="49" fillId="0" borderId="0" xfId="0" applyNumberFormat="1" applyFont="1" applyFill="1" applyAlignment="1" applyProtection="1">
      <protection locked="0"/>
    </xf>
    <xf numFmtId="42" fontId="48" fillId="0" borderId="0" xfId="7" applyNumberFormat="1" applyFont="1" applyFill="1"/>
    <xf numFmtId="41" fontId="48" fillId="0" borderId="0" xfId="7" applyNumberFormat="1" applyFont="1" applyFill="1" applyProtection="1">
      <protection locked="0"/>
    </xf>
    <xf numFmtId="41" fontId="50" fillId="0" borderId="0" xfId="0" applyNumberFormat="1" applyFont="1" applyFill="1" applyAlignment="1" applyProtection="1">
      <protection locked="0"/>
    </xf>
    <xf numFmtId="41" fontId="48" fillId="0" borderId="0" xfId="6" applyNumberFormat="1" applyFont="1" applyFill="1" applyProtection="1">
      <protection locked="0"/>
    </xf>
    <xf numFmtId="41" fontId="15" fillId="0" borderId="0" xfId="6" applyNumberFormat="1" applyFont="1" applyFill="1" applyProtection="1">
      <protection locked="0"/>
    </xf>
    <xf numFmtId="41" fontId="39" fillId="0" borderId="0" xfId="6" applyNumberFormat="1" applyFont="1" applyFill="1" applyProtection="1">
      <protection locked="0"/>
    </xf>
    <xf numFmtId="169" fontId="17" fillId="0" borderId="0" xfId="0" applyNumberFormat="1" applyFont="1" applyFill="1" applyAlignment="1"/>
    <xf numFmtId="173" fontId="24" fillId="0" borderId="0" xfId="0" applyFont="1" applyFill="1" applyAlignment="1"/>
    <xf numFmtId="175" fontId="47" fillId="4" borderId="0" xfId="12" applyNumberFormat="1" applyFont="1" applyFill="1" applyBorder="1" applyAlignment="1"/>
    <xf numFmtId="170" fontId="47" fillId="4" borderId="0" xfId="0" applyNumberFormat="1" applyFont="1" applyFill="1" applyBorder="1" applyAlignment="1"/>
    <xf numFmtId="41" fontId="15" fillId="0" borderId="6" xfId="6" applyNumberFormat="1" applyFont="1" applyFill="1" applyBorder="1"/>
    <xf numFmtId="37" fontId="24" fillId="0" borderId="0" xfId="0" applyNumberFormat="1" applyFont="1" applyFill="1" applyAlignment="1" applyProtection="1">
      <alignment vertical="top"/>
      <protection locked="0"/>
    </xf>
    <xf numFmtId="0" fontId="29" fillId="0" borderId="0" xfId="6" applyAlignment="1">
      <alignment horizontal="center"/>
    </xf>
    <xf numFmtId="0" fontId="24" fillId="0" borderId="0" xfId="6" quotePrefix="1" applyFont="1" applyAlignment="1">
      <alignment horizontal="center"/>
    </xf>
    <xf numFmtId="0" fontId="29" fillId="0" borderId="0" xfId="7" applyAlignment="1">
      <alignment horizontal="center"/>
    </xf>
    <xf numFmtId="0" fontId="17" fillId="0" borderId="0" xfId="373" applyFont="1" applyAlignment="1">
      <alignment horizontal="centerContinuous"/>
    </xf>
    <xf numFmtId="37" fontId="15" fillId="0" borderId="0" xfId="0" applyNumberFormat="1" applyFont="1" applyAlignment="1">
      <alignment horizontal="center" vertical="top"/>
    </xf>
    <xf numFmtId="173" fontId="15" fillId="0" borderId="0" xfId="0" quotePrefix="1" applyFont="1" applyAlignment="1"/>
    <xf numFmtId="42" fontId="48" fillId="0" borderId="0" xfId="0" applyNumberFormat="1" applyFont="1" applyAlignment="1"/>
    <xf numFmtId="170" fontId="15" fillId="0" borderId="0" xfId="0" applyNumberFormat="1" applyFont="1" applyAlignment="1"/>
    <xf numFmtId="173" fontId="15" fillId="0" borderId="0" xfId="0" applyFont="1" applyAlignment="1">
      <alignment vertical="top" wrapText="1"/>
    </xf>
    <xf numFmtId="42" fontId="48" fillId="0" borderId="0" xfId="0" applyNumberFormat="1" applyFont="1" applyFill="1" applyAlignment="1"/>
    <xf numFmtId="41" fontId="48" fillId="0" borderId="0" xfId="0" applyNumberFormat="1" applyFont="1" applyFill="1" applyAlignment="1"/>
    <xf numFmtId="37" fontId="48" fillId="0" borderId="0" xfId="0" applyNumberFormat="1" applyFont="1" applyAlignment="1"/>
    <xf numFmtId="37" fontId="49" fillId="0" borderId="0" xfId="0" applyNumberFormat="1" applyFont="1" applyAlignment="1"/>
    <xf numFmtId="10" fontId="110" fillId="0" borderId="0" xfId="0" applyNumberFormat="1" applyFont="1" applyBorder="1" applyAlignment="1"/>
    <xf numFmtId="3" fontId="15" fillId="49" borderId="0" xfId="0" applyNumberFormat="1" applyFont="1" applyFill="1" applyBorder="1" applyAlignment="1">
      <alignment horizontal="left"/>
    </xf>
    <xf numFmtId="37" fontId="15" fillId="49" borderId="0" xfId="0" applyNumberFormat="1" applyFont="1" applyFill="1" applyAlignment="1"/>
    <xf numFmtId="37" fontId="15" fillId="49" borderId="0" xfId="0" applyNumberFormat="1" applyFont="1" applyFill="1" applyBorder="1" applyAlignment="1"/>
    <xf numFmtId="37" fontId="15" fillId="49" borderId="6" xfId="0" applyNumberFormat="1" applyFont="1" applyFill="1" applyBorder="1" applyAlignment="1"/>
    <xf numFmtId="49" fontId="17" fillId="0" borderId="0" xfId="373" applyNumberFormat="1" applyFont="1" applyAlignment="1">
      <alignment horizontal="centerContinuous"/>
    </xf>
    <xf numFmtId="173" fontId="15" fillId="0" borderId="0" xfId="0" applyFont="1" applyAlignment="1">
      <alignment horizontal="left"/>
    </xf>
    <xf numFmtId="173" fontId="15" fillId="0" borderId="15" xfId="0" applyFont="1" applyBorder="1" applyAlignment="1">
      <alignment horizontal="centerContinuous"/>
    </xf>
    <xf numFmtId="173" fontId="15" fillId="0" borderId="16" xfId="0" applyFont="1" applyBorder="1" applyAlignment="1">
      <alignment horizontal="centerContinuous"/>
    </xf>
    <xf numFmtId="173" fontId="15" fillId="0" borderId="30" xfId="0" applyFont="1" applyBorder="1" applyAlignment="1">
      <alignment horizontal="centerContinuous"/>
    </xf>
    <xf numFmtId="173" fontId="15" fillId="0" borderId="0" xfId="0" quotePrefix="1" applyFont="1" applyAlignment="1">
      <alignment horizontal="center"/>
    </xf>
    <xf numFmtId="170" fontId="15" fillId="0" borderId="0" xfId="0" applyNumberFormat="1" applyFont="1" applyFill="1" applyAlignment="1"/>
    <xf numFmtId="37" fontId="48" fillId="0" borderId="0" xfId="0" applyNumberFormat="1" applyFont="1" applyFill="1" applyAlignment="1"/>
    <xf numFmtId="37" fontId="49" fillId="0" borderId="0" xfId="0" applyNumberFormat="1" applyFont="1" applyFill="1" applyAlignment="1"/>
    <xf numFmtId="10" fontId="15" fillId="0" borderId="0" xfId="0" applyNumberFormat="1" applyFont="1" applyBorder="1" applyAlignment="1"/>
    <xf numFmtId="190" fontId="15" fillId="0" borderId="0" xfId="0" applyNumberFormat="1" applyFont="1" applyAlignment="1"/>
    <xf numFmtId="173" fontId="46" fillId="0" borderId="0" xfId="0" applyFont="1" applyAlignment="1"/>
    <xf numFmtId="10" fontId="122" fillId="0" borderId="0" xfId="0" applyNumberFormat="1" applyFont="1" applyFill="1" applyBorder="1" applyAlignment="1"/>
    <xf numFmtId="42" fontId="46" fillId="0" borderId="0" xfId="0" applyNumberFormat="1" applyFont="1" applyFill="1" applyAlignment="1"/>
    <xf numFmtId="278" fontId="15" fillId="0" borderId="0" xfId="0" applyNumberFormat="1" applyFont="1"/>
    <xf numFmtId="278" fontId="15" fillId="0" borderId="0" xfId="0" applyNumberFormat="1" applyFont="1" applyAlignment="1"/>
    <xf numFmtId="0" fontId="15" fillId="0" borderId="0" xfId="430" applyFont="1" applyFill="1"/>
    <xf numFmtId="0" fontId="1" fillId="0" borderId="0" xfId="556" applyBorder="1"/>
    <xf numFmtId="0" fontId="41" fillId="0" borderId="0" xfId="15" applyFont="1" applyFill="1" applyBorder="1"/>
    <xf numFmtId="175" fontId="123" fillId="0" borderId="0" xfId="16" applyNumberFormat="1" applyFont="1" applyFill="1" applyBorder="1"/>
    <xf numFmtId="42" fontId="51" fillId="0" borderId="0" xfId="0" applyNumberFormat="1" applyFont="1" applyFill="1" applyAlignment="1" applyProtection="1">
      <protection locked="0"/>
    </xf>
    <xf numFmtId="37" fontId="51" fillId="0" borderId="1" xfId="0" applyNumberFormat="1" applyFont="1" applyFill="1" applyBorder="1" applyAlignment="1" applyProtection="1">
      <protection locked="0"/>
    </xf>
    <xf numFmtId="37" fontId="51" fillId="0" borderId="1" xfId="0" applyNumberFormat="1" applyFont="1" applyFill="1" applyBorder="1" applyAlignment="1" applyProtection="1"/>
    <xf numFmtId="37" fontId="51" fillId="0" borderId="0" xfId="0" applyNumberFormat="1" applyFont="1" applyFill="1" applyAlignment="1" applyProtection="1">
      <alignment vertical="top"/>
      <protection locked="0"/>
    </xf>
    <xf numFmtId="37" fontId="51" fillId="0" borderId="0" xfId="0" applyNumberFormat="1" applyFont="1" applyFill="1" applyBorder="1" applyAlignment="1" applyProtection="1">
      <protection locked="0"/>
    </xf>
    <xf numFmtId="275" fontId="34" fillId="0" borderId="0" xfId="0" applyNumberFormat="1" applyFont="1" applyFill="1" applyAlignment="1" applyProtection="1">
      <alignment horizontal="right"/>
    </xf>
    <xf numFmtId="37" fontId="51" fillId="0" borderId="0" xfId="0" quotePrefix="1" applyNumberFormat="1" applyFont="1" applyFill="1" applyAlignment="1" applyProtection="1">
      <protection locked="0"/>
    </xf>
    <xf numFmtId="37" fontId="51" fillId="0" borderId="0" xfId="0" applyNumberFormat="1" applyFont="1" applyFill="1" applyBorder="1" applyProtection="1">
      <protection locked="0"/>
    </xf>
    <xf numFmtId="38" fontId="30" fillId="0" borderId="24" xfId="0" applyNumberFormat="1" applyFont="1" applyFill="1" applyBorder="1" applyProtection="1">
      <protection locked="0"/>
    </xf>
    <xf numFmtId="38" fontId="30" fillId="0" borderId="29" xfId="0" applyNumberFormat="1" applyFont="1" applyFill="1" applyBorder="1" applyProtection="1">
      <protection locked="0"/>
    </xf>
    <xf numFmtId="38" fontId="30" fillId="0" borderId="26" xfId="0" applyNumberFormat="1" applyFont="1" applyFill="1" applyBorder="1" applyProtection="1">
      <protection locked="0"/>
    </xf>
    <xf numFmtId="38" fontId="30" fillId="0" borderId="1" xfId="0" applyNumberFormat="1" applyFont="1" applyFill="1" applyBorder="1" applyProtection="1">
      <protection locked="0"/>
    </xf>
    <xf numFmtId="38" fontId="30" fillId="0" borderId="0" xfId="0" applyNumberFormat="1" applyFont="1" applyFill="1" applyBorder="1" applyProtection="1">
      <protection locked="0"/>
    </xf>
    <xf numFmtId="275" fontId="126" fillId="0" borderId="0" xfId="0" applyNumberFormat="1" applyFont="1" applyFill="1" applyAlignment="1" applyProtection="1">
      <alignment horizontal="right"/>
      <protection locked="0"/>
    </xf>
    <xf numFmtId="41" fontId="48" fillId="0" borderId="0" xfId="6" applyNumberFormat="1" applyFont="1" applyFill="1" applyBorder="1" applyProtection="1">
      <protection locked="0"/>
    </xf>
    <xf numFmtId="42" fontId="48" fillId="0" borderId="0" xfId="357" applyNumberFormat="1" applyFont="1" applyFill="1" applyProtection="1">
      <protection locked="0"/>
    </xf>
    <xf numFmtId="41" fontId="109" fillId="0" borderId="0" xfId="8" applyNumberFormat="1" applyFont="1" applyFill="1" applyBorder="1" applyProtection="1">
      <protection locked="0"/>
    </xf>
    <xf numFmtId="41" fontId="36" fillId="0" borderId="0" xfId="8" applyNumberFormat="1" applyFont="1" applyFill="1" applyBorder="1" applyAlignment="1" applyProtection="1">
      <alignment vertical="center"/>
      <protection locked="0"/>
    </xf>
    <xf numFmtId="0" fontId="26" fillId="0" borderId="0" xfId="8" quotePrefix="1" applyFont="1" applyFill="1" applyBorder="1" applyAlignment="1">
      <alignment horizontal="center"/>
    </xf>
    <xf numFmtId="42" fontId="48" fillId="0" borderId="0" xfId="0" applyNumberFormat="1" applyFont="1" applyFill="1" applyAlignment="1" applyProtection="1">
      <protection locked="0"/>
    </xf>
    <xf numFmtId="42" fontId="48" fillId="0" borderId="0" xfId="7" applyNumberFormat="1" applyFont="1" applyFill="1" applyAlignment="1" applyProtection="1">
      <alignment vertical="center"/>
      <protection locked="0"/>
    </xf>
    <xf numFmtId="10" fontId="48" fillId="0" borderId="0" xfId="0" applyNumberFormat="1" applyFont="1" applyFill="1" applyAlignment="1" applyProtection="1">
      <protection locked="0"/>
    </xf>
    <xf numFmtId="41" fontId="51" fillId="0" borderId="0" xfId="1" applyNumberFormat="1" applyFont="1" applyFill="1"/>
    <xf numFmtId="41" fontId="29" fillId="0" borderId="0" xfId="1" applyNumberFormat="1" applyFill="1"/>
    <xf numFmtId="41" fontId="51" fillId="0" borderId="0" xfId="1" applyNumberFormat="1" applyFont="1" applyFill="1" applyProtection="1">
      <protection locked="0"/>
    </xf>
    <xf numFmtId="0" fontId="15" fillId="0" borderId="0" xfId="0" applyNumberFormat="1" applyFont="1" applyBorder="1" applyAlignment="1">
      <alignment horizontal="centerContinuous"/>
    </xf>
    <xf numFmtId="209" fontId="128" fillId="4" borderId="30" xfId="0" applyNumberFormat="1" applyFont="1" applyFill="1" applyBorder="1" applyAlignment="1" applyProtection="1">
      <protection locked="0"/>
    </xf>
    <xf numFmtId="173" fontId="0" fillId="0" borderId="0" xfId="0" applyFont="1" applyFill="1" applyBorder="1" applyAlignment="1">
      <alignment horizontal="left"/>
    </xf>
    <xf numFmtId="173" fontId="12" fillId="0" borderId="0" xfId="0" applyFont="1" applyFill="1" applyBorder="1" applyAlignment="1">
      <alignment horizontal="left"/>
    </xf>
    <xf numFmtId="173" fontId="12" fillId="0" borderId="0" xfId="0" applyFont="1" applyFill="1" applyBorder="1" applyAlignment="1">
      <alignment horizontal="left" wrapText="1"/>
    </xf>
    <xf numFmtId="173" fontId="0" fillId="0" borderId="0" xfId="0" applyFill="1" applyBorder="1" applyAlignment="1">
      <alignment horizontal="left"/>
    </xf>
    <xf numFmtId="49" fontId="48" fillId="0" borderId="0" xfId="0" applyNumberFormat="1" applyFont="1" applyFill="1" applyBorder="1" applyAlignment="1">
      <alignment horizontal="center"/>
    </xf>
    <xf numFmtId="49" fontId="48" fillId="0" borderId="0" xfId="0" quotePrefix="1" applyNumberFormat="1" applyFont="1" applyFill="1" applyBorder="1" applyAlignment="1">
      <alignment horizontal="center"/>
    </xf>
    <xf numFmtId="173" fontId="15" fillId="0" borderId="0" xfId="0" applyFont="1" applyAlignment="1">
      <alignment wrapText="1"/>
    </xf>
    <xf numFmtId="0" fontId="41" fillId="0" borderId="0" xfId="9" applyFont="1" applyFill="1" applyAlignment="1">
      <alignment horizontal="center"/>
    </xf>
  </cellXfs>
  <cellStyles count="577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20% - Accent1" xfId="531" builtinId="30" customBuiltin="1"/>
    <cellStyle name="20% - Accent2" xfId="535" builtinId="34" customBuiltin="1"/>
    <cellStyle name="20% - Accent3" xfId="539" builtinId="38" customBuiltin="1"/>
    <cellStyle name="20% - Accent4" xfId="543" builtinId="42" customBuiltin="1"/>
    <cellStyle name="20% - Accent5" xfId="547" builtinId="46" customBuiltin="1"/>
    <cellStyle name="20% - Accent6" xfId="551" builtinId="50" customBuiltin="1"/>
    <cellStyle name="40% - Accent1" xfId="532" builtinId="31" customBuiltin="1"/>
    <cellStyle name="40% - Accent2" xfId="536" builtinId="35" customBuiltin="1"/>
    <cellStyle name="40% - Accent3" xfId="540" builtinId="39" customBuiltin="1"/>
    <cellStyle name="40% - Accent4" xfId="544" builtinId="43" customBuiltin="1"/>
    <cellStyle name="40% - Accent5" xfId="548" builtinId="47" customBuiltin="1"/>
    <cellStyle name="40% - Accent6" xfId="552" builtinId="51" customBuiltin="1"/>
    <cellStyle name="60% - Accent1" xfId="533" builtinId="32" customBuiltin="1"/>
    <cellStyle name="60% - Accent2" xfId="537" builtinId="36" customBuiltin="1"/>
    <cellStyle name="60% - Accent3" xfId="541" builtinId="40" customBuiltin="1"/>
    <cellStyle name="60% - Accent4" xfId="545" builtinId="44" customBuiltin="1"/>
    <cellStyle name="60% - Accent5" xfId="549" builtinId="48" customBuiltin="1"/>
    <cellStyle name="60% - Accent6" xfId="553" builtinId="52" customBuiltin="1"/>
    <cellStyle name="Accent1" xfId="530" builtinId="29" customBuiltin="1"/>
    <cellStyle name="Accent2" xfId="534" builtinId="33" customBuiltin="1"/>
    <cellStyle name="Accent3" xfId="538" builtinId="37" customBuiltin="1"/>
    <cellStyle name="Accent4" xfId="542" builtinId="41" customBuiltin="1"/>
    <cellStyle name="Accent5" xfId="546" builtinId="45" customBuiltin="1"/>
    <cellStyle name="Accent6" xfId="550" builtinId="49" customBuiltin="1"/>
    <cellStyle name="Bad" xfId="520" builtinId="27" customBuiltin="1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lculation" xfId="524" builtinId="22" customBuiltin="1"/>
    <cellStyle name="cas" xfId="72"/>
    <cellStyle name="Centered Heading" xfId="73"/>
    <cellStyle name="Check Cell" xfId="526" builtinId="23" customBuiltin="1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56"/>
    <cellStyle name="Comma 11" xfId="358"/>
    <cellStyle name="Comma 12" xfId="363"/>
    <cellStyle name="Comma 13" xfId="368"/>
    <cellStyle name="Comma 14" xfId="364"/>
    <cellStyle name="Comma 15" xfId="367"/>
    <cellStyle name="Comma 16" xfId="365"/>
    <cellStyle name="Comma 17" xfId="366"/>
    <cellStyle name="Comma 18" xfId="370"/>
    <cellStyle name="Comma 19" xfId="416"/>
    <cellStyle name="Comma 2" xfId="2"/>
    <cellStyle name="Comma 2 2" xfId="89"/>
    <cellStyle name="Comma 2 3" xfId="446"/>
    <cellStyle name="Comma 20" xfId="375"/>
    <cellStyle name="Comma 21" xfId="412"/>
    <cellStyle name="Comma 22" xfId="379"/>
    <cellStyle name="Comma 23" xfId="408"/>
    <cellStyle name="Comma 24" xfId="382"/>
    <cellStyle name="Comma 25" xfId="405"/>
    <cellStyle name="Comma 26" xfId="374"/>
    <cellStyle name="Comma 27" xfId="402"/>
    <cellStyle name="Comma 28" xfId="387"/>
    <cellStyle name="Comma 29" xfId="400"/>
    <cellStyle name="Comma 3" xfId="13"/>
    <cellStyle name="Comma 3 2" xfId="90"/>
    <cellStyle name="Comma 3 2 2" xfId="434"/>
    <cellStyle name="Comma 30" xfId="389"/>
    <cellStyle name="Comma 31" xfId="398"/>
    <cellStyle name="Comma 32" xfId="391"/>
    <cellStyle name="Comma 33" xfId="396"/>
    <cellStyle name="Comma 34" xfId="393"/>
    <cellStyle name="Comma 35" xfId="394"/>
    <cellStyle name="Comma 36" xfId="418"/>
    <cellStyle name="Comma 37" xfId="413"/>
    <cellStyle name="Comma 38" xfId="378"/>
    <cellStyle name="Comma 39" xfId="409"/>
    <cellStyle name="Comma 4" xfId="14"/>
    <cellStyle name="Comma 4 2" xfId="91"/>
    <cellStyle name="Comma 4 3" xfId="362"/>
    <cellStyle name="Comma 40" xfId="381"/>
    <cellStyle name="Comma 41" xfId="406"/>
    <cellStyle name="Comma 42" xfId="384"/>
    <cellStyle name="Comma 43" xfId="403"/>
    <cellStyle name="Comma 44" xfId="386"/>
    <cellStyle name="Comma 45" xfId="414"/>
    <cellStyle name="Comma 46" xfId="377"/>
    <cellStyle name="Comma 47" xfId="410"/>
    <cellStyle name="Comma 48" xfId="380"/>
    <cellStyle name="Comma 49" xfId="407"/>
    <cellStyle name="Comma 5" xfId="92"/>
    <cellStyle name="Comma 50" xfId="383"/>
    <cellStyle name="Comma 51" xfId="404"/>
    <cellStyle name="Comma 52" xfId="385"/>
    <cellStyle name="Comma 53" xfId="401"/>
    <cellStyle name="Comma 54" xfId="388"/>
    <cellStyle name="Comma 55" xfId="399"/>
    <cellStyle name="Comma 56" xfId="390"/>
    <cellStyle name="Comma 57" xfId="397"/>
    <cellStyle name="Comma 58" xfId="392"/>
    <cellStyle name="Comma 59" xfId="395"/>
    <cellStyle name="Comma 6" xfId="329"/>
    <cellStyle name="Comma 6 2" xfId="443"/>
    <cellStyle name="Comma 60" xfId="415"/>
    <cellStyle name="Comma 61" xfId="376"/>
    <cellStyle name="Comma 62" xfId="411"/>
    <cellStyle name="Comma 63" xfId="419"/>
    <cellStyle name="Comma 64" xfId="420"/>
    <cellStyle name="Comma 65" xfId="422"/>
    <cellStyle name="Comma 66" xfId="448"/>
    <cellStyle name="Comma 67" xfId="462"/>
    <cellStyle name="Comma 68" xfId="424"/>
    <cellStyle name="Comma 69" xfId="439"/>
    <cellStyle name="Comma 7" xfId="333"/>
    <cellStyle name="Comma 70" xfId="454"/>
    <cellStyle name="Comma 71" xfId="426"/>
    <cellStyle name="Comma 72" xfId="438"/>
    <cellStyle name="Comma 73" xfId="431"/>
    <cellStyle name="Comma 74" xfId="436"/>
    <cellStyle name="Comma 75" xfId="428"/>
    <cellStyle name="Comma 76" xfId="437"/>
    <cellStyle name="Comma 77" xfId="433"/>
    <cellStyle name="Comma 78" xfId="429"/>
    <cellStyle name="Comma 79" xfId="427"/>
    <cellStyle name="Comma 8" xfId="339"/>
    <cellStyle name="Comma 80" xfId="456"/>
    <cellStyle name="Comma 81" xfId="471"/>
    <cellStyle name="Comma 82" xfId="472"/>
    <cellStyle name="Comma 83" xfId="505"/>
    <cellStyle name="Comma 84" xfId="566"/>
    <cellStyle name="Comma 85" xfId="567"/>
    <cellStyle name="Comma 86" xfId="568"/>
    <cellStyle name="Comma 87" xfId="569"/>
    <cellStyle name="Comma 88" xfId="570"/>
    <cellStyle name="Comma 89" xfId="571"/>
    <cellStyle name="Comma 9" xfId="336"/>
    <cellStyle name="Comma 90" xfId="572"/>
    <cellStyle name="Comma 91" xfId="573"/>
    <cellStyle name="Comma 92" xfId="574"/>
    <cellStyle name="Comma 93" xfId="575"/>
    <cellStyle name="Comma 94" xfId="576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1"/>
    <cellStyle name="Currency 11" xfId="353"/>
    <cellStyle name="Currency 12" xfId="355"/>
    <cellStyle name="Currency 2" xfId="12"/>
    <cellStyle name="Currency 2 2" xfId="103"/>
    <cellStyle name="Currency 2 3" xfId="432"/>
    <cellStyle name="Currency 3" xfId="104"/>
    <cellStyle name="Currency 3 2" xfId="105"/>
    <cellStyle name="Currency 4" xfId="16"/>
    <cellStyle name="Currency 5" xfId="334"/>
    <cellStyle name="Currency 6" xfId="338"/>
    <cellStyle name="Currency 7" xfId="345"/>
    <cellStyle name="Currency 8" xfId="347"/>
    <cellStyle name="Currency 9" xfId="34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Explanatory Text" xfId="528" builtinId="53" customBuiltin="1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519" builtinId="26" customBuiltin="1"/>
    <cellStyle name="Green" xfId="142"/>
    <cellStyle name="grey" xfId="143"/>
    <cellStyle name="Header1" xfId="144"/>
    <cellStyle name="Header2" xfId="145"/>
    <cellStyle name="Heading" xfId="146"/>
    <cellStyle name="Heading 1" xfId="515" builtinId="16" customBuiltin="1"/>
    <cellStyle name="Heading 2" xfId="516" builtinId="17" customBuiltin="1"/>
    <cellStyle name="Heading 3" xfId="517" builtinId="18" customBuiltin="1"/>
    <cellStyle name="Heading 4" xfId="518" builtinId="19" customBuiltin="1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in" xfId="153"/>
    <cellStyle name="Indented [0]" xfId="154"/>
    <cellStyle name="Indented [2]" xfId="155"/>
    <cellStyle name="Indented [4]" xfId="156"/>
    <cellStyle name="Indented [6]" xfId="157"/>
    <cellStyle name="Input" xfId="522" builtinId="20" customBuiltin="1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Linked Cell" xfId="525" builtinId="24" customBuiltin="1"/>
    <cellStyle name="m" xfId="169"/>
    <cellStyle name="m1" xfId="170"/>
    <cellStyle name="m2" xfId="171"/>
    <cellStyle name="m3" xfId="172"/>
    <cellStyle name="Multiple" xfId="173"/>
    <cellStyle name="Negative" xfId="174"/>
    <cellStyle name="Neutral" xfId="521" builtinId="28" customBuiltin="1"/>
    <cellStyle name="no dec" xfId="175"/>
    <cellStyle name="Normal" xfId="0" builtinId="0"/>
    <cellStyle name="Normal - Style1" xfId="176"/>
    <cellStyle name="Normal 10" xfId="342"/>
    <cellStyle name="Normal 11" xfId="343"/>
    <cellStyle name="Normal 12" xfId="344"/>
    <cellStyle name="Normal 13" xfId="346"/>
    <cellStyle name="Normal 14" xfId="348"/>
    <cellStyle name="Normal 15" xfId="350"/>
    <cellStyle name="Normal 16" xfId="352"/>
    <cellStyle name="Normal 17" xfId="354"/>
    <cellStyle name="Normal 18" xfId="360"/>
    <cellStyle name="Normal 18 2" xfId="452"/>
    <cellStyle name="Normal 18 2 2" xfId="489"/>
    <cellStyle name="Normal 18 3" xfId="466"/>
    <cellStyle name="Normal 18 3 2" xfId="500"/>
    <cellStyle name="Normal 18 4" xfId="445"/>
    <cellStyle name="Normal 18 4 2" xfId="484"/>
    <cellStyle name="Normal 18 5" xfId="476"/>
    <cellStyle name="Normal 18 6" xfId="509"/>
    <cellStyle name="Normal 19" xfId="457"/>
    <cellStyle name="Normal 19 2" xfId="492"/>
    <cellStyle name="Normal 2" xfId="3"/>
    <cellStyle name="Normal 2 2" xfId="361"/>
    <cellStyle name="Normal 2 2 2" xfId="430"/>
    <cellStyle name="Normal 2 3" xfId="441"/>
    <cellStyle name="Normal 20" xfId="458"/>
    <cellStyle name="Normal 20 2" xfId="493"/>
    <cellStyle name="Normal 21" xfId="455"/>
    <cellStyle name="Normal 21 2" xfId="491"/>
    <cellStyle name="Normal 22" xfId="554"/>
    <cellStyle name="Normal 23" xfId="557"/>
    <cellStyle name="Normal 24" xfId="559"/>
    <cellStyle name="Normal 25" xfId="556"/>
    <cellStyle name="Normal 26" xfId="561"/>
    <cellStyle name="Normal 27" xfId="562"/>
    <cellStyle name="Normal 28" xfId="565"/>
    <cellStyle name="Normal 29" xfId="563"/>
    <cellStyle name="Normal 3" xfId="4"/>
    <cellStyle name="Normal 3 2" xfId="177"/>
    <cellStyle name="Normal 3_ITC-Great Plains Heintz 6-24-08a" xfId="178"/>
    <cellStyle name="Normal 30" xfId="564"/>
    <cellStyle name="Normal 31" xfId="560"/>
    <cellStyle name="Normal 32" xfId="555"/>
    <cellStyle name="Normal 4" xfId="179"/>
    <cellStyle name="Normal 4 2" xfId="180"/>
    <cellStyle name="Normal 4 2 2" xfId="435"/>
    <cellStyle name="Normal 4_ITC-Great Plains Heintz 6-24-08a" xfId="181"/>
    <cellStyle name="Normal 5" xfId="182"/>
    <cellStyle name="Normal 6" xfId="15"/>
    <cellStyle name="Normal 7" xfId="326"/>
    <cellStyle name="Normal 7 2" xfId="340"/>
    <cellStyle name="Normal 8" xfId="330"/>
    <cellStyle name="Normal 8 10" xfId="440"/>
    <cellStyle name="Normal 8 10 2" xfId="481"/>
    <cellStyle name="Normal 8 11" xfId="473"/>
    <cellStyle name="Normal 8 12" xfId="506"/>
    <cellStyle name="Normal 8 2" xfId="341"/>
    <cellStyle name="Normal 8 2 2" xfId="450"/>
    <cellStyle name="Normal 8 2 2 2" xfId="487"/>
    <cellStyle name="Normal 8 2 3" xfId="464"/>
    <cellStyle name="Normal 8 2 3 2" xfId="498"/>
    <cellStyle name="Normal 8 2 4" xfId="442"/>
    <cellStyle name="Normal 8 2 4 2" xfId="482"/>
    <cellStyle name="Normal 8 2 5" xfId="474"/>
    <cellStyle name="Normal 8 2 6" xfId="507"/>
    <cellStyle name="Normal 8 3" xfId="359"/>
    <cellStyle name="Normal 8 3 2" xfId="451"/>
    <cellStyle name="Normal 8 3 2 2" xfId="488"/>
    <cellStyle name="Normal 8 3 3" xfId="465"/>
    <cellStyle name="Normal 8 3 3 2" xfId="499"/>
    <cellStyle name="Normal 8 3 4" xfId="444"/>
    <cellStyle name="Normal 8 3 4 2" xfId="483"/>
    <cellStyle name="Normal 8 3 5" xfId="475"/>
    <cellStyle name="Normal 8 3 6" xfId="508"/>
    <cellStyle name="Normal 8 4" xfId="369"/>
    <cellStyle name="Normal 8 4 2" xfId="453"/>
    <cellStyle name="Normal 8 4 2 2" xfId="490"/>
    <cellStyle name="Normal 8 4 3" xfId="467"/>
    <cellStyle name="Normal 8 4 3 2" xfId="501"/>
    <cellStyle name="Normal 8 4 4" xfId="447"/>
    <cellStyle name="Normal 8 4 4 2" xfId="485"/>
    <cellStyle name="Normal 8 4 5" xfId="477"/>
    <cellStyle name="Normal 8 4 6" xfId="510"/>
    <cellStyle name="Normal 8 5" xfId="417"/>
    <cellStyle name="Normal 8 5 2" xfId="468"/>
    <cellStyle name="Normal 8 5 2 2" xfId="502"/>
    <cellStyle name="Normal 8 5 3" xfId="459"/>
    <cellStyle name="Normal 8 5 3 2" xfId="494"/>
    <cellStyle name="Normal 8 5 4" xfId="478"/>
    <cellStyle name="Normal 8 5 5" xfId="511"/>
    <cellStyle name="Normal 8 6" xfId="421"/>
    <cellStyle name="Normal 8 6 2" xfId="469"/>
    <cellStyle name="Normal 8 6 2 2" xfId="503"/>
    <cellStyle name="Normal 8 6 3" xfId="460"/>
    <cellStyle name="Normal 8 6 3 2" xfId="495"/>
    <cellStyle name="Normal 8 6 4" xfId="479"/>
    <cellStyle name="Normal 8 6 5" xfId="512"/>
    <cellStyle name="Normal 8 7" xfId="423"/>
    <cellStyle name="Normal 8 7 2" xfId="470"/>
    <cellStyle name="Normal 8 7 2 2" xfId="504"/>
    <cellStyle name="Normal 8 7 3" xfId="461"/>
    <cellStyle name="Normal 8 7 3 2" xfId="496"/>
    <cellStyle name="Normal 8 7 4" xfId="480"/>
    <cellStyle name="Normal 8 7 5" xfId="513"/>
    <cellStyle name="Normal 8 8" xfId="449"/>
    <cellStyle name="Normal 8 8 2" xfId="486"/>
    <cellStyle name="Normal 8 9" xfId="463"/>
    <cellStyle name="Normal 8 9 2" xfId="497"/>
    <cellStyle name="Normal 9" xfId="332"/>
    <cellStyle name="Normal_2002 A to BK TLF Recon WVPA" xfId="5"/>
    <cellStyle name="Normal_2002 A to BK TLF Recon WVPA 2" xfId="371"/>
    <cellStyle name="Normal_Advertising expense query - 3.29.07" xfId="6"/>
    <cellStyle name="Normal_Advertising expense query - 3.29.07 2" xfId="372"/>
    <cellStyle name="Normal_Cinergy Revenue Credits by Operating Company" xfId="7"/>
    <cellStyle name="Normal_Cinergy Revenue Credits by Operating Company 2" xfId="357"/>
    <cellStyle name="Normal_FERC Functional M&amp;S All Cos" xfId="8"/>
    <cellStyle name="Normal_FERC Functional M&amp;S All Cos 2" xfId="425"/>
    <cellStyle name="Normal_FN1 Ratebase Draft SPP template (6-11-04) v2" xfId="325"/>
    <cellStyle name="Normal_MISO DEO Cap Structure 2007 " xfId="9"/>
    <cellStyle name="Normal_Schedule B-2" xfId="331"/>
    <cellStyle name="Normal_Support 2003 PSI Peak Demand excluding Joint Owners" xfId="10"/>
    <cellStyle name="Normal_Support 2003 PSI Peak Demand excluding Joint Owners 2" xfId="373"/>
    <cellStyle name="Note 2" xfId="558"/>
    <cellStyle name="Output" xfId="523" builtinId="21" customBuiltin="1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28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4" xfId="335"/>
    <cellStyle name="Percent 5" xfId="337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" xfId="514" builtinId="15" customBuiltin="1"/>
    <cellStyle name="Title1" xfId="310"/>
    <cellStyle name="top" xfId="311"/>
    <cellStyle name="Total" xfId="529" builtinId="25" customBuiltin="1"/>
    <cellStyle name="w" xfId="312"/>
    <cellStyle name="Warning Text" xfId="527" builtinId="11" customBuiltin="1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CCFFFF"/>
      <color rgb="FFFFFF99"/>
      <color rgb="FF0000FF"/>
      <color rgb="FFFF3399"/>
      <color rgb="FF00FF00"/>
      <color rgb="FFFFFFCC"/>
      <color rgb="FFFF3300"/>
      <color rgb="FF66FFFF"/>
      <color rgb="FF9900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</xdr:row>
          <xdr:rowOff>19050</xdr:rowOff>
        </xdr:from>
        <xdr:to>
          <xdr:col>8</xdr:col>
          <xdr:colOff>714375</xdr:colOff>
          <xdr:row>5</xdr:row>
          <xdr:rowOff>0</xdr:rowOff>
        </xdr:to>
        <xdr:sp macro="" textlink="">
          <xdr:nvSpPr>
            <xdr:cNvPr id="35841" name="Button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H-22A 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DE OH &amp; KY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12</xdr:col>
          <xdr:colOff>0</xdr:colOff>
          <xdr:row>4</xdr:row>
          <xdr:rowOff>180975</xdr:rowOff>
        </xdr:to>
        <xdr:sp macro="" textlink="">
          <xdr:nvSpPr>
            <xdr:cNvPr id="35842" name="Button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H-22A 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DE Ohio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219075</xdr:colOff>
          <xdr:row>1</xdr:row>
          <xdr:rowOff>9525</xdr:rowOff>
        </xdr:from>
        <xdr:to>
          <xdr:col>14</xdr:col>
          <xdr:colOff>714375</xdr:colOff>
          <xdr:row>5</xdr:row>
          <xdr:rowOff>19050</xdr:rowOff>
        </xdr:to>
        <xdr:sp macro="" textlink="">
          <xdr:nvSpPr>
            <xdr:cNvPr id="35843" name="Button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H-22A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DE Kentucky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19050</xdr:rowOff>
        </xdr:from>
        <xdr:to>
          <xdr:col>5</xdr:col>
          <xdr:colOff>714375</xdr:colOff>
          <xdr:row>5</xdr:row>
          <xdr:rowOff>0</xdr:rowOff>
        </xdr:to>
        <xdr:sp macro="" textlink="">
          <xdr:nvSpPr>
            <xdr:cNvPr id="35844" name="Button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ATTACHMENT 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0000"/>
                  </a:solidFill>
                  <a:latin typeface="Arial MT"/>
                </a:rPr>
                <a:t>H-22A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19050</xdr:rowOff>
        </xdr:from>
        <xdr:to>
          <xdr:col>5</xdr:col>
          <xdr:colOff>714375</xdr:colOff>
          <xdr:row>10</xdr:row>
          <xdr:rowOff>9525</xdr:rowOff>
        </xdr:to>
        <xdr:sp macro="" textlink="">
          <xdr:nvSpPr>
            <xdr:cNvPr id="35845" name="Button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APPENDIX B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(RTEP)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57150</xdr:rowOff>
        </xdr:from>
        <xdr:to>
          <xdr:col>8</xdr:col>
          <xdr:colOff>714375</xdr:colOff>
          <xdr:row>10</xdr:row>
          <xdr:rowOff>38100</xdr:rowOff>
        </xdr:to>
        <xdr:sp macro="" textlink="">
          <xdr:nvSpPr>
            <xdr:cNvPr id="35846" name="Button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APPENDIX B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DE OH &amp; KY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(RTEP)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</xdr:row>
          <xdr:rowOff>66675</xdr:rowOff>
        </xdr:from>
        <xdr:to>
          <xdr:col>11</xdr:col>
          <xdr:colOff>714375</xdr:colOff>
          <xdr:row>10</xdr:row>
          <xdr:rowOff>57150</xdr:rowOff>
        </xdr:to>
        <xdr:sp macro="" textlink="">
          <xdr:nvSpPr>
            <xdr:cNvPr id="35847" name="Button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APPENDIX B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DE Ohio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(RTEP)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</xdr:row>
          <xdr:rowOff>66675</xdr:rowOff>
        </xdr:from>
        <xdr:to>
          <xdr:col>14</xdr:col>
          <xdr:colOff>714375</xdr:colOff>
          <xdr:row>10</xdr:row>
          <xdr:rowOff>57150</xdr:rowOff>
        </xdr:to>
        <xdr:sp macro="" textlink="">
          <xdr:nvSpPr>
            <xdr:cNvPr id="35848" name="Button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APPENDIX B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DE Kentucky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333399"/>
                  </a:solidFill>
                  <a:latin typeface="Arial MT"/>
                </a:rPr>
                <a:t>(RTEP)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47625</xdr:rowOff>
        </xdr:from>
        <xdr:to>
          <xdr:col>5</xdr:col>
          <xdr:colOff>714375</xdr:colOff>
          <xdr:row>15</xdr:row>
          <xdr:rowOff>28575</xdr:rowOff>
        </xdr:to>
        <xdr:sp macro="" textlink="">
          <xdr:nvSpPr>
            <xdr:cNvPr id="35849" name="Button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APPENDIX C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(MTEP)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</xdr:row>
          <xdr:rowOff>57150</xdr:rowOff>
        </xdr:from>
        <xdr:to>
          <xdr:col>8</xdr:col>
          <xdr:colOff>714375</xdr:colOff>
          <xdr:row>15</xdr:row>
          <xdr:rowOff>47625</xdr:rowOff>
        </xdr:to>
        <xdr:sp macro="" textlink="">
          <xdr:nvSpPr>
            <xdr:cNvPr id="35850" name="Button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APPENDIX C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DE OH &amp; KY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(MTEP)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85725</xdr:rowOff>
        </xdr:from>
        <xdr:to>
          <xdr:col>11</xdr:col>
          <xdr:colOff>714375</xdr:colOff>
          <xdr:row>15</xdr:row>
          <xdr:rowOff>66675</xdr:rowOff>
        </xdr:to>
        <xdr:sp macro="" textlink="">
          <xdr:nvSpPr>
            <xdr:cNvPr id="35851" name="Button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APPENDIX C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DE Ohio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(MTEP)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57150</xdr:rowOff>
        </xdr:from>
        <xdr:to>
          <xdr:col>14</xdr:col>
          <xdr:colOff>714375</xdr:colOff>
          <xdr:row>15</xdr:row>
          <xdr:rowOff>47625</xdr:rowOff>
        </xdr:to>
        <xdr:sp macro="" textlink="">
          <xdr:nvSpPr>
            <xdr:cNvPr id="35852" name="Button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APPENDIX C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DE Kentucky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FF6600"/>
                  </a:solidFill>
                  <a:latin typeface="Arial MT"/>
                </a:rPr>
                <a:t>(MTEP)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19050</xdr:rowOff>
        </xdr:from>
        <xdr:to>
          <xdr:col>2</xdr:col>
          <xdr:colOff>714375</xdr:colOff>
          <xdr:row>5</xdr:row>
          <xdr:rowOff>0</xdr:rowOff>
        </xdr:to>
        <xdr:sp macro="" textlink="">
          <xdr:nvSpPr>
            <xdr:cNvPr id="35858" name="Button 18" hidden="1">
              <a:extLst>
                <a:ext uri="{63B3BB69-23CF-44E3-9099-C40C66FF867C}">
                  <a14:compatExt spid="_x0000_s35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 MT"/>
                </a:rPr>
                <a:t>PRINT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2</xdr:col>
          <xdr:colOff>714375</xdr:colOff>
          <xdr:row>15</xdr:row>
          <xdr:rowOff>0</xdr:rowOff>
        </xdr:to>
        <xdr:sp macro="" textlink="">
          <xdr:nvSpPr>
            <xdr:cNvPr id="35866" name="Button 26" hidden="1">
              <a:extLst>
                <a:ext uri="{63B3BB69-23CF-44E3-9099-C40C66FF867C}">
                  <a14:compatExt spid="_x0000_s35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 MT"/>
                </a:rPr>
                <a:t>SUPPORT SCHEDULES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6</xdr:row>
          <xdr:rowOff>19050</xdr:rowOff>
        </xdr:from>
        <xdr:to>
          <xdr:col>2</xdr:col>
          <xdr:colOff>714375</xdr:colOff>
          <xdr:row>9</xdr:row>
          <xdr:rowOff>133350</xdr:rowOff>
        </xdr:to>
        <xdr:sp macro="" textlink="">
          <xdr:nvSpPr>
            <xdr:cNvPr id="35868" name="Button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993300"/>
                  </a:solidFill>
                  <a:latin typeface="Arial MT"/>
                </a:rPr>
                <a:t>APPENDIX A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993300"/>
                  </a:solidFill>
                  <a:latin typeface="Arial MT"/>
                </a:rPr>
                <a:t>SCH 1A</a:t>
              </a:r>
            </a:p>
            <a:p>
              <a:pPr algn="ctr" rtl="0">
                <a:defRPr sz="1000"/>
              </a:pPr>
              <a:endParaRPr lang="en-US" sz="1200" b="0" i="0" u="none" strike="noStrike" baseline="0">
                <a:solidFill>
                  <a:srgbClr val="993300"/>
                </a:solidFill>
                <a:latin typeface="Arial MT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21</xdr:row>
          <xdr:rowOff>19050</xdr:rowOff>
        </xdr:from>
        <xdr:to>
          <xdr:col>8</xdr:col>
          <xdr:colOff>714375</xdr:colOff>
          <xdr:row>25</xdr:row>
          <xdr:rowOff>0</xdr:rowOff>
        </xdr:to>
        <xdr:sp macro="" textlink="">
          <xdr:nvSpPr>
            <xdr:cNvPr id="35877" name="Button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993366"/>
                  </a:solidFill>
                  <a:latin typeface="Arial MT"/>
                </a:rPr>
                <a:t>APPENDIX E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993366"/>
                  </a:solidFill>
                  <a:latin typeface="Arial MT"/>
                </a:rPr>
                <a:t>DE OH &amp; KY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993366"/>
                  </a:solidFill>
                  <a:latin typeface="Arial MT"/>
                </a:rPr>
                <a:t>(Firm PTP Cr. Adj.)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16</xdr:row>
          <xdr:rowOff>95250</xdr:rowOff>
        </xdr:from>
        <xdr:to>
          <xdr:col>5</xdr:col>
          <xdr:colOff>714375</xdr:colOff>
          <xdr:row>20</xdr:row>
          <xdr:rowOff>85725</xdr:rowOff>
        </xdr:to>
        <xdr:sp macro="" textlink="">
          <xdr:nvSpPr>
            <xdr:cNvPr id="35878" name="Button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APPENDIX D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Depreciation Rates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104775</xdr:rowOff>
        </xdr:from>
        <xdr:to>
          <xdr:col>8</xdr:col>
          <xdr:colOff>714375</xdr:colOff>
          <xdr:row>20</xdr:row>
          <xdr:rowOff>95250</xdr:rowOff>
        </xdr:to>
        <xdr:sp macro="" textlink="">
          <xdr:nvSpPr>
            <xdr:cNvPr id="35880" name="Button 40" hidden="1">
              <a:extLst>
                <a:ext uri="{63B3BB69-23CF-44E3-9099-C40C66FF867C}">
                  <a14:compatExt spid="_x0000_s35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APPENDIX D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DE Ohio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16</xdr:row>
          <xdr:rowOff>104775</xdr:rowOff>
        </xdr:from>
        <xdr:to>
          <xdr:col>11</xdr:col>
          <xdr:colOff>714375</xdr:colOff>
          <xdr:row>20</xdr:row>
          <xdr:rowOff>95250</xdr:rowOff>
        </xdr:to>
        <xdr:sp macro="" textlink="">
          <xdr:nvSpPr>
            <xdr:cNvPr id="35881" name="Button 41" hidden="1">
              <a:extLst>
                <a:ext uri="{63B3BB69-23CF-44E3-9099-C40C66FF867C}">
                  <a14:compatExt spid="_x0000_s35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APPENDIX D</a:t>
              </a:r>
            </a:p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8000"/>
                  </a:solidFill>
                  <a:latin typeface="Arial MT"/>
                </a:rPr>
                <a:t>DE Kentucky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-0.249977111117893"/>
  </sheetPr>
  <dimension ref="A1"/>
  <sheetViews>
    <sheetView zoomScaleNormal="100" workbookViewId="0">
      <selection activeCell="C26" sqref="C26"/>
    </sheetView>
  </sheetViews>
  <sheetFormatPr defaultColWidth="8.77734375" defaultRowHeight="15"/>
  <cols>
    <col min="1" max="1" width="3.109375" style="389" customWidth="1"/>
    <col min="2" max="3" width="8.77734375" style="389"/>
    <col min="4" max="4" width="4.21875" style="389" customWidth="1"/>
    <col min="5" max="6" width="8.77734375" style="389"/>
    <col min="7" max="7" width="4" style="389" customWidth="1"/>
    <col min="8" max="9" width="8.77734375" style="389"/>
    <col min="10" max="10" width="3.21875" style="389" customWidth="1"/>
    <col min="11" max="12" width="8.77734375" style="389"/>
    <col min="13" max="13" width="3.33203125" style="389" customWidth="1"/>
    <col min="14" max="16384" width="8.77734375" style="389"/>
  </cols>
  <sheetData>
    <row r="1" ht="7.9" customHeight="1"/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Button 1">
              <controlPr defaultSize="0" print="0" autoFill="0" autoPict="0" macro="[0]!ThisWorkbook.PRINT_DEOK">
                <anchor moveWithCells="1" sizeWithCells="1">
                  <from>
                    <xdr:col>7</xdr:col>
                    <xdr:colOff>0</xdr:colOff>
                    <xdr:row>1</xdr:row>
                    <xdr:rowOff>19050</xdr:rowOff>
                  </from>
                  <to>
                    <xdr:col>8</xdr:col>
                    <xdr:colOff>714375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Button 2">
              <controlPr defaultSize="0" print="0" autoFill="0" autoPict="0" macro="[0]!ThisWorkbook.PRINT_DEO">
                <anchor moveWithCells="1" sizeWithCells="1">
                  <from>
                    <xdr:col>10</xdr:col>
                    <xdr:colOff>0</xdr:colOff>
                    <xdr:row>1</xdr:row>
                    <xdr:rowOff>0</xdr:rowOff>
                  </from>
                  <to>
                    <xdr:col>12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Button 3">
              <controlPr defaultSize="0" print="0" autoFill="0" autoPict="0" macro="[0]!ThisWorkbook.PRINT_DEK">
                <anchor moveWithCells="1" sizeWithCells="1">
                  <from>
                    <xdr:col>12</xdr:col>
                    <xdr:colOff>219075</xdr:colOff>
                    <xdr:row>1</xdr:row>
                    <xdr:rowOff>9525</xdr:rowOff>
                  </from>
                  <to>
                    <xdr:col>14</xdr:col>
                    <xdr:colOff>714375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Button 4">
              <controlPr defaultSize="0" print="0" autoFill="0" autoPict="0" macro="[0]!ThisWorkbook.PRINT_ATTACHMENT_H22A">
                <anchor moveWithCells="1" sizeWithCells="1">
                  <from>
                    <xdr:col>4</xdr:col>
                    <xdr:colOff>0</xdr:colOff>
                    <xdr:row>1</xdr:row>
                    <xdr:rowOff>19050</xdr:rowOff>
                  </from>
                  <to>
                    <xdr:col>5</xdr:col>
                    <xdr:colOff>714375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Button 5">
              <controlPr defaultSize="0" print="0" autoFill="0" autoPict="0" macro="[0]!ThisWorkbook.PRINT_AppxB_RTEP">
                <anchor moveWithCells="1" sizeWithCells="1">
                  <from>
                    <xdr:col>4</xdr:col>
                    <xdr:colOff>0</xdr:colOff>
                    <xdr:row>6</xdr:row>
                    <xdr:rowOff>19050</xdr:rowOff>
                  </from>
                  <to>
                    <xdr:col>5</xdr:col>
                    <xdr:colOff>714375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Button 6">
              <controlPr defaultSize="0" print="0" autoFill="0" autoPict="0" macro="[0]!ThisWorkbook.PRINT_AppxB_DEM_RTEP">
                <anchor moveWithCells="1" sizeWithCells="1">
                  <from>
                    <xdr:col>7</xdr:col>
                    <xdr:colOff>0</xdr:colOff>
                    <xdr:row>6</xdr:row>
                    <xdr:rowOff>57150</xdr:rowOff>
                  </from>
                  <to>
                    <xdr:col>8</xdr:col>
                    <xdr:colOff>714375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Button 7">
              <controlPr defaultSize="0" print="0" autoFill="0" autoPict="0" macro="[0]!ThisWorkbook.PRINT_AppxB_DEO_RTEP">
                <anchor moveWithCells="1" sizeWithCells="1">
                  <from>
                    <xdr:col>10</xdr:col>
                    <xdr:colOff>0</xdr:colOff>
                    <xdr:row>6</xdr:row>
                    <xdr:rowOff>66675</xdr:rowOff>
                  </from>
                  <to>
                    <xdr:col>11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Button 8">
              <controlPr defaultSize="0" print="0" autoFill="0" autoPict="0" macro="[0]!ThisWorkbook.PRINT_AppxB_DEK_RTEP">
                <anchor moveWithCells="1" sizeWithCells="1">
                  <from>
                    <xdr:col>13</xdr:col>
                    <xdr:colOff>0</xdr:colOff>
                    <xdr:row>6</xdr:row>
                    <xdr:rowOff>66675</xdr:rowOff>
                  </from>
                  <to>
                    <xdr:col>14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Button 9">
              <controlPr defaultSize="0" print="0" autoFill="0" autoPict="0" macro="[0]!ThisWorkbook.PRINT_AppxC_MTEP">
                <anchor moveWithCells="1" sizeWithCells="1">
                  <from>
                    <xdr:col>4</xdr:col>
                    <xdr:colOff>0</xdr:colOff>
                    <xdr:row>11</xdr:row>
                    <xdr:rowOff>47625</xdr:rowOff>
                  </from>
                  <to>
                    <xdr:col>5</xdr:col>
                    <xdr:colOff>714375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Button 10">
              <controlPr defaultSize="0" print="0" autoFill="0" autoPict="0" macro="[0]!ThisWorkbook.PRINT_AppxC_DEM_MTEP">
                <anchor moveWithCells="1" sizeWithCells="1">
                  <from>
                    <xdr:col>7</xdr:col>
                    <xdr:colOff>0</xdr:colOff>
                    <xdr:row>11</xdr:row>
                    <xdr:rowOff>57150</xdr:rowOff>
                  </from>
                  <to>
                    <xdr:col>8</xdr:col>
                    <xdr:colOff>714375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Button 11">
              <controlPr defaultSize="0" print="0" autoFill="0" autoPict="0" macro="[0]!ThisWorkbook.PRINT_AppxC_DEO_MTEP">
                <anchor moveWithCells="1" sizeWithCells="1">
                  <from>
                    <xdr:col>10</xdr:col>
                    <xdr:colOff>0</xdr:colOff>
                    <xdr:row>11</xdr:row>
                    <xdr:rowOff>85725</xdr:rowOff>
                  </from>
                  <to>
                    <xdr:col>11</xdr:col>
                    <xdr:colOff>714375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Button 12">
              <controlPr defaultSize="0" print="0" autoFill="0" autoPict="0" macro="[0]!ThisWorkbook.PRINT_AppxC_DEK_MTEP">
                <anchor moveWithCells="1" sizeWithCells="1">
                  <from>
                    <xdr:col>13</xdr:col>
                    <xdr:colOff>0</xdr:colOff>
                    <xdr:row>11</xdr:row>
                    <xdr:rowOff>57150</xdr:rowOff>
                  </from>
                  <to>
                    <xdr:col>14</xdr:col>
                    <xdr:colOff>714375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16" name="Button 18">
              <controlPr defaultSize="0" print="0" autoFill="0" autoPict="0" macro="[0]!ThisWorkbook.PRINT_ALL">
                <anchor moveWithCells="1" sizeWithCells="1">
                  <from>
                    <xdr:col>1</xdr:col>
                    <xdr:colOff>0</xdr:colOff>
                    <xdr:row>1</xdr:row>
                    <xdr:rowOff>19050</xdr:rowOff>
                  </from>
                  <to>
                    <xdr:col>2</xdr:col>
                    <xdr:colOff>714375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17" name="Button 26">
              <controlPr defaultSize="0" print="0" autoFill="0" autoPict="0" macro="[0]!ThisWorkbook.PRINT_SUPPORT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2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18" name="Button 28">
              <controlPr defaultSize="0" print="0" autoFill="0" autoPict="0" macro="[0]!ThisWorkbook.PRINT_Appendix_A">
                <anchor moveWithCells="1" sizeWithCells="1">
                  <from>
                    <xdr:col>0</xdr:col>
                    <xdr:colOff>238125</xdr:colOff>
                    <xdr:row>6</xdr:row>
                    <xdr:rowOff>19050</xdr:rowOff>
                  </from>
                  <to>
                    <xdr:col>2</xdr:col>
                    <xdr:colOff>714375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19" name="Button 37">
              <controlPr defaultSize="0" print="0" autoFill="0" autoPict="0" macro="[0]!ThisWorkbook.PRINT_AppxE_DEOK">
                <anchor moveWithCells="1" sizeWithCells="1">
                  <from>
                    <xdr:col>7</xdr:col>
                    <xdr:colOff>0</xdr:colOff>
                    <xdr:row>21</xdr:row>
                    <xdr:rowOff>19050</xdr:rowOff>
                  </from>
                  <to>
                    <xdr:col>8</xdr:col>
                    <xdr:colOff>714375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20" name="Button 38">
              <controlPr defaultSize="0" print="0" autoFill="0" autoPict="0" macro="[0]!ThisWorkbook.PRINT_AppxD">
                <anchor moveWithCells="1" sizeWithCells="1">
                  <from>
                    <xdr:col>4</xdr:col>
                    <xdr:colOff>0</xdr:colOff>
                    <xdr:row>16</xdr:row>
                    <xdr:rowOff>95250</xdr:rowOff>
                  </from>
                  <to>
                    <xdr:col>5</xdr:col>
                    <xdr:colOff>714375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21" name="Button 40">
              <controlPr defaultSize="0" print="0" autoFill="0" autoPict="0" macro="[0]!ThisWorkbook.PRINT_AppxD_DEO">
                <anchor moveWithCells="1" sizeWithCells="1">
                  <from>
                    <xdr:col>7</xdr:col>
                    <xdr:colOff>0</xdr:colOff>
                    <xdr:row>16</xdr:row>
                    <xdr:rowOff>104775</xdr:rowOff>
                  </from>
                  <to>
                    <xdr:col>8</xdr:col>
                    <xdr:colOff>714375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1" r:id="rId22" name="Button 41">
              <controlPr defaultSize="0" print="0" autoFill="0" autoPict="0" macro="[0]!ThisWorkbook.PRINT_AppxD_DEK">
                <anchor moveWithCells="1" sizeWithCells="1">
                  <from>
                    <xdr:col>10</xdr:col>
                    <xdr:colOff>0</xdr:colOff>
                    <xdr:row>16</xdr:row>
                    <xdr:rowOff>104775</xdr:rowOff>
                  </from>
                  <to>
                    <xdr:col>11</xdr:col>
                    <xdr:colOff>714375</xdr:colOff>
                    <xdr:row>20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030A0"/>
    <pageSetUpPr fitToPage="1"/>
  </sheetPr>
  <dimension ref="A1:AY298"/>
  <sheetViews>
    <sheetView topLeftCell="J49" zoomScale="75" zoomScaleNormal="75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1.5546875" style="137" customWidth="1"/>
    <col min="4" max="4" width="1.44140625" style="137" customWidth="1"/>
    <col min="5" max="5" width="37.109375" style="137" customWidth="1"/>
    <col min="6" max="6" width="1.109375" style="137" customWidth="1"/>
    <col min="7" max="7" width="14.109375" style="137" customWidth="1"/>
    <col min="8" max="8" width="1" style="137" customWidth="1"/>
    <col min="9" max="10" width="12.77734375" style="137" customWidth="1"/>
    <col min="11" max="11" width="5.21875" style="137" customWidth="1"/>
    <col min="12" max="12" width="2.21875" style="137" customWidth="1"/>
    <col min="13" max="13" width="26.21875" style="137" customWidth="1"/>
    <col min="14" max="14" width="9.77734375" style="137" customWidth="1"/>
    <col min="15" max="15" width="9" style="137" customWidth="1"/>
    <col min="16" max="16" width="14" style="137" customWidth="1"/>
    <col min="17" max="17" width="13.33203125" style="137" customWidth="1"/>
    <col min="18" max="18" width="9" style="137" customWidth="1"/>
    <col min="19" max="19" width="14.6640625" style="137" customWidth="1"/>
    <col min="20" max="20" width="12.77734375" style="137" customWidth="1"/>
    <col min="21" max="21" width="12.109375" style="137" customWidth="1"/>
    <col min="22" max="22" width="16.6640625" style="137" customWidth="1"/>
    <col min="23" max="23" width="11.5546875" style="137" customWidth="1"/>
    <col min="24" max="24" width="15.77734375" style="137" customWidth="1"/>
    <col min="25" max="242" width="8.88671875" style="137"/>
    <col min="243" max="243" width="6" style="137" customWidth="1"/>
    <col min="244" max="244" width="1.44140625" style="137" customWidth="1"/>
    <col min="245" max="245" width="39.109375" style="137" customWidth="1"/>
    <col min="246" max="246" width="12" style="137" customWidth="1"/>
    <col min="247" max="247" width="14.44140625" style="137" customWidth="1"/>
    <col min="248" max="248" width="11.88671875" style="137" customWidth="1"/>
    <col min="249" max="249" width="14.109375" style="137" customWidth="1"/>
    <col min="250" max="250" width="13.88671875" style="137" customWidth="1"/>
    <col min="251" max="252" width="12.77734375" style="137" customWidth="1"/>
    <col min="253" max="253" width="13.5546875" style="137" customWidth="1"/>
    <col min="254" max="254" width="15.33203125" style="137" customWidth="1"/>
    <col min="255" max="255" width="12.77734375" style="137" customWidth="1"/>
    <col min="256" max="256" width="13.88671875" style="137" customWidth="1"/>
    <col min="257" max="257" width="1.88671875" style="137" customWidth="1"/>
    <col min="258" max="258" width="13" style="137" customWidth="1"/>
    <col min="259" max="498" width="8.88671875" style="137"/>
    <col min="499" max="499" width="6" style="137" customWidth="1"/>
    <col min="500" max="500" width="1.44140625" style="137" customWidth="1"/>
    <col min="501" max="501" width="39.109375" style="137" customWidth="1"/>
    <col min="502" max="502" width="12" style="137" customWidth="1"/>
    <col min="503" max="503" width="14.44140625" style="137" customWidth="1"/>
    <col min="504" max="504" width="11.88671875" style="137" customWidth="1"/>
    <col min="505" max="505" width="14.109375" style="137" customWidth="1"/>
    <col min="506" max="506" width="13.88671875" style="137" customWidth="1"/>
    <col min="507" max="508" width="12.77734375" style="137" customWidth="1"/>
    <col min="509" max="509" width="13.5546875" style="137" customWidth="1"/>
    <col min="510" max="510" width="15.33203125" style="137" customWidth="1"/>
    <col min="511" max="511" width="12.77734375" style="137" customWidth="1"/>
    <col min="512" max="512" width="13.88671875" style="137" customWidth="1"/>
    <col min="513" max="513" width="1.88671875" style="137" customWidth="1"/>
    <col min="514" max="514" width="13" style="137" customWidth="1"/>
    <col min="515" max="754" width="8.88671875" style="137"/>
    <col min="755" max="755" width="6" style="137" customWidth="1"/>
    <col min="756" max="756" width="1.44140625" style="137" customWidth="1"/>
    <col min="757" max="757" width="39.109375" style="137" customWidth="1"/>
    <col min="758" max="758" width="12" style="137" customWidth="1"/>
    <col min="759" max="759" width="14.44140625" style="137" customWidth="1"/>
    <col min="760" max="760" width="11.88671875" style="137" customWidth="1"/>
    <col min="761" max="761" width="14.109375" style="137" customWidth="1"/>
    <col min="762" max="762" width="13.88671875" style="137" customWidth="1"/>
    <col min="763" max="764" width="12.77734375" style="137" customWidth="1"/>
    <col min="765" max="765" width="13.5546875" style="137" customWidth="1"/>
    <col min="766" max="766" width="15.33203125" style="137" customWidth="1"/>
    <col min="767" max="767" width="12.77734375" style="137" customWidth="1"/>
    <col min="768" max="768" width="13.88671875" style="137" customWidth="1"/>
    <col min="769" max="769" width="1.88671875" style="137" customWidth="1"/>
    <col min="770" max="770" width="13" style="137" customWidth="1"/>
    <col min="771" max="1010" width="8.88671875" style="137"/>
    <col min="1011" max="1011" width="6" style="137" customWidth="1"/>
    <col min="1012" max="1012" width="1.44140625" style="137" customWidth="1"/>
    <col min="1013" max="1013" width="39.109375" style="137" customWidth="1"/>
    <col min="1014" max="1014" width="12" style="137" customWidth="1"/>
    <col min="1015" max="1015" width="14.44140625" style="137" customWidth="1"/>
    <col min="1016" max="1016" width="11.88671875" style="137" customWidth="1"/>
    <col min="1017" max="1017" width="14.109375" style="137" customWidth="1"/>
    <col min="1018" max="1018" width="13.88671875" style="137" customWidth="1"/>
    <col min="1019" max="1020" width="12.77734375" style="137" customWidth="1"/>
    <col min="1021" max="1021" width="13.5546875" style="137" customWidth="1"/>
    <col min="1022" max="1022" width="15.33203125" style="137" customWidth="1"/>
    <col min="1023" max="1023" width="12.77734375" style="137" customWidth="1"/>
    <col min="1024" max="1024" width="13.88671875" style="137" customWidth="1"/>
    <col min="1025" max="1025" width="1.88671875" style="137" customWidth="1"/>
    <col min="1026" max="1026" width="13" style="137" customWidth="1"/>
    <col min="1027" max="1266" width="8.88671875" style="137"/>
    <col min="1267" max="1267" width="6" style="137" customWidth="1"/>
    <col min="1268" max="1268" width="1.44140625" style="137" customWidth="1"/>
    <col min="1269" max="1269" width="39.109375" style="137" customWidth="1"/>
    <col min="1270" max="1270" width="12" style="137" customWidth="1"/>
    <col min="1271" max="1271" width="14.44140625" style="137" customWidth="1"/>
    <col min="1272" max="1272" width="11.88671875" style="137" customWidth="1"/>
    <col min="1273" max="1273" width="14.109375" style="137" customWidth="1"/>
    <col min="1274" max="1274" width="13.88671875" style="137" customWidth="1"/>
    <col min="1275" max="1276" width="12.77734375" style="137" customWidth="1"/>
    <col min="1277" max="1277" width="13.5546875" style="137" customWidth="1"/>
    <col min="1278" max="1278" width="15.33203125" style="137" customWidth="1"/>
    <col min="1279" max="1279" width="12.77734375" style="137" customWidth="1"/>
    <col min="1280" max="1280" width="13.88671875" style="137" customWidth="1"/>
    <col min="1281" max="1281" width="1.88671875" style="137" customWidth="1"/>
    <col min="1282" max="1282" width="13" style="137" customWidth="1"/>
    <col min="1283" max="1522" width="8.88671875" style="137"/>
    <col min="1523" max="1523" width="6" style="137" customWidth="1"/>
    <col min="1524" max="1524" width="1.44140625" style="137" customWidth="1"/>
    <col min="1525" max="1525" width="39.109375" style="137" customWidth="1"/>
    <col min="1526" max="1526" width="12" style="137" customWidth="1"/>
    <col min="1527" max="1527" width="14.44140625" style="137" customWidth="1"/>
    <col min="1528" max="1528" width="11.88671875" style="137" customWidth="1"/>
    <col min="1529" max="1529" width="14.109375" style="137" customWidth="1"/>
    <col min="1530" max="1530" width="13.88671875" style="137" customWidth="1"/>
    <col min="1531" max="1532" width="12.77734375" style="137" customWidth="1"/>
    <col min="1533" max="1533" width="13.5546875" style="137" customWidth="1"/>
    <col min="1534" max="1534" width="15.33203125" style="137" customWidth="1"/>
    <col min="1535" max="1535" width="12.77734375" style="137" customWidth="1"/>
    <col min="1536" max="1536" width="13.88671875" style="137" customWidth="1"/>
    <col min="1537" max="1537" width="1.88671875" style="137" customWidth="1"/>
    <col min="1538" max="1538" width="13" style="137" customWidth="1"/>
    <col min="1539" max="1778" width="8.88671875" style="137"/>
    <col min="1779" max="1779" width="6" style="137" customWidth="1"/>
    <col min="1780" max="1780" width="1.44140625" style="137" customWidth="1"/>
    <col min="1781" max="1781" width="39.109375" style="137" customWidth="1"/>
    <col min="1782" max="1782" width="12" style="137" customWidth="1"/>
    <col min="1783" max="1783" width="14.44140625" style="137" customWidth="1"/>
    <col min="1784" max="1784" width="11.88671875" style="137" customWidth="1"/>
    <col min="1785" max="1785" width="14.109375" style="137" customWidth="1"/>
    <col min="1786" max="1786" width="13.88671875" style="137" customWidth="1"/>
    <col min="1787" max="1788" width="12.77734375" style="137" customWidth="1"/>
    <col min="1789" max="1789" width="13.5546875" style="137" customWidth="1"/>
    <col min="1790" max="1790" width="15.33203125" style="137" customWidth="1"/>
    <col min="1791" max="1791" width="12.77734375" style="137" customWidth="1"/>
    <col min="1792" max="1792" width="13.88671875" style="137" customWidth="1"/>
    <col min="1793" max="1793" width="1.88671875" style="137" customWidth="1"/>
    <col min="1794" max="1794" width="13" style="137" customWidth="1"/>
    <col min="1795" max="2034" width="8.88671875" style="137"/>
    <col min="2035" max="2035" width="6" style="137" customWidth="1"/>
    <col min="2036" max="2036" width="1.44140625" style="137" customWidth="1"/>
    <col min="2037" max="2037" width="39.109375" style="137" customWidth="1"/>
    <col min="2038" max="2038" width="12" style="137" customWidth="1"/>
    <col min="2039" max="2039" width="14.44140625" style="137" customWidth="1"/>
    <col min="2040" max="2040" width="11.88671875" style="137" customWidth="1"/>
    <col min="2041" max="2041" width="14.109375" style="137" customWidth="1"/>
    <col min="2042" max="2042" width="13.88671875" style="137" customWidth="1"/>
    <col min="2043" max="2044" width="12.77734375" style="137" customWidth="1"/>
    <col min="2045" max="2045" width="13.5546875" style="137" customWidth="1"/>
    <col min="2046" max="2046" width="15.33203125" style="137" customWidth="1"/>
    <col min="2047" max="2047" width="12.77734375" style="137" customWidth="1"/>
    <col min="2048" max="2048" width="13.88671875" style="137" customWidth="1"/>
    <col min="2049" max="2049" width="1.88671875" style="137" customWidth="1"/>
    <col min="2050" max="2050" width="13" style="137" customWidth="1"/>
    <col min="2051" max="2290" width="8.88671875" style="137"/>
    <col min="2291" max="2291" width="6" style="137" customWidth="1"/>
    <col min="2292" max="2292" width="1.44140625" style="137" customWidth="1"/>
    <col min="2293" max="2293" width="39.109375" style="137" customWidth="1"/>
    <col min="2294" max="2294" width="12" style="137" customWidth="1"/>
    <col min="2295" max="2295" width="14.44140625" style="137" customWidth="1"/>
    <col min="2296" max="2296" width="11.88671875" style="137" customWidth="1"/>
    <col min="2297" max="2297" width="14.109375" style="137" customWidth="1"/>
    <col min="2298" max="2298" width="13.88671875" style="137" customWidth="1"/>
    <col min="2299" max="2300" width="12.77734375" style="137" customWidth="1"/>
    <col min="2301" max="2301" width="13.5546875" style="137" customWidth="1"/>
    <col min="2302" max="2302" width="15.33203125" style="137" customWidth="1"/>
    <col min="2303" max="2303" width="12.77734375" style="137" customWidth="1"/>
    <col min="2304" max="2304" width="13.88671875" style="137" customWidth="1"/>
    <col min="2305" max="2305" width="1.88671875" style="137" customWidth="1"/>
    <col min="2306" max="2306" width="13" style="137" customWidth="1"/>
    <col min="2307" max="2546" width="8.88671875" style="137"/>
    <col min="2547" max="2547" width="6" style="137" customWidth="1"/>
    <col min="2548" max="2548" width="1.44140625" style="137" customWidth="1"/>
    <col min="2549" max="2549" width="39.109375" style="137" customWidth="1"/>
    <col min="2550" max="2550" width="12" style="137" customWidth="1"/>
    <col min="2551" max="2551" width="14.44140625" style="137" customWidth="1"/>
    <col min="2552" max="2552" width="11.88671875" style="137" customWidth="1"/>
    <col min="2553" max="2553" width="14.109375" style="137" customWidth="1"/>
    <col min="2554" max="2554" width="13.88671875" style="137" customWidth="1"/>
    <col min="2555" max="2556" width="12.77734375" style="137" customWidth="1"/>
    <col min="2557" max="2557" width="13.5546875" style="137" customWidth="1"/>
    <col min="2558" max="2558" width="15.33203125" style="137" customWidth="1"/>
    <col min="2559" max="2559" width="12.77734375" style="137" customWidth="1"/>
    <col min="2560" max="2560" width="13.88671875" style="137" customWidth="1"/>
    <col min="2561" max="2561" width="1.88671875" style="137" customWidth="1"/>
    <col min="2562" max="2562" width="13" style="137" customWidth="1"/>
    <col min="2563" max="2802" width="8.88671875" style="137"/>
    <col min="2803" max="2803" width="6" style="137" customWidth="1"/>
    <col min="2804" max="2804" width="1.44140625" style="137" customWidth="1"/>
    <col min="2805" max="2805" width="39.109375" style="137" customWidth="1"/>
    <col min="2806" max="2806" width="12" style="137" customWidth="1"/>
    <col min="2807" max="2807" width="14.44140625" style="137" customWidth="1"/>
    <col min="2808" max="2808" width="11.88671875" style="137" customWidth="1"/>
    <col min="2809" max="2809" width="14.109375" style="137" customWidth="1"/>
    <col min="2810" max="2810" width="13.88671875" style="137" customWidth="1"/>
    <col min="2811" max="2812" width="12.77734375" style="137" customWidth="1"/>
    <col min="2813" max="2813" width="13.5546875" style="137" customWidth="1"/>
    <col min="2814" max="2814" width="15.33203125" style="137" customWidth="1"/>
    <col min="2815" max="2815" width="12.77734375" style="137" customWidth="1"/>
    <col min="2816" max="2816" width="13.88671875" style="137" customWidth="1"/>
    <col min="2817" max="2817" width="1.88671875" style="137" customWidth="1"/>
    <col min="2818" max="2818" width="13" style="137" customWidth="1"/>
    <col min="2819" max="3058" width="8.88671875" style="137"/>
    <col min="3059" max="3059" width="6" style="137" customWidth="1"/>
    <col min="3060" max="3060" width="1.44140625" style="137" customWidth="1"/>
    <col min="3061" max="3061" width="39.109375" style="137" customWidth="1"/>
    <col min="3062" max="3062" width="12" style="137" customWidth="1"/>
    <col min="3063" max="3063" width="14.44140625" style="137" customWidth="1"/>
    <col min="3064" max="3064" width="11.88671875" style="137" customWidth="1"/>
    <col min="3065" max="3065" width="14.109375" style="137" customWidth="1"/>
    <col min="3066" max="3066" width="13.88671875" style="137" customWidth="1"/>
    <col min="3067" max="3068" width="12.77734375" style="137" customWidth="1"/>
    <col min="3069" max="3069" width="13.5546875" style="137" customWidth="1"/>
    <col min="3070" max="3070" width="15.33203125" style="137" customWidth="1"/>
    <col min="3071" max="3071" width="12.77734375" style="137" customWidth="1"/>
    <col min="3072" max="3072" width="13.88671875" style="137" customWidth="1"/>
    <col min="3073" max="3073" width="1.88671875" style="137" customWidth="1"/>
    <col min="3074" max="3074" width="13" style="137" customWidth="1"/>
    <col min="3075" max="3314" width="8.88671875" style="137"/>
    <col min="3315" max="3315" width="6" style="137" customWidth="1"/>
    <col min="3316" max="3316" width="1.44140625" style="137" customWidth="1"/>
    <col min="3317" max="3317" width="39.109375" style="137" customWidth="1"/>
    <col min="3318" max="3318" width="12" style="137" customWidth="1"/>
    <col min="3319" max="3319" width="14.44140625" style="137" customWidth="1"/>
    <col min="3320" max="3320" width="11.88671875" style="137" customWidth="1"/>
    <col min="3321" max="3321" width="14.109375" style="137" customWidth="1"/>
    <col min="3322" max="3322" width="13.88671875" style="137" customWidth="1"/>
    <col min="3323" max="3324" width="12.77734375" style="137" customWidth="1"/>
    <col min="3325" max="3325" width="13.5546875" style="137" customWidth="1"/>
    <col min="3326" max="3326" width="15.33203125" style="137" customWidth="1"/>
    <col min="3327" max="3327" width="12.77734375" style="137" customWidth="1"/>
    <col min="3328" max="3328" width="13.88671875" style="137" customWidth="1"/>
    <col min="3329" max="3329" width="1.88671875" style="137" customWidth="1"/>
    <col min="3330" max="3330" width="13" style="137" customWidth="1"/>
    <col min="3331" max="3570" width="8.88671875" style="137"/>
    <col min="3571" max="3571" width="6" style="137" customWidth="1"/>
    <col min="3572" max="3572" width="1.44140625" style="137" customWidth="1"/>
    <col min="3573" max="3573" width="39.109375" style="137" customWidth="1"/>
    <col min="3574" max="3574" width="12" style="137" customWidth="1"/>
    <col min="3575" max="3575" width="14.44140625" style="137" customWidth="1"/>
    <col min="3576" max="3576" width="11.88671875" style="137" customWidth="1"/>
    <col min="3577" max="3577" width="14.109375" style="137" customWidth="1"/>
    <col min="3578" max="3578" width="13.88671875" style="137" customWidth="1"/>
    <col min="3579" max="3580" width="12.77734375" style="137" customWidth="1"/>
    <col min="3581" max="3581" width="13.5546875" style="137" customWidth="1"/>
    <col min="3582" max="3582" width="15.33203125" style="137" customWidth="1"/>
    <col min="3583" max="3583" width="12.77734375" style="137" customWidth="1"/>
    <col min="3584" max="3584" width="13.88671875" style="137" customWidth="1"/>
    <col min="3585" max="3585" width="1.88671875" style="137" customWidth="1"/>
    <col min="3586" max="3586" width="13" style="137" customWidth="1"/>
    <col min="3587" max="3826" width="8.88671875" style="137"/>
    <col min="3827" max="3827" width="6" style="137" customWidth="1"/>
    <col min="3828" max="3828" width="1.44140625" style="137" customWidth="1"/>
    <col min="3829" max="3829" width="39.109375" style="137" customWidth="1"/>
    <col min="3830" max="3830" width="12" style="137" customWidth="1"/>
    <col min="3831" max="3831" width="14.44140625" style="137" customWidth="1"/>
    <col min="3832" max="3832" width="11.88671875" style="137" customWidth="1"/>
    <col min="3833" max="3833" width="14.109375" style="137" customWidth="1"/>
    <col min="3834" max="3834" width="13.88671875" style="137" customWidth="1"/>
    <col min="3835" max="3836" width="12.77734375" style="137" customWidth="1"/>
    <col min="3837" max="3837" width="13.5546875" style="137" customWidth="1"/>
    <col min="3838" max="3838" width="15.33203125" style="137" customWidth="1"/>
    <col min="3839" max="3839" width="12.77734375" style="137" customWidth="1"/>
    <col min="3840" max="3840" width="13.88671875" style="137" customWidth="1"/>
    <col min="3841" max="3841" width="1.88671875" style="137" customWidth="1"/>
    <col min="3842" max="3842" width="13" style="137" customWidth="1"/>
    <col min="3843" max="4082" width="8.88671875" style="137"/>
    <col min="4083" max="4083" width="6" style="137" customWidth="1"/>
    <col min="4084" max="4084" width="1.44140625" style="137" customWidth="1"/>
    <col min="4085" max="4085" width="39.109375" style="137" customWidth="1"/>
    <col min="4086" max="4086" width="12" style="137" customWidth="1"/>
    <col min="4087" max="4087" width="14.44140625" style="137" customWidth="1"/>
    <col min="4088" max="4088" width="11.88671875" style="137" customWidth="1"/>
    <col min="4089" max="4089" width="14.109375" style="137" customWidth="1"/>
    <col min="4090" max="4090" width="13.88671875" style="137" customWidth="1"/>
    <col min="4091" max="4092" width="12.77734375" style="137" customWidth="1"/>
    <col min="4093" max="4093" width="13.5546875" style="137" customWidth="1"/>
    <col min="4094" max="4094" width="15.33203125" style="137" customWidth="1"/>
    <col min="4095" max="4095" width="12.77734375" style="137" customWidth="1"/>
    <col min="4096" max="4096" width="13.88671875" style="137" customWidth="1"/>
    <col min="4097" max="4097" width="1.88671875" style="137" customWidth="1"/>
    <col min="4098" max="4098" width="13" style="137" customWidth="1"/>
    <col min="4099" max="4338" width="8.88671875" style="137"/>
    <col min="4339" max="4339" width="6" style="137" customWidth="1"/>
    <col min="4340" max="4340" width="1.44140625" style="137" customWidth="1"/>
    <col min="4341" max="4341" width="39.109375" style="137" customWidth="1"/>
    <col min="4342" max="4342" width="12" style="137" customWidth="1"/>
    <col min="4343" max="4343" width="14.44140625" style="137" customWidth="1"/>
    <col min="4344" max="4344" width="11.88671875" style="137" customWidth="1"/>
    <col min="4345" max="4345" width="14.109375" style="137" customWidth="1"/>
    <col min="4346" max="4346" width="13.88671875" style="137" customWidth="1"/>
    <col min="4347" max="4348" width="12.77734375" style="137" customWidth="1"/>
    <col min="4349" max="4349" width="13.5546875" style="137" customWidth="1"/>
    <col min="4350" max="4350" width="15.33203125" style="137" customWidth="1"/>
    <col min="4351" max="4351" width="12.77734375" style="137" customWidth="1"/>
    <col min="4352" max="4352" width="13.88671875" style="137" customWidth="1"/>
    <col min="4353" max="4353" width="1.88671875" style="137" customWidth="1"/>
    <col min="4354" max="4354" width="13" style="137" customWidth="1"/>
    <col min="4355" max="4594" width="8.88671875" style="137"/>
    <col min="4595" max="4595" width="6" style="137" customWidth="1"/>
    <col min="4596" max="4596" width="1.44140625" style="137" customWidth="1"/>
    <col min="4597" max="4597" width="39.109375" style="137" customWidth="1"/>
    <col min="4598" max="4598" width="12" style="137" customWidth="1"/>
    <col min="4599" max="4599" width="14.44140625" style="137" customWidth="1"/>
    <col min="4600" max="4600" width="11.88671875" style="137" customWidth="1"/>
    <col min="4601" max="4601" width="14.109375" style="137" customWidth="1"/>
    <col min="4602" max="4602" width="13.88671875" style="137" customWidth="1"/>
    <col min="4603" max="4604" width="12.77734375" style="137" customWidth="1"/>
    <col min="4605" max="4605" width="13.5546875" style="137" customWidth="1"/>
    <col min="4606" max="4606" width="15.33203125" style="137" customWidth="1"/>
    <col min="4607" max="4607" width="12.77734375" style="137" customWidth="1"/>
    <col min="4608" max="4608" width="13.88671875" style="137" customWidth="1"/>
    <col min="4609" max="4609" width="1.88671875" style="137" customWidth="1"/>
    <col min="4610" max="4610" width="13" style="137" customWidth="1"/>
    <col min="4611" max="4850" width="8.88671875" style="137"/>
    <col min="4851" max="4851" width="6" style="137" customWidth="1"/>
    <col min="4852" max="4852" width="1.44140625" style="137" customWidth="1"/>
    <col min="4853" max="4853" width="39.109375" style="137" customWidth="1"/>
    <col min="4854" max="4854" width="12" style="137" customWidth="1"/>
    <col min="4855" max="4855" width="14.44140625" style="137" customWidth="1"/>
    <col min="4856" max="4856" width="11.88671875" style="137" customWidth="1"/>
    <col min="4857" max="4857" width="14.109375" style="137" customWidth="1"/>
    <col min="4858" max="4858" width="13.88671875" style="137" customWidth="1"/>
    <col min="4859" max="4860" width="12.77734375" style="137" customWidth="1"/>
    <col min="4861" max="4861" width="13.5546875" style="137" customWidth="1"/>
    <col min="4862" max="4862" width="15.33203125" style="137" customWidth="1"/>
    <col min="4863" max="4863" width="12.77734375" style="137" customWidth="1"/>
    <col min="4864" max="4864" width="13.88671875" style="137" customWidth="1"/>
    <col min="4865" max="4865" width="1.88671875" style="137" customWidth="1"/>
    <col min="4866" max="4866" width="13" style="137" customWidth="1"/>
    <col min="4867" max="5106" width="8.88671875" style="137"/>
    <col min="5107" max="5107" width="6" style="137" customWidth="1"/>
    <col min="5108" max="5108" width="1.44140625" style="137" customWidth="1"/>
    <col min="5109" max="5109" width="39.109375" style="137" customWidth="1"/>
    <col min="5110" max="5110" width="12" style="137" customWidth="1"/>
    <col min="5111" max="5111" width="14.44140625" style="137" customWidth="1"/>
    <col min="5112" max="5112" width="11.88671875" style="137" customWidth="1"/>
    <col min="5113" max="5113" width="14.109375" style="137" customWidth="1"/>
    <col min="5114" max="5114" width="13.88671875" style="137" customWidth="1"/>
    <col min="5115" max="5116" width="12.77734375" style="137" customWidth="1"/>
    <col min="5117" max="5117" width="13.5546875" style="137" customWidth="1"/>
    <col min="5118" max="5118" width="15.33203125" style="137" customWidth="1"/>
    <col min="5119" max="5119" width="12.77734375" style="137" customWidth="1"/>
    <col min="5120" max="5120" width="13.88671875" style="137" customWidth="1"/>
    <col min="5121" max="5121" width="1.88671875" style="137" customWidth="1"/>
    <col min="5122" max="5122" width="13" style="137" customWidth="1"/>
    <col min="5123" max="5362" width="8.88671875" style="137"/>
    <col min="5363" max="5363" width="6" style="137" customWidth="1"/>
    <col min="5364" max="5364" width="1.44140625" style="137" customWidth="1"/>
    <col min="5365" max="5365" width="39.109375" style="137" customWidth="1"/>
    <col min="5366" max="5366" width="12" style="137" customWidth="1"/>
    <col min="5367" max="5367" width="14.44140625" style="137" customWidth="1"/>
    <col min="5368" max="5368" width="11.88671875" style="137" customWidth="1"/>
    <col min="5369" max="5369" width="14.109375" style="137" customWidth="1"/>
    <col min="5370" max="5370" width="13.88671875" style="137" customWidth="1"/>
    <col min="5371" max="5372" width="12.77734375" style="137" customWidth="1"/>
    <col min="5373" max="5373" width="13.5546875" style="137" customWidth="1"/>
    <col min="5374" max="5374" width="15.33203125" style="137" customWidth="1"/>
    <col min="5375" max="5375" width="12.77734375" style="137" customWidth="1"/>
    <col min="5376" max="5376" width="13.88671875" style="137" customWidth="1"/>
    <col min="5377" max="5377" width="1.88671875" style="137" customWidth="1"/>
    <col min="5378" max="5378" width="13" style="137" customWidth="1"/>
    <col min="5379" max="5618" width="8.88671875" style="137"/>
    <col min="5619" max="5619" width="6" style="137" customWidth="1"/>
    <col min="5620" max="5620" width="1.44140625" style="137" customWidth="1"/>
    <col min="5621" max="5621" width="39.109375" style="137" customWidth="1"/>
    <col min="5622" max="5622" width="12" style="137" customWidth="1"/>
    <col min="5623" max="5623" width="14.44140625" style="137" customWidth="1"/>
    <col min="5624" max="5624" width="11.88671875" style="137" customWidth="1"/>
    <col min="5625" max="5625" width="14.109375" style="137" customWidth="1"/>
    <col min="5626" max="5626" width="13.88671875" style="137" customWidth="1"/>
    <col min="5627" max="5628" width="12.77734375" style="137" customWidth="1"/>
    <col min="5629" max="5629" width="13.5546875" style="137" customWidth="1"/>
    <col min="5630" max="5630" width="15.33203125" style="137" customWidth="1"/>
    <col min="5631" max="5631" width="12.77734375" style="137" customWidth="1"/>
    <col min="5632" max="5632" width="13.88671875" style="137" customWidth="1"/>
    <col min="5633" max="5633" width="1.88671875" style="137" customWidth="1"/>
    <col min="5634" max="5634" width="13" style="137" customWidth="1"/>
    <col min="5635" max="5874" width="8.88671875" style="137"/>
    <col min="5875" max="5875" width="6" style="137" customWidth="1"/>
    <col min="5876" max="5876" width="1.44140625" style="137" customWidth="1"/>
    <col min="5877" max="5877" width="39.109375" style="137" customWidth="1"/>
    <col min="5878" max="5878" width="12" style="137" customWidth="1"/>
    <col min="5879" max="5879" width="14.44140625" style="137" customWidth="1"/>
    <col min="5880" max="5880" width="11.88671875" style="137" customWidth="1"/>
    <col min="5881" max="5881" width="14.109375" style="137" customWidth="1"/>
    <col min="5882" max="5882" width="13.88671875" style="137" customWidth="1"/>
    <col min="5883" max="5884" width="12.77734375" style="137" customWidth="1"/>
    <col min="5885" max="5885" width="13.5546875" style="137" customWidth="1"/>
    <col min="5886" max="5886" width="15.33203125" style="137" customWidth="1"/>
    <col min="5887" max="5887" width="12.77734375" style="137" customWidth="1"/>
    <col min="5888" max="5888" width="13.88671875" style="137" customWidth="1"/>
    <col min="5889" max="5889" width="1.88671875" style="137" customWidth="1"/>
    <col min="5890" max="5890" width="13" style="137" customWidth="1"/>
    <col min="5891" max="6130" width="8.88671875" style="137"/>
    <col min="6131" max="6131" width="6" style="137" customWidth="1"/>
    <col min="6132" max="6132" width="1.44140625" style="137" customWidth="1"/>
    <col min="6133" max="6133" width="39.109375" style="137" customWidth="1"/>
    <col min="6134" max="6134" width="12" style="137" customWidth="1"/>
    <col min="6135" max="6135" width="14.44140625" style="137" customWidth="1"/>
    <col min="6136" max="6136" width="11.88671875" style="137" customWidth="1"/>
    <col min="6137" max="6137" width="14.109375" style="137" customWidth="1"/>
    <col min="6138" max="6138" width="13.88671875" style="137" customWidth="1"/>
    <col min="6139" max="6140" width="12.77734375" style="137" customWidth="1"/>
    <col min="6141" max="6141" width="13.5546875" style="137" customWidth="1"/>
    <col min="6142" max="6142" width="15.33203125" style="137" customWidth="1"/>
    <col min="6143" max="6143" width="12.77734375" style="137" customWidth="1"/>
    <col min="6144" max="6144" width="13.88671875" style="137" customWidth="1"/>
    <col min="6145" max="6145" width="1.88671875" style="137" customWidth="1"/>
    <col min="6146" max="6146" width="13" style="137" customWidth="1"/>
    <col min="6147" max="6386" width="8.88671875" style="137"/>
    <col min="6387" max="6387" width="6" style="137" customWidth="1"/>
    <col min="6388" max="6388" width="1.44140625" style="137" customWidth="1"/>
    <col min="6389" max="6389" width="39.109375" style="137" customWidth="1"/>
    <col min="6390" max="6390" width="12" style="137" customWidth="1"/>
    <col min="6391" max="6391" width="14.44140625" style="137" customWidth="1"/>
    <col min="6392" max="6392" width="11.88671875" style="137" customWidth="1"/>
    <col min="6393" max="6393" width="14.109375" style="137" customWidth="1"/>
    <col min="6394" max="6394" width="13.88671875" style="137" customWidth="1"/>
    <col min="6395" max="6396" width="12.77734375" style="137" customWidth="1"/>
    <col min="6397" max="6397" width="13.5546875" style="137" customWidth="1"/>
    <col min="6398" max="6398" width="15.33203125" style="137" customWidth="1"/>
    <col min="6399" max="6399" width="12.77734375" style="137" customWidth="1"/>
    <col min="6400" max="6400" width="13.88671875" style="137" customWidth="1"/>
    <col min="6401" max="6401" width="1.88671875" style="137" customWidth="1"/>
    <col min="6402" max="6402" width="13" style="137" customWidth="1"/>
    <col min="6403" max="6642" width="8.88671875" style="137"/>
    <col min="6643" max="6643" width="6" style="137" customWidth="1"/>
    <col min="6644" max="6644" width="1.44140625" style="137" customWidth="1"/>
    <col min="6645" max="6645" width="39.109375" style="137" customWidth="1"/>
    <col min="6646" max="6646" width="12" style="137" customWidth="1"/>
    <col min="6647" max="6647" width="14.44140625" style="137" customWidth="1"/>
    <col min="6648" max="6648" width="11.88671875" style="137" customWidth="1"/>
    <col min="6649" max="6649" width="14.109375" style="137" customWidth="1"/>
    <col min="6650" max="6650" width="13.88671875" style="137" customWidth="1"/>
    <col min="6651" max="6652" width="12.77734375" style="137" customWidth="1"/>
    <col min="6653" max="6653" width="13.5546875" style="137" customWidth="1"/>
    <col min="6654" max="6654" width="15.33203125" style="137" customWidth="1"/>
    <col min="6655" max="6655" width="12.77734375" style="137" customWidth="1"/>
    <col min="6656" max="6656" width="13.88671875" style="137" customWidth="1"/>
    <col min="6657" max="6657" width="1.88671875" style="137" customWidth="1"/>
    <col min="6658" max="6658" width="13" style="137" customWidth="1"/>
    <col min="6659" max="6898" width="8.88671875" style="137"/>
    <col min="6899" max="6899" width="6" style="137" customWidth="1"/>
    <col min="6900" max="6900" width="1.44140625" style="137" customWidth="1"/>
    <col min="6901" max="6901" width="39.109375" style="137" customWidth="1"/>
    <col min="6902" max="6902" width="12" style="137" customWidth="1"/>
    <col min="6903" max="6903" width="14.44140625" style="137" customWidth="1"/>
    <col min="6904" max="6904" width="11.88671875" style="137" customWidth="1"/>
    <col min="6905" max="6905" width="14.109375" style="137" customWidth="1"/>
    <col min="6906" max="6906" width="13.88671875" style="137" customWidth="1"/>
    <col min="6907" max="6908" width="12.77734375" style="137" customWidth="1"/>
    <col min="6909" max="6909" width="13.5546875" style="137" customWidth="1"/>
    <col min="6910" max="6910" width="15.33203125" style="137" customWidth="1"/>
    <col min="6911" max="6911" width="12.77734375" style="137" customWidth="1"/>
    <col min="6912" max="6912" width="13.88671875" style="137" customWidth="1"/>
    <col min="6913" max="6913" width="1.88671875" style="137" customWidth="1"/>
    <col min="6914" max="6914" width="13" style="137" customWidth="1"/>
    <col min="6915" max="7154" width="8.88671875" style="137"/>
    <col min="7155" max="7155" width="6" style="137" customWidth="1"/>
    <col min="7156" max="7156" width="1.44140625" style="137" customWidth="1"/>
    <col min="7157" max="7157" width="39.109375" style="137" customWidth="1"/>
    <col min="7158" max="7158" width="12" style="137" customWidth="1"/>
    <col min="7159" max="7159" width="14.44140625" style="137" customWidth="1"/>
    <col min="7160" max="7160" width="11.88671875" style="137" customWidth="1"/>
    <col min="7161" max="7161" width="14.109375" style="137" customWidth="1"/>
    <col min="7162" max="7162" width="13.88671875" style="137" customWidth="1"/>
    <col min="7163" max="7164" width="12.77734375" style="137" customWidth="1"/>
    <col min="7165" max="7165" width="13.5546875" style="137" customWidth="1"/>
    <col min="7166" max="7166" width="15.33203125" style="137" customWidth="1"/>
    <col min="7167" max="7167" width="12.77734375" style="137" customWidth="1"/>
    <col min="7168" max="7168" width="13.88671875" style="137" customWidth="1"/>
    <col min="7169" max="7169" width="1.88671875" style="137" customWidth="1"/>
    <col min="7170" max="7170" width="13" style="137" customWidth="1"/>
    <col min="7171" max="7410" width="8.88671875" style="137"/>
    <col min="7411" max="7411" width="6" style="137" customWidth="1"/>
    <col min="7412" max="7412" width="1.44140625" style="137" customWidth="1"/>
    <col min="7413" max="7413" width="39.109375" style="137" customWidth="1"/>
    <col min="7414" max="7414" width="12" style="137" customWidth="1"/>
    <col min="7415" max="7415" width="14.44140625" style="137" customWidth="1"/>
    <col min="7416" max="7416" width="11.88671875" style="137" customWidth="1"/>
    <col min="7417" max="7417" width="14.109375" style="137" customWidth="1"/>
    <col min="7418" max="7418" width="13.88671875" style="137" customWidth="1"/>
    <col min="7419" max="7420" width="12.77734375" style="137" customWidth="1"/>
    <col min="7421" max="7421" width="13.5546875" style="137" customWidth="1"/>
    <col min="7422" max="7422" width="15.33203125" style="137" customWidth="1"/>
    <col min="7423" max="7423" width="12.77734375" style="137" customWidth="1"/>
    <col min="7424" max="7424" width="13.88671875" style="137" customWidth="1"/>
    <col min="7425" max="7425" width="1.88671875" style="137" customWidth="1"/>
    <col min="7426" max="7426" width="13" style="137" customWidth="1"/>
    <col min="7427" max="7666" width="8.88671875" style="137"/>
    <col min="7667" max="7667" width="6" style="137" customWidth="1"/>
    <col min="7668" max="7668" width="1.44140625" style="137" customWidth="1"/>
    <col min="7669" max="7669" width="39.109375" style="137" customWidth="1"/>
    <col min="7670" max="7670" width="12" style="137" customWidth="1"/>
    <col min="7671" max="7671" width="14.44140625" style="137" customWidth="1"/>
    <col min="7672" max="7672" width="11.88671875" style="137" customWidth="1"/>
    <col min="7673" max="7673" width="14.109375" style="137" customWidth="1"/>
    <col min="7674" max="7674" width="13.88671875" style="137" customWidth="1"/>
    <col min="7675" max="7676" width="12.77734375" style="137" customWidth="1"/>
    <col min="7677" max="7677" width="13.5546875" style="137" customWidth="1"/>
    <col min="7678" max="7678" width="15.33203125" style="137" customWidth="1"/>
    <col min="7679" max="7679" width="12.77734375" style="137" customWidth="1"/>
    <col min="7680" max="7680" width="13.88671875" style="137" customWidth="1"/>
    <col min="7681" max="7681" width="1.88671875" style="137" customWidth="1"/>
    <col min="7682" max="7682" width="13" style="137" customWidth="1"/>
    <col min="7683" max="7922" width="8.88671875" style="137"/>
    <col min="7923" max="7923" width="6" style="137" customWidth="1"/>
    <col min="7924" max="7924" width="1.44140625" style="137" customWidth="1"/>
    <col min="7925" max="7925" width="39.109375" style="137" customWidth="1"/>
    <col min="7926" max="7926" width="12" style="137" customWidth="1"/>
    <col min="7927" max="7927" width="14.44140625" style="137" customWidth="1"/>
    <col min="7928" max="7928" width="11.88671875" style="137" customWidth="1"/>
    <col min="7929" max="7929" width="14.109375" style="137" customWidth="1"/>
    <col min="7930" max="7930" width="13.88671875" style="137" customWidth="1"/>
    <col min="7931" max="7932" width="12.77734375" style="137" customWidth="1"/>
    <col min="7933" max="7933" width="13.5546875" style="137" customWidth="1"/>
    <col min="7934" max="7934" width="15.33203125" style="137" customWidth="1"/>
    <col min="7935" max="7935" width="12.77734375" style="137" customWidth="1"/>
    <col min="7936" max="7936" width="13.88671875" style="137" customWidth="1"/>
    <col min="7937" max="7937" width="1.88671875" style="137" customWidth="1"/>
    <col min="7938" max="7938" width="13" style="137" customWidth="1"/>
    <col min="7939" max="8178" width="8.88671875" style="137"/>
    <col min="8179" max="8179" width="6" style="137" customWidth="1"/>
    <col min="8180" max="8180" width="1.44140625" style="137" customWidth="1"/>
    <col min="8181" max="8181" width="39.109375" style="137" customWidth="1"/>
    <col min="8182" max="8182" width="12" style="137" customWidth="1"/>
    <col min="8183" max="8183" width="14.44140625" style="137" customWidth="1"/>
    <col min="8184" max="8184" width="11.88671875" style="137" customWidth="1"/>
    <col min="8185" max="8185" width="14.109375" style="137" customWidth="1"/>
    <col min="8186" max="8186" width="13.88671875" style="137" customWidth="1"/>
    <col min="8187" max="8188" width="12.77734375" style="137" customWidth="1"/>
    <col min="8189" max="8189" width="13.5546875" style="137" customWidth="1"/>
    <col min="8190" max="8190" width="15.33203125" style="137" customWidth="1"/>
    <col min="8191" max="8191" width="12.77734375" style="137" customWidth="1"/>
    <col min="8192" max="8192" width="13.88671875" style="137" customWidth="1"/>
    <col min="8193" max="8193" width="1.88671875" style="137" customWidth="1"/>
    <col min="8194" max="8194" width="13" style="137" customWidth="1"/>
    <col min="8195" max="8434" width="8.88671875" style="137"/>
    <col min="8435" max="8435" width="6" style="137" customWidth="1"/>
    <col min="8436" max="8436" width="1.44140625" style="137" customWidth="1"/>
    <col min="8437" max="8437" width="39.109375" style="137" customWidth="1"/>
    <col min="8438" max="8438" width="12" style="137" customWidth="1"/>
    <col min="8439" max="8439" width="14.44140625" style="137" customWidth="1"/>
    <col min="8440" max="8440" width="11.88671875" style="137" customWidth="1"/>
    <col min="8441" max="8441" width="14.109375" style="137" customWidth="1"/>
    <col min="8442" max="8442" width="13.88671875" style="137" customWidth="1"/>
    <col min="8443" max="8444" width="12.77734375" style="137" customWidth="1"/>
    <col min="8445" max="8445" width="13.5546875" style="137" customWidth="1"/>
    <col min="8446" max="8446" width="15.33203125" style="137" customWidth="1"/>
    <col min="8447" max="8447" width="12.77734375" style="137" customWidth="1"/>
    <col min="8448" max="8448" width="13.88671875" style="137" customWidth="1"/>
    <col min="8449" max="8449" width="1.88671875" style="137" customWidth="1"/>
    <col min="8450" max="8450" width="13" style="137" customWidth="1"/>
    <col min="8451" max="8690" width="8.88671875" style="137"/>
    <col min="8691" max="8691" width="6" style="137" customWidth="1"/>
    <col min="8692" max="8692" width="1.44140625" style="137" customWidth="1"/>
    <col min="8693" max="8693" width="39.109375" style="137" customWidth="1"/>
    <col min="8694" max="8694" width="12" style="137" customWidth="1"/>
    <col min="8695" max="8695" width="14.44140625" style="137" customWidth="1"/>
    <col min="8696" max="8696" width="11.88671875" style="137" customWidth="1"/>
    <col min="8697" max="8697" width="14.109375" style="137" customWidth="1"/>
    <col min="8698" max="8698" width="13.88671875" style="137" customWidth="1"/>
    <col min="8699" max="8700" width="12.77734375" style="137" customWidth="1"/>
    <col min="8701" max="8701" width="13.5546875" style="137" customWidth="1"/>
    <col min="8702" max="8702" width="15.33203125" style="137" customWidth="1"/>
    <col min="8703" max="8703" width="12.77734375" style="137" customWidth="1"/>
    <col min="8704" max="8704" width="13.88671875" style="137" customWidth="1"/>
    <col min="8705" max="8705" width="1.88671875" style="137" customWidth="1"/>
    <col min="8706" max="8706" width="13" style="137" customWidth="1"/>
    <col min="8707" max="8946" width="8.88671875" style="137"/>
    <col min="8947" max="8947" width="6" style="137" customWidth="1"/>
    <col min="8948" max="8948" width="1.44140625" style="137" customWidth="1"/>
    <col min="8949" max="8949" width="39.109375" style="137" customWidth="1"/>
    <col min="8950" max="8950" width="12" style="137" customWidth="1"/>
    <col min="8951" max="8951" width="14.44140625" style="137" customWidth="1"/>
    <col min="8952" max="8952" width="11.88671875" style="137" customWidth="1"/>
    <col min="8953" max="8953" width="14.109375" style="137" customWidth="1"/>
    <col min="8954" max="8954" width="13.88671875" style="137" customWidth="1"/>
    <col min="8955" max="8956" width="12.77734375" style="137" customWidth="1"/>
    <col min="8957" max="8957" width="13.5546875" style="137" customWidth="1"/>
    <col min="8958" max="8958" width="15.33203125" style="137" customWidth="1"/>
    <col min="8959" max="8959" width="12.77734375" style="137" customWidth="1"/>
    <col min="8960" max="8960" width="13.88671875" style="137" customWidth="1"/>
    <col min="8961" max="8961" width="1.88671875" style="137" customWidth="1"/>
    <col min="8962" max="8962" width="13" style="137" customWidth="1"/>
    <col min="8963" max="9202" width="8.88671875" style="137"/>
    <col min="9203" max="9203" width="6" style="137" customWidth="1"/>
    <col min="9204" max="9204" width="1.44140625" style="137" customWidth="1"/>
    <col min="9205" max="9205" width="39.109375" style="137" customWidth="1"/>
    <col min="9206" max="9206" width="12" style="137" customWidth="1"/>
    <col min="9207" max="9207" width="14.44140625" style="137" customWidth="1"/>
    <col min="9208" max="9208" width="11.88671875" style="137" customWidth="1"/>
    <col min="9209" max="9209" width="14.109375" style="137" customWidth="1"/>
    <col min="9210" max="9210" width="13.88671875" style="137" customWidth="1"/>
    <col min="9211" max="9212" width="12.77734375" style="137" customWidth="1"/>
    <col min="9213" max="9213" width="13.5546875" style="137" customWidth="1"/>
    <col min="9214" max="9214" width="15.33203125" style="137" customWidth="1"/>
    <col min="9215" max="9215" width="12.77734375" style="137" customWidth="1"/>
    <col min="9216" max="9216" width="13.88671875" style="137" customWidth="1"/>
    <col min="9217" max="9217" width="1.88671875" style="137" customWidth="1"/>
    <col min="9218" max="9218" width="13" style="137" customWidth="1"/>
    <col min="9219" max="9458" width="8.88671875" style="137"/>
    <col min="9459" max="9459" width="6" style="137" customWidth="1"/>
    <col min="9460" max="9460" width="1.44140625" style="137" customWidth="1"/>
    <col min="9461" max="9461" width="39.109375" style="137" customWidth="1"/>
    <col min="9462" max="9462" width="12" style="137" customWidth="1"/>
    <col min="9463" max="9463" width="14.44140625" style="137" customWidth="1"/>
    <col min="9464" max="9464" width="11.88671875" style="137" customWidth="1"/>
    <col min="9465" max="9465" width="14.109375" style="137" customWidth="1"/>
    <col min="9466" max="9466" width="13.88671875" style="137" customWidth="1"/>
    <col min="9467" max="9468" width="12.77734375" style="137" customWidth="1"/>
    <col min="9469" max="9469" width="13.5546875" style="137" customWidth="1"/>
    <col min="9470" max="9470" width="15.33203125" style="137" customWidth="1"/>
    <col min="9471" max="9471" width="12.77734375" style="137" customWidth="1"/>
    <col min="9472" max="9472" width="13.88671875" style="137" customWidth="1"/>
    <col min="9473" max="9473" width="1.88671875" style="137" customWidth="1"/>
    <col min="9474" max="9474" width="13" style="137" customWidth="1"/>
    <col min="9475" max="9714" width="8.88671875" style="137"/>
    <col min="9715" max="9715" width="6" style="137" customWidth="1"/>
    <col min="9716" max="9716" width="1.44140625" style="137" customWidth="1"/>
    <col min="9717" max="9717" width="39.109375" style="137" customWidth="1"/>
    <col min="9718" max="9718" width="12" style="137" customWidth="1"/>
    <col min="9719" max="9719" width="14.44140625" style="137" customWidth="1"/>
    <col min="9720" max="9720" width="11.88671875" style="137" customWidth="1"/>
    <col min="9721" max="9721" width="14.109375" style="137" customWidth="1"/>
    <col min="9722" max="9722" width="13.88671875" style="137" customWidth="1"/>
    <col min="9723" max="9724" width="12.77734375" style="137" customWidth="1"/>
    <col min="9725" max="9725" width="13.5546875" style="137" customWidth="1"/>
    <col min="9726" max="9726" width="15.33203125" style="137" customWidth="1"/>
    <col min="9727" max="9727" width="12.77734375" style="137" customWidth="1"/>
    <col min="9728" max="9728" width="13.88671875" style="137" customWidth="1"/>
    <col min="9729" max="9729" width="1.88671875" style="137" customWidth="1"/>
    <col min="9730" max="9730" width="13" style="137" customWidth="1"/>
    <col min="9731" max="9970" width="8.88671875" style="137"/>
    <col min="9971" max="9971" width="6" style="137" customWidth="1"/>
    <col min="9972" max="9972" width="1.44140625" style="137" customWidth="1"/>
    <col min="9973" max="9973" width="39.109375" style="137" customWidth="1"/>
    <col min="9974" max="9974" width="12" style="137" customWidth="1"/>
    <col min="9975" max="9975" width="14.44140625" style="137" customWidth="1"/>
    <col min="9976" max="9976" width="11.88671875" style="137" customWidth="1"/>
    <col min="9977" max="9977" width="14.109375" style="137" customWidth="1"/>
    <col min="9978" max="9978" width="13.88671875" style="137" customWidth="1"/>
    <col min="9979" max="9980" width="12.77734375" style="137" customWidth="1"/>
    <col min="9981" max="9981" width="13.5546875" style="137" customWidth="1"/>
    <col min="9982" max="9982" width="15.33203125" style="137" customWidth="1"/>
    <col min="9983" max="9983" width="12.77734375" style="137" customWidth="1"/>
    <col min="9984" max="9984" width="13.88671875" style="137" customWidth="1"/>
    <col min="9985" max="9985" width="1.88671875" style="137" customWidth="1"/>
    <col min="9986" max="9986" width="13" style="137" customWidth="1"/>
    <col min="9987" max="10226" width="8.88671875" style="137"/>
    <col min="10227" max="10227" width="6" style="137" customWidth="1"/>
    <col min="10228" max="10228" width="1.44140625" style="137" customWidth="1"/>
    <col min="10229" max="10229" width="39.109375" style="137" customWidth="1"/>
    <col min="10230" max="10230" width="12" style="137" customWidth="1"/>
    <col min="10231" max="10231" width="14.44140625" style="137" customWidth="1"/>
    <col min="10232" max="10232" width="11.88671875" style="137" customWidth="1"/>
    <col min="10233" max="10233" width="14.109375" style="137" customWidth="1"/>
    <col min="10234" max="10234" width="13.88671875" style="137" customWidth="1"/>
    <col min="10235" max="10236" width="12.77734375" style="137" customWidth="1"/>
    <col min="10237" max="10237" width="13.5546875" style="137" customWidth="1"/>
    <col min="10238" max="10238" width="15.33203125" style="137" customWidth="1"/>
    <col min="10239" max="10239" width="12.77734375" style="137" customWidth="1"/>
    <col min="10240" max="10240" width="13.88671875" style="137" customWidth="1"/>
    <col min="10241" max="10241" width="1.88671875" style="137" customWidth="1"/>
    <col min="10242" max="10242" width="13" style="137" customWidth="1"/>
    <col min="10243" max="10482" width="8.88671875" style="137"/>
    <col min="10483" max="10483" width="6" style="137" customWidth="1"/>
    <col min="10484" max="10484" width="1.44140625" style="137" customWidth="1"/>
    <col min="10485" max="10485" width="39.109375" style="137" customWidth="1"/>
    <col min="10486" max="10486" width="12" style="137" customWidth="1"/>
    <col min="10487" max="10487" width="14.44140625" style="137" customWidth="1"/>
    <col min="10488" max="10488" width="11.88671875" style="137" customWidth="1"/>
    <col min="10489" max="10489" width="14.109375" style="137" customWidth="1"/>
    <col min="10490" max="10490" width="13.88671875" style="137" customWidth="1"/>
    <col min="10491" max="10492" width="12.77734375" style="137" customWidth="1"/>
    <col min="10493" max="10493" width="13.5546875" style="137" customWidth="1"/>
    <col min="10494" max="10494" width="15.33203125" style="137" customWidth="1"/>
    <col min="10495" max="10495" width="12.77734375" style="137" customWidth="1"/>
    <col min="10496" max="10496" width="13.88671875" style="137" customWidth="1"/>
    <col min="10497" max="10497" width="1.88671875" style="137" customWidth="1"/>
    <col min="10498" max="10498" width="13" style="137" customWidth="1"/>
    <col min="10499" max="10738" width="8.88671875" style="137"/>
    <col min="10739" max="10739" width="6" style="137" customWidth="1"/>
    <col min="10740" max="10740" width="1.44140625" style="137" customWidth="1"/>
    <col min="10741" max="10741" width="39.109375" style="137" customWidth="1"/>
    <col min="10742" max="10742" width="12" style="137" customWidth="1"/>
    <col min="10743" max="10743" width="14.44140625" style="137" customWidth="1"/>
    <col min="10744" max="10744" width="11.88671875" style="137" customWidth="1"/>
    <col min="10745" max="10745" width="14.109375" style="137" customWidth="1"/>
    <col min="10746" max="10746" width="13.88671875" style="137" customWidth="1"/>
    <col min="10747" max="10748" width="12.77734375" style="137" customWidth="1"/>
    <col min="10749" max="10749" width="13.5546875" style="137" customWidth="1"/>
    <col min="10750" max="10750" width="15.33203125" style="137" customWidth="1"/>
    <col min="10751" max="10751" width="12.77734375" style="137" customWidth="1"/>
    <col min="10752" max="10752" width="13.88671875" style="137" customWidth="1"/>
    <col min="10753" max="10753" width="1.88671875" style="137" customWidth="1"/>
    <col min="10754" max="10754" width="13" style="137" customWidth="1"/>
    <col min="10755" max="10994" width="8.88671875" style="137"/>
    <col min="10995" max="10995" width="6" style="137" customWidth="1"/>
    <col min="10996" max="10996" width="1.44140625" style="137" customWidth="1"/>
    <col min="10997" max="10997" width="39.109375" style="137" customWidth="1"/>
    <col min="10998" max="10998" width="12" style="137" customWidth="1"/>
    <col min="10999" max="10999" width="14.44140625" style="137" customWidth="1"/>
    <col min="11000" max="11000" width="11.88671875" style="137" customWidth="1"/>
    <col min="11001" max="11001" width="14.109375" style="137" customWidth="1"/>
    <col min="11002" max="11002" width="13.88671875" style="137" customWidth="1"/>
    <col min="11003" max="11004" width="12.77734375" style="137" customWidth="1"/>
    <col min="11005" max="11005" width="13.5546875" style="137" customWidth="1"/>
    <col min="11006" max="11006" width="15.33203125" style="137" customWidth="1"/>
    <col min="11007" max="11007" width="12.77734375" style="137" customWidth="1"/>
    <col min="11008" max="11008" width="13.88671875" style="137" customWidth="1"/>
    <col min="11009" max="11009" width="1.88671875" style="137" customWidth="1"/>
    <col min="11010" max="11010" width="13" style="137" customWidth="1"/>
    <col min="11011" max="11250" width="8.88671875" style="137"/>
    <col min="11251" max="11251" width="6" style="137" customWidth="1"/>
    <col min="11252" max="11252" width="1.44140625" style="137" customWidth="1"/>
    <col min="11253" max="11253" width="39.109375" style="137" customWidth="1"/>
    <col min="11254" max="11254" width="12" style="137" customWidth="1"/>
    <col min="11255" max="11255" width="14.44140625" style="137" customWidth="1"/>
    <col min="11256" max="11256" width="11.88671875" style="137" customWidth="1"/>
    <col min="11257" max="11257" width="14.109375" style="137" customWidth="1"/>
    <col min="11258" max="11258" width="13.88671875" style="137" customWidth="1"/>
    <col min="11259" max="11260" width="12.77734375" style="137" customWidth="1"/>
    <col min="11261" max="11261" width="13.5546875" style="137" customWidth="1"/>
    <col min="11262" max="11262" width="15.33203125" style="137" customWidth="1"/>
    <col min="11263" max="11263" width="12.77734375" style="137" customWidth="1"/>
    <col min="11264" max="11264" width="13.88671875" style="137" customWidth="1"/>
    <col min="11265" max="11265" width="1.88671875" style="137" customWidth="1"/>
    <col min="11266" max="11266" width="13" style="137" customWidth="1"/>
    <col min="11267" max="11506" width="8.88671875" style="137"/>
    <col min="11507" max="11507" width="6" style="137" customWidth="1"/>
    <col min="11508" max="11508" width="1.44140625" style="137" customWidth="1"/>
    <col min="11509" max="11509" width="39.109375" style="137" customWidth="1"/>
    <col min="11510" max="11510" width="12" style="137" customWidth="1"/>
    <col min="11511" max="11511" width="14.44140625" style="137" customWidth="1"/>
    <col min="11512" max="11512" width="11.88671875" style="137" customWidth="1"/>
    <col min="11513" max="11513" width="14.109375" style="137" customWidth="1"/>
    <col min="11514" max="11514" width="13.88671875" style="137" customWidth="1"/>
    <col min="11515" max="11516" width="12.77734375" style="137" customWidth="1"/>
    <col min="11517" max="11517" width="13.5546875" style="137" customWidth="1"/>
    <col min="11518" max="11518" width="15.33203125" style="137" customWidth="1"/>
    <col min="11519" max="11519" width="12.77734375" style="137" customWidth="1"/>
    <col min="11520" max="11520" width="13.88671875" style="137" customWidth="1"/>
    <col min="11521" max="11521" width="1.88671875" style="137" customWidth="1"/>
    <col min="11522" max="11522" width="13" style="137" customWidth="1"/>
    <col min="11523" max="11762" width="8.88671875" style="137"/>
    <col min="11763" max="11763" width="6" style="137" customWidth="1"/>
    <col min="11764" max="11764" width="1.44140625" style="137" customWidth="1"/>
    <col min="11765" max="11765" width="39.109375" style="137" customWidth="1"/>
    <col min="11766" max="11766" width="12" style="137" customWidth="1"/>
    <col min="11767" max="11767" width="14.44140625" style="137" customWidth="1"/>
    <col min="11768" max="11768" width="11.88671875" style="137" customWidth="1"/>
    <col min="11769" max="11769" width="14.109375" style="137" customWidth="1"/>
    <col min="11770" max="11770" width="13.88671875" style="137" customWidth="1"/>
    <col min="11771" max="11772" width="12.77734375" style="137" customWidth="1"/>
    <col min="11773" max="11773" width="13.5546875" style="137" customWidth="1"/>
    <col min="11774" max="11774" width="15.33203125" style="137" customWidth="1"/>
    <col min="11775" max="11775" width="12.77734375" style="137" customWidth="1"/>
    <col min="11776" max="11776" width="13.88671875" style="137" customWidth="1"/>
    <col min="11777" max="11777" width="1.88671875" style="137" customWidth="1"/>
    <col min="11778" max="11778" width="13" style="137" customWidth="1"/>
    <col min="11779" max="12018" width="8.88671875" style="137"/>
    <col min="12019" max="12019" width="6" style="137" customWidth="1"/>
    <col min="12020" max="12020" width="1.44140625" style="137" customWidth="1"/>
    <col min="12021" max="12021" width="39.109375" style="137" customWidth="1"/>
    <col min="12022" max="12022" width="12" style="137" customWidth="1"/>
    <col min="12023" max="12023" width="14.44140625" style="137" customWidth="1"/>
    <col min="12024" max="12024" width="11.88671875" style="137" customWidth="1"/>
    <col min="12025" max="12025" width="14.109375" style="137" customWidth="1"/>
    <col min="12026" max="12026" width="13.88671875" style="137" customWidth="1"/>
    <col min="12027" max="12028" width="12.77734375" style="137" customWidth="1"/>
    <col min="12029" max="12029" width="13.5546875" style="137" customWidth="1"/>
    <col min="12030" max="12030" width="15.33203125" style="137" customWidth="1"/>
    <col min="12031" max="12031" width="12.77734375" style="137" customWidth="1"/>
    <col min="12032" max="12032" width="13.88671875" style="137" customWidth="1"/>
    <col min="12033" max="12033" width="1.88671875" style="137" customWidth="1"/>
    <col min="12034" max="12034" width="13" style="137" customWidth="1"/>
    <col min="12035" max="12274" width="8.88671875" style="137"/>
    <col min="12275" max="12275" width="6" style="137" customWidth="1"/>
    <col min="12276" max="12276" width="1.44140625" style="137" customWidth="1"/>
    <col min="12277" max="12277" width="39.109375" style="137" customWidth="1"/>
    <col min="12278" max="12278" width="12" style="137" customWidth="1"/>
    <col min="12279" max="12279" width="14.44140625" style="137" customWidth="1"/>
    <col min="12280" max="12280" width="11.88671875" style="137" customWidth="1"/>
    <col min="12281" max="12281" width="14.109375" style="137" customWidth="1"/>
    <col min="12282" max="12282" width="13.88671875" style="137" customWidth="1"/>
    <col min="12283" max="12284" width="12.77734375" style="137" customWidth="1"/>
    <col min="12285" max="12285" width="13.5546875" style="137" customWidth="1"/>
    <col min="12286" max="12286" width="15.33203125" style="137" customWidth="1"/>
    <col min="12287" max="12287" width="12.77734375" style="137" customWidth="1"/>
    <col min="12288" max="12288" width="13.88671875" style="137" customWidth="1"/>
    <col min="12289" max="12289" width="1.88671875" style="137" customWidth="1"/>
    <col min="12290" max="12290" width="13" style="137" customWidth="1"/>
    <col min="12291" max="12530" width="8.88671875" style="137"/>
    <col min="12531" max="12531" width="6" style="137" customWidth="1"/>
    <col min="12532" max="12532" width="1.44140625" style="137" customWidth="1"/>
    <col min="12533" max="12533" width="39.109375" style="137" customWidth="1"/>
    <col min="12534" max="12534" width="12" style="137" customWidth="1"/>
    <col min="12535" max="12535" width="14.44140625" style="137" customWidth="1"/>
    <col min="12536" max="12536" width="11.88671875" style="137" customWidth="1"/>
    <col min="12537" max="12537" width="14.109375" style="137" customWidth="1"/>
    <col min="12538" max="12538" width="13.88671875" style="137" customWidth="1"/>
    <col min="12539" max="12540" width="12.77734375" style="137" customWidth="1"/>
    <col min="12541" max="12541" width="13.5546875" style="137" customWidth="1"/>
    <col min="12542" max="12542" width="15.33203125" style="137" customWidth="1"/>
    <col min="12543" max="12543" width="12.77734375" style="137" customWidth="1"/>
    <col min="12544" max="12544" width="13.88671875" style="137" customWidth="1"/>
    <col min="12545" max="12545" width="1.88671875" style="137" customWidth="1"/>
    <col min="12546" max="12546" width="13" style="137" customWidth="1"/>
    <col min="12547" max="12786" width="8.88671875" style="137"/>
    <col min="12787" max="12787" width="6" style="137" customWidth="1"/>
    <col min="12788" max="12788" width="1.44140625" style="137" customWidth="1"/>
    <col min="12789" max="12789" width="39.109375" style="137" customWidth="1"/>
    <col min="12790" max="12790" width="12" style="137" customWidth="1"/>
    <col min="12791" max="12791" width="14.44140625" style="137" customWidth="1"/>
    <col min="12792" max="12792" width="11.88671875" style="137" customWidth="1"/>
    <col min="12793" max="12793" width="14.109375" style="137" customWidth="1"/>
    <col min="12794" max="12794" width="13.88671875" style="137" customWidth="1"/>
    <col min="12795" max="12796" width="12.77734375" style="137" customWidth="1"/>
    <col min="12797" max="12797" width="13.5546875" style="137" customWidth="1"/>
    <col min="12798" max="12798" width="15.33203125" style="137" customWidth="1"/>
    <col min="12799" max="12799" width="12.77734375" style="137" customWidth="1"/>
    <col min="12800" max="12800" width="13.88671875" style="137" customWidth="1"/>
    <col min="12801" max="12801" width="1.88671875" style="137" customWidth="1"/>
    <col min="12802" max="12802" width="13" style="137" customWidth="1"/>
    <col min="12803" max="13042" width="8.88671875" style="137"/>
    <col min="13043" max="13043" width="6" style="137" customWidth="1"/>
    <col min="13044" max="13044" width="1.44140625" style="137" customWidth="1"/>
    <col min="13045" max="13045" width="39.109375" style="137" customWidth="1"/>
    <col min="13046" max="13046" width="12" style="137" customWidth="1"/>
    <col min="13047" max="13047" width="14.44140625" style="137" customWidth="1"/>
    <col min="13048" max="13048" width="11.88671875" style="137" customWidth="1"/>
    <col min="13049" max="13049" width="14.109375" style="137" customWidth="1"/>
    <col min="13050" max="13050" width="13.88671875" style="137" customWidth="1"/>
    <col min="13051" max="13052" width="12.77734375" style="137" customWidth="1"/>
    <col min="13053" max="13053" width="13.5546875" style="137" customWidth="1"/>
    <col min="13054" max="13054" width="15.33203125" style="137" customWidth="1"/>
    <col min="13055" max="13055" width="12.77734375" style="137" customWidth="1"/>
    <col min="13056" max="13056" width="13.88671875" style="137" customWidth="1"/>
    <col min="13057" max="13057" width="1.88671875" style="137" customWidth="1"/>
    <col min="13058" max="13058" width="13" style="137" customWidth="1"/>
    <col min="13059" max="13298" width="8.88671875" style="137"/>
    <col min="13299" max="13299" width="6" style="137" customWidth="1"/>
    <col min="13300" max="13300" width="1.44140625" style="137" customWidth="1"/>
    <col min="13301" max="13301" width="39.109375" style="137" customWidth="1"/>
    <col min="13302" max="13302" width="12" style="137" customWidth="1"/>
    <col min="13303" max="13303" width="14.44140625" style="137" customWidth="1"/>
    <col min="13304" max="13304" width="11.88671875" style="137" customWidth="1"/>
    <col min="13305" max="13305" width="14.109375" style="137" customWidth="1"/>
    <col min="13306" max="13306" width="13.88671875" style="137" customWidth="1"/>
    <col min="13307" max="13308" width="12.77734375" style="137" customWidth="1"/>
    <col min="13309" max="13309" width="13.5546875" style="137" customWidth="1"/>
    <col min="13310" max="13310" width="15.33203125" style="137" customWidth="1"/>
    <col min="13311" max="13311" width="12.77734375" style="137" customWidth="1"/>
    <col min="13312" max="13312" width="13.88671875" style="137" customWidth="1"/>
    <col min="13313" max="13313" width="1.88671875" style="137" customWidth="1"/>
    <col min="13314" max="13314" width="13" style="137" customWidth="1"/>
    <col min="13315" max="13554" width="8.88671875" style="137"/>
    <col min="13555" max="13555" width="6" style="137" customWidth="1"/>
    <col min="13556" max="13556" width="1.44140625" style="137" customWidth="1"/>
    <col min="13557" max="13557" width="39.109375" style="137" customWidth="1"/>
    <col min="13558" max="13558" width="12" style="137" customWidth="1"/>
    <col min="13559" max="13559" width="14.44140625" style="137" customWidth="1"/>
    <col min="13560" max="13560" width="11.88671875" style="137" customWidth="1"/>
    <col min="13561" max="13561" width="14.109375" style="137" customWidth="1"/>
    <col min="13562" max="13562" width="13.88671875" style="137" customWidth="1"/>
    <col min="13563" max="13564" width="12.77734375" style="137" customWidth="1"/>
    <col min="13565" max="13565" width="13.5546875" style="137" customWidth="1"/>
    <col min="13566" max="13566" width="15.33203125" style="137" customWidth="1"/>
    <col min="13567" max="13567" width="12.77734375" style="137" customWidth="1"/>
    <col min="13568" max="13568" width="13.88671875" style="137" customWidth="1"/>
    <col min="13569" max="13569" width="1.88671875" style="137" customWidth="1"/>
    <col min="13570" max="13570" width="13" style="137" customWidth="1"/>
    <col min="13571" max="13810" width="8.88671875" style="137"/>
    <col min="13811" max="13811" width="6" style="137" customWidth="1"/>
    <col min="13812" max="13812" width="1.44140625" style="137" customWidth="1"/>
    <col min="13813" max="13813" width="39.109375" style="137" customWidth="1"/>
    <col min="13814" max="13814" width="12" style="137" customWidth="1"/>
    <col min="13815" max="13815" width="14.44140625" style="137" customWidth="1"/>
    <col min="13816" max="13816" width="11.88671875" style="137" customWidth="1"/>
    <col min="13817" max="13817" width="14.109375" style="137" customWidth="1"/>
    <col min="13818" max="13818" width="13.88671875" style="137" customWidth="1"/>
    <col min="13819" max="13820" width="12.77734375" style="137" customWidth="1"/>
    <col min="13821" max="13821" width="13.5546875" style="137" customWidth="1"/>
    <col min="13822" max="13822" width="15.33203125" style="137" customWidth="1"/>
    <col min="13823" max="13823" width="12.77734375" style="137" customWidth="1"/>
    <col min="13824" max="13824" width="13.88671875" style="137" customWidth="1"/>
    <col min="13825" max="13825" width="1.88671875" style="137" customWidth="1"/>
    <col min="13826" max="13826" width="13" style="137" customWidth="1"/>
    <col min="13827" max="14066" width="8.88671875" style="137"/>
    <col min="14067" max="14067" width="6" style="137" customWidth="1"/>
    <col min="14068" max="14068" width="1.44140625" style="137" customWidth="1"/>
    <col min="14069" max="14069" width="39.109375" style="137" customWidth="1"/>
    <col min="14070" max="14070" width="12" style="137" customWidth="1"/>
    <col min="14071" max="14071" width="14.44140625" style="137" customWidth="1"/>
    <col min="14072" max="14072" width="11.88671875" style="137" customWidth="1"/>
    <col min="14073" max="14073" width="14.109375" style="137" customWidth="1"/>
    <col min="14074" max="14074" width="13.88671875" style="137" customWidth="1"/>
    <col min="14075" max="14076" width="12.77734375" style="137" customWidth="1"/>
    <col min="14077" max="14077" width="13.5546875" style="137" customWidth="1"/>
    <col min="14078" max="14078" width="15.33203125" style="137" customWidth="1"/>
    <col min="14079" max="14079" width="12.77734375" style="137" customWidth="1"/>
    <col min="14080" max="14080" width="13.88671875" style="137" customWidth="1"/>
    <col min="14081" max="14081" width="1.88671875" style="137" customWidth="1"/>
    <col min="14082" max="14082" width="13" style="137" customWidth="1"/>
    <col min="14083" max="14322" width="8.88671875" style="137"/>
    <col min="14323" max="14323" width="6" style="137" customWidth="1"/>
    <col min="14324" max="14324" width="1.44140625" style="137" customWidth="1"/>
    <col min="14325" max="14325" width="39.109375" style="137" customWidth="1"/>
    <col min="14326" max="14326" width="12" style="137" customWidth="1"/>
    <col min="14327" max="14327" width="14.44140625" style="137" customWidth="1"/>
    <col min="14328" max="14328" width="11.88671875" style="137" customWidth="1"/>
    <col min="14329" max="14329" width="14.109375" style="137" customWidth="1"/>
    <col min="14330" max="14330" width="13.88671875" style="137" customWidth="1"/>
    <col min="14331" max="14332" width="12.77734375" style="137" customWidth="1"/>
    <col min="14333" max="14333" width="13.5546875" style="137" customWidth="1"/>
    <col min="14334" max="14334" width="15.33203125" style="137" customWidth="1"/>
    <col min="14335" max="14335" width="12.77734375" style="137" customWidth="1"/>
    <col min="14336" max="14336" width="13.88671875" style="137" customWidth="1"/>
    <col min="14337" max="14337" width="1.88671875" style="137" customWidth="1"/>
    <col min="14338" max="14338" width="13" style="137" customWidth="1"/>
    <col min="14339" max="14578" width="8.88671875" style="137"/>
    <col min="14579" max="14579" width="6" style="137" customWidth="1"/>
    <col min="14580" max="14580" width="1.44140625" style="137" customWidth="1"/>
    <col min="14581" max="14581" width="39.109375" style="137" customWidth="1"/>
    <col min="14582" max="14582" width="12" style="137" customWidth="1"/>
    <col min="14583" max="14583" width="14.44140625" style="137" customWidth="1"/>
    <col min="14584" max="14584" width="11.88671875" style="137" customWidth="1"/>
    <col min="14585" max="14585" width="14.109375" style="137" customWidth="1"/>
    <col min="14586" max="14586" width="13.88671875" style="137" customWidth="1"/>
    <col min="14587" max="14588" width="12.77734375" style="137" customWidth="1"/>
    <col min="14589" max="14589" width="13.5546875" style="137" customWidth="1"/>
    <col min="14590" max="14590" width="15.33203125" style="137" customWidth="1"/>
    <col min="14591" max="14591" width="12.77734375" style="137" customWidth="1"/>
    <col min="14592" max="14592" width="13.88671875" style="137" customWidth="1"/>
    <col min="14593" max="14593" width="1.88671875" style="137" customWidth="1"/>
    <col min="14594" max="14594" width="13" style="137" customWidth="1"/>
    <col min="14595" max="14834" width="8.88671875" style="137"/>
    <col min="14835" max="14835" width="6" style="137" customWidth="1"/>
    <col min="14836" max="14836" width="1.44140625" style="137" customWidth="1"/>
    <col min="14837" max="14837" width="39.109375" style="137" customWidth="1"/>
    <col min="14838" max="14838" width="12" style="137" customWidth="1"/>
    <col min="14839" max="14839" width="14.44140625" style="137" customWidth="1"/>
    <col min="14840" max="14840" width="11.88671875" style="137" customWidth="1"/>
    <col min="14841" max="14841" width="14.109375" style="137" customWidth="1"/>
    <col min="14842" max="14842" width="13.88671875" style="137" customWidth="1"/>
    <col min="14843" max="14844" width="12.77734375" style="137" customWidth="1"/>
    <col min="14845" max="14845" width="13.5546875" style="137" customWidth="1"/>
    <col min="14846" max="14846" width="15.33203125" style="137" customWidth="1"/>
    <col min="14847" max="14847" width="12.77734375" style="137" customWidth="1"/>
    <col min="14848" max="14848" width="13.88671875" style="137" customWidth="1"/>
    <col min="14849" max="14849" width="1.88671875" style="137" customWidth="1"/>
    <col min="14850" max="14850" width="13" style="137" customWidth="1"/>
    <col min="14851" max="15090" width="8.88671875" style="137"/>
    <col min="15091" max="15091" width="6" style="137" customWidth="1"/>
    <col min="15092" max="15092" width="1.44140625" style="137" customWidth="1"/>
    <col min="15093" max="15093" width="39.109375" style="137" customWidth="1"/>
    <col min="15094" max="15094" width="12" style="137" customWidth="1"/>
    <col min="15095" max="15095" width="14.44140625" style="137" customWidth="1"/>
    <col min="15096" max="15096" width="11.88671875" style="137" customWidth="1"/>
    <col min="15097" max="15097" width="14.109375" style="137" customWidth="1"/>
    <col min="15098" max="15098" width="13.88671875" style="137" customWidth="1"/>
    <col min="15099" max="15100" width="12.77734375" style="137" customWidth="1"/>
    <col min="15101" max="15101" width="13.5546875" style="137" customWidth="1"/>
    <col min="15102" max="15102" width="15.33203125" style="137" customWidth="1"/>
    <col min="15103" max="15103" width="12.77734375" style="137" customWidth="1"/>
    <col min="15104" max="15104" width="13.88671875" style="137" customWidth="1"/>
    <col min="15105" max="15105" width="1.88671875" style="137" customWidth="1"/>
    <col min="15106" max="15106" width="13" style="137" customWidth="1"/>
    <col min="15107" max="15346" width="8.88671875" style="137"/>
    <col min="15347" max="15347" width="6" style="137" customWidth="1"/>
    <col min="15348" max="15348" width="1.44140625" style="137" customWidth="1"/>
    <col min="15349" max="15349" width="39.109375" style="137" customWidth="1"/>
    <col min="15350" max="15350" width="12" style="137" customWidth="1"/>
    <col min="15351" max="15351" width="14.44140625" style="137" customWidth="1"/>
    <col min="15352" max="15352" width="11.88671875" style="137" customWidth="1"/>
    <col min="15353" max="15353" width="14.109375" style="137" customWidth="1"/>
    <col min="15354" max="15354" width="13.88671875" style="137" customWidth="1"/>
    <col min="15355" max="15356" width="12.77734375" style="137" customWidth="1"/>
    <col min="15357" max="15357" width="13.5546875" style="137" customWidth="1"/>
    <col min="15358" max="15358" width="15.33203125" style="137" customWidth="1"/>
    <col min="15359" max="15359" width="12.77734375" style="137" customWidth="1"/>
    <col min="15360" max="15360" width="13.88671875" style="137" customWidth="1"/>
    <col min="15361" max="15361" width="1.88671875" style="137" customWidth="1"/>
    <col min="15362" max="15362" width="13" style="137" customWidth="1"/>
    <col min="15363" max="15602" width="8.88671875" style="137"/>
    <col min="15603" max="15603" width="6" style="137" customWidth="1"/>
    <col min="15604" max="15604" width="1.44140625" style="137" customWidth="1"/>
    <col min="15605" max="15605" width="39.109375" style="137" customWidth="1"/>
    <col min="15606" max="15606" width="12" style="137" customWidth="1"/>
    <col min="15607" max="15607" width="14.44140625" style="137" customWidth="1"/>
    <col min="15608" max="15608" width="11.88671875" style="137" customWidth="1"/>
    <col min="15609" max="15609" width="14.109375" style="137" customWidth="1"/>
    <col min="15610" max="15610" width="13.88671875" style="137" customWidth="1"/>
    <col min="15611" max="15612" width="12.77734375" style="137" customWidth="1"/>
    <col min="15613" max="15613" width="13.5546875" style="137" customWidth="1"/>
    <col min="15614" max="15614" width="15.33203125" style="137" customWidth="1"/>
    <col min="15615" max="15615" width="12.77734375" style="137" customWidth="1"/>
    <col min="15616" max="15616" width="13.88671875" style="137" customWidth="1"/>
    <col min="15617" max="15617" width="1.88671875" style="137" customWidth="1"/>
    <col min="15618" max="15618" width="13" style="137" customWidth="1"/>
    <col min="15619" max="15858" width="8.88671875" style="137"/>
    <col min="15859" max="15859" width="6" style="137" customWidth="1"/>
    <col min="15860" max="15860" width="1.44140625" style="137" customWidth="1"/>
    <col min="15861" max="15861" width="39.109375" style="137" customWidth="1"/>
    <col min="15862" max="15862" width="12" style="137" customWidth="1"/>
    <col min="15863" max="15863" width="14.44140625" style="137" customWidth="1"/>
    <col min="15864" max="15864" width="11.88671875" style="137" customWidth="1"/>
    <col min="15865" max="15865" width="14.109375" style="137" customWidth="1"/>
    <col min="15866" max="15866" width="13.88671875" style="137" customWidth="1"/>
    <col min="15867" max="15868" width="12.77734375" style="137" customWidth="1"/>
    <col min="15869" max="15869" width="13.5546875" style="137" customWidth="1"/>
    <col min="15870" max="15870" width="15.33203125" style="137" customWidth="1"/>
    <col min="15871" max="15871" width="12.77734375" style="137" customWidth="1"/>
    <col min="15872" max="15872" width="13.88671875" style="137" customWidth="1"/>
    <col min="15873" max="15873" width="1.88671875" style="137" customWidth="1"/>
    <col min="15874" max="15874" width="13" style="137" customWidth="1"/>
    <col min="15875" max="16114" width="8.88671875" style="137"/>
    <col min="16115" max="16115" width="6" style="137" customWidth="1"/>
    <col min="16116" max="16116" width="1.44140625" style="137" customWidth="1"/>
    <col min="16117" max="16117" width="39.109375" style="137" customWidth="1"/>
    <col min="16118" max="16118" width="12" style="137" customWidth="1"/>
    <col min="16119" max="16119" width="14.44140625" style="137" customWidth="1"/>
    <col min="16120" max="16120" width="11.88671875" style="137" customWidth="1"/>
    <col min="16121" max="16121" width="14.109375" style="137" customWidth="1"/>
    <col min="16122" max="16122" width="13.88671875" style="137" customWidth="1"/>
    <col min="16123" max="16124" width="12.77734375" style="137" customWidth="1"/>
    <col min="16125" max="16125" width="13.5546875" style="137" customWidth="1"/>
    <col min="16126" max="16126" width="15.33203125" style="137" customWidth="1"/>
    <col min="16127" max="16127" width="12.77734375" style="137" customWidth="1"/>
    <col min="16128" max="16128" width="13.88671875" style="137" customWidth="1"/>
    <col min="16129" max="16129" width="1.88671875" style="137" customWidth="1"/>
    <col min="16130" max="16130" width="13" style="137" customWidth="1"/>
    <col min="16131" max="16370" width="8.88671875" style="137"/>
    <col min="16371" max="16384" width="8.88671875" style="137" customWidth="1"/>
  </cols>
  <sheetData>
    <row r="1" spans="1:51">
      <c r="I1" s="77" t="s">
        <v>365</v>
      </c>
    </row>
    <row r="2" spans="1:51">
      <c r="I2" s="77" t="s">
        <v>417</v>
      </c>
    </row>
    <row r="3" spans="1:51">
      <c r="I3" s="422" t="s">
        <v>231</v>
      </c>
    </row>
    <row r="4" spans="1:51">
      <c r="I4" s="138" t="str">
        <f>'DE Ohio &amp; Kentucky'!J7</f>
        <v>For the 12 months ended: 12/31/2016</v>
      </c>
    </row>
    <row r="5" spans="1:51">
      <c r="C5" s="112"/>
    </row>
    <row r="6" spans="1:51">
      <c r="A6" s="219" t="s">
        <v>309</v>
      </c>
      <c r="B6" s="281"/>
      <c r="C6" s="281"/>
      <c r="D6" s="219"/>
      <c r="E6" s="219"/>
      <c r="F6" s="219"/>
      <c r="G6" s="281"/>
      <c r="H6" s="219"/>
      <c r="I6" s="219"/>
      <c r="J6" s="110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</row>
    <row r="7" spans="1:51">
      <c r="A7" s="220" t="s">
        <v>366</v>
      </c>
      <c r="B7" s="281"/>
      <c r="C7" s="281"/>
      <c r="D7" s="221"/>
      <c r="E7" s="221"/>
      <c r="F7" s="221"/>
      <c r="G7" s="281"/>
      <c r="H7" s="221"/>
      <c r="I7" s="221"/>
      <c r="J7" s="110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</row>
    <row r="8" spans="1:51">
      <c r="A8" s="221"/>
      <c r="B8" s="281"/>
      <c r="C8" s="281"/>
      <c r="D8" s="221"/>
      <c r="E8" s="221"/>
      <c r="F8" s="221"/>
      <c r="G8" s="281"/>
      <c r="H8" s="221"/>
      <c r="I8" s="221"/>
      <c r="J8" s="110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</row>
    <row r="9" spans="1:51">
      <c r="A9" s="283" t="s">
        <v>211</v>
      </c>
      <c r="B9" s="281"/>
      <c r="C9" s="281"/>
      <c r="D9" s="221"/>
      <c r="E9" s="221"/>
      <c r="F9" s="221"/>
      <c r="G9" s="281"/>
      <c r="H9" s="284"/>
      <c r="I9" s="221"/>
      <c r="J9" s="110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</row>
    <row r="10" spans="1:51">
      <c r="A10" s="362" t="s">
        <v>363</v>
      </c>
      <c r="B10" s="281"/>
      <c r="C10" s="281"/>
      <c r="D10" s="221"/>
      <c r="E10" s="221"/>
      <c r="F10" s="221"/>
      <c r="G10" s="281"/>
      <c r="H10" s="284"/>
      <c r="I10" s="221"/>
      <c r="J10" s="110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</row>
    <row r="11" spans="1:51">
      <c r="A11" s="421"/>
      <c r="B11" s="281"/>
      <c r="C11" s="221"/>
      <c r="D11" s="221"/>
      <c r="E11" s="221"/>
      <c r="F11" s="221"/>
      <c r="G11" s="284"/>
      <c r="H11" s="221"/>
      <c r="I11" s="221"/>
      <c r="J11" s="110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</row>
    <row r="12" spans="1:51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J12" s="110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</row>
    <row r="13" spans="1:51">
      <c r="A13" s="142"/>
      <c r="C13" s="110"/>
      <c r="D13" s="110"/>
      <c r="E13" s="110"/>
      <c r="F13" s="110"/>
      <c r="G13" s="143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</row>
    <row r="14" spans="1:51">
      <c r="A14" s="142"/>
      <c r="C14" s="110"/>
      <c r="D14" s="110"/>
      <c r="E14" s="110"/>
      <c r="F14" s="110"/>
      <c r="G14" s="110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</row>
    <row r="15" spans="1:51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</row>
    <row r="16" spans="1:51" ht="15.75">
      <c r="C16" s="107"/>
      <c r="D16" s="107"/>
      <c r="I16" s="149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</row>
    <row r="17" spans="1:51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</row>
    <row r="18" spans="1:51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</row>
    <row r="19" spans="1:51" ht="15.75">
      <c r="A19" s="151"/>
      <c r="C19" s="107" t="s">
        <v>413</v>
      </c>
      <c r="D19" s="107"/>
      <c r="E19" s="111"/>
      <c r="F19" s="111"/>
      <c r="G19" s="111"/>
      <c r="I19" s="11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</row>
    <row r="20" spans="1:51">
      <c r="A20" s="152">
        <v>1</v>
      </c>
      <c r="C20" s="107" t="s">
        <v>266</v>
      </c>
      <c r="D20" s="107"/>
      <c r="E20" s="844" t="s">
        <v>788</v>
      </c>
      <c r="F20" s="153"/>
      <c r="G20" s="154">
        <f>DEO!J76</f>
        <v>772979082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</row>
    <row r="21" spans="1:51">
      <c r="A21" s="152">
        <v>2</v>
      </c>
      <c r="C21" s="107" t="s">
        <v>267</v>
      </c>
      <c r="D21" s="107"/>
      <c r="E21" s="844" t="s">
        <v>789</v>
      </c>
      <c r="F21" s="153"/>
      <c r="G21" s="154">
        <f>DEO!J92</f>
        <v>529269292</v>
      </c>
      <c r="I21" s="11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</row>
    <row r="22" spans="1:51">
      <c r="A22" s="152"/>
      <c r="E22" s="844"/>
      <c r="F22" s="153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</row>
    <row r="23" spans="1:51">
      <c r="A23" s="152"/>
      <c r="C23" s="107" t="s">
        <v>232</v>
      </c>
      <c r="D23" s="107"/>
      <c r="E23" s="844"/>
      <c r="F23" s="153"/>
      <c r="G23" s="11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</row>
    <row r="24" spans="1:51">
      <c r="A24" s="152">
        <v>3</v>
      </c>
      <c r="C24" s="107" t="s">
        <v>268</v>
      </c>
      <c r="D24" s="107"/>
      <c r="E24" s="844" t="s">
        <v>790</v>
      </c>
      <c r="F24" s="153"/>
      <c r="G24" s="154">
        <f>DEO!J149</f>
        <v>24472755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</row>
    <row r="25" spans="1:51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3.1660306947348935E-2</v>
      </c>
      <c r="I25" s="156">
        <f>G25</f>
        <v>3.1660306947348935E-2</v>
      </c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</row>
    <row r="26" spans="1:51">
      <c r="A26" s="152"/>
      <c r="E26" s="844"/>
      <c r="F26" s="153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</row>
    <row r="27" spans="1:51">
      <c r="A27" s="165"/>
      <c r="C27" s="107" t="s">
        <v>316</v>
      </c>
      <c r="D27" s="107"/>
      <c r="E27" s="842"/>
      <c r="F27" s="153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</row>
    <row r="28" spans="1:51">
      <c r="A28" s="165" t="s">
        <v>270</v>
      </c>
      <c r="C28" s="107" t="s">
        <v>317</v>
      </c>
      <c r="D28" s="107"/>
      <c r="E28" s="844" t="s">
        <v>791</v>
      </c>
      <c r="F28" s="153"/>
      <c r="G28" s="154">
        <f>DEO!J153+DEO!J154</f>
        <v>3218235</v>
      </c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</row>
    <row r="29" spans="1:51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4.1634179694399545E-3</v>
      </c>
      <c r="I29" s="156">
        <f>G29</f>
        <v>4.1634179694399545E-3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</row>
    <row r="30" spans="1:51">
      <c r="A30" s="152"/>
      <c r="E30" s="844"/>
      <c r="F30" s="153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</row>
    <row r="31" spans="1:51">
      <c r="A31" s="159"/>
      <c r="C31" s="107" t="s">
        <v>235</v>
      </c>
      <c r="D31" s="107"/>
      <c r="E31" s="842"/>
      <c r="F31" s="113"/>
      <c r="G31" s="11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</row>
    <row r="32" spans="1:51">
      <c r="A32" s="159" t="s">
        <v>273</v>
      </c>
      <c r="C32" s="107" t="s">
        <v>237</v>
      </c>
      <c r="D32" s="107"/>
      <c r="E32" s="844" t="s">
        <v>792</v>
      </c>
      <c r="F32" s="153"/>
      <c r="G32" s="154">
        <f>DEO!J166</f>
        <v>25784197</v>
      </c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</row>
    <row r="33" spans="1:51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3.335691430780529E-2</v>
      </c>
      <c r="I33" s="156">
        <f>G33</f>
        <v>3.335691430780529E-2</v>
      </c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</row>
    <row r="34" spans="1:51">
      <c r="A34" s="159"/>
      <c r="C34" s="107"/>
      <c r="D34" s="107"/>
      <c r="E34" s="844"/>
      <c r="F34" s="153"/>
      <c r="G34" s="111"/>
      <c r="I34" s="11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</row>
    <row r="35" spans="1:51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6.9180639224594179E-2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</row>
    <row r="36" spans="1:51">
      <c r="A36" s="369"/>
      <c r="C36" s="107"/>
      <c r="D36" s="107"/>
      <c r="E36" s="844"/>
      <c r="F36" s="153"/>
      <c r="G36" s="111"/>
      <c r="I36" s="11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</row>
    <row r="37" spans="1:51">
      <c r="A37" s="165"/>
      <c r="B37" s="166"/>
      <c r="C37" s="111" t="s">
        <v>239</v>
      </c>
      <c r="D37" s="111"/>
      <c r="E37" s="844"/>
      <c r="F37" s="153"/>
      <c r="G37" s="11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</row>
    <row r="38" spans="1:51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154">
        <f>DEO!J179</f>
        <v>12711552.607053047</v>
      </c>
      <c r="I38" s="11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</row>
    <row r="39" spans="1:51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2.4017173864402181E-2</v>
      </c>
      <c r="I39" s="156">
        <f>G39</f>
        <v>2.4017173864402181E-2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</row>
    <row r="40" spans="1:51">
      <c r="A40" s="159"/>
      <c r="C40" s="111"/>
      <c r="D40" s="111"/>
      <c r="E40" s="844"/>
      <c r="F40" s="153"/>
      <c r="G40" s="111"/>
      <c r="I40" s="11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</row>
    <row r="41" spans="1:51">
      <c r="A41" s="159"/>
      <c r="C41" s="107" t="s">
        <v>73</v>
      </c>
      <c r="D41" s="107"/>
      <c r="E41" s="845"/>
      <c r="F41" s="167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</row>
    <row r="42" spans="1:51">
      <c r="A42" s="159" t="s">
        <v>238</v>
      </c>
      <c r="C42" s="107" t="s">
        <v>240</v>
      </c>
      <c r="D42" s="107"/>
      <c r="E42" s="844" t="s">
        <v>794</v>
      </c>
      <c r="F42" s="153"/>
      <c r="G42" s="154">
        <f>DEO!J181</f>
        <v>34712639</v>
      </c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</row>
    <row r="43" spans="1:51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6.5585968286253793E-2</v>
      </c>
      <c r="I43" s="156">
        <f>G43</f>
        <v>6.5585968286253793E-2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</row>
    <row r="44" spans="1:51">
      <c r="A44" s="159"/>
      <c r="C44" s="107"/>
      <c r="D44" s="107"/>
      <c r="E44" s="844"/>
      <c r="F44" s="153"/>
      <c r="G44" s="111"/>
      <c r="I44" s="11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</row>
    <row r="45" spans="1:51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8.9603142150655971E-2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</row>
    <row r="46" spans="1:51"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</row>
    <row r="47" spans="1:51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</row>
    <row r="48" spans="1:51">
      <c r="A48" s="142"/>
      <c r="C48" s="106"/>
      <c r="D48" s="106"/>
      <c r="E48" s="106"/>
      <c r="F48" s="106"/>
      <c r="G48" s="111"/>
      <c r="H48" s="106"/>
      <c r="I48" s="106"/>
      <c r="J48" s="106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</row>
    <row r="49" spans="11:51">
      <c r="X49" s="77" t="s">
        <v>365</v>
      </c>
    </row>
    <row r="50" spans="11:51">
      <c r="X50" s="77" t="s">
        <v>417</v>
      </c>
    </row>
    <row r="51" spans="11:51">
      <c r="X51" s="172" t="s">
        <v>241</v>
      </c>
    </row>
    <row r="52" spans="11:51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5"/>
      <c r="Z52" s="139"/>
      <c r="AA52" s="145"/>
      <c r="AB52" s="146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</row>
    <row r="53" spans="11:51">
      <c r="K53" s="142"/>
      <c r="M53" s="107"/>
      <c r="N53" s="106"/>
      <c r="O53" s="106"/>
      <c r="P53" s="106"/>
      <c r="Q53" s="111"/>
      <c r="R53" s="106"/>
      <c r="S53" s="106"/>
      <c r="T53" s="106"/>
      <c r="U53" s="106"/>
      <c r="W53" s="111"/>
      <c r="Y53" s="145"/>
      <c r="Z53" s="139"/>
      <c r="AA53" s="145"/>
      <c r="AB53" s="146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</row>
    <row r="54" spans="11:51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5"/>
      <c r="Z54" s="139"/>
      <c r="AA54" s="145"/>
      <c r="AB54" s="146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</row>
    <row r="55" spans="11:51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5"/>
      <c r="Z55" s="139"/>
      <c r="AA55" s="145"/>
      <c r="AB55" s="146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</row>
    <row r="56" spans="11:51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X56" s="106"/>
      <c r="Y56" s="145"/>
      <c r="Z56" s="139"/>
      <c r="AA56" s="145"/>
      <c r="AB56" s="146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</row>
    <row r="57" spans="11:51">
      <c r="K57" s="222" t="str">
        <f>A9</f>
        <v>Duke Energy Ohio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5"/>
      <c r="Z57" s="139"/>
      <c r="AA57" s="145"/>
      <c r="AB57" s="146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</row>
    <row r="58" spans="11:51">
      <c r="K58" s="222" t="str">
        <f>A10</f>
        <v>RTEP - Transmission Enhancement Charges</v>
      </c>
      <c r="L58" s="281"/>
      <c r="M58" s="281"/>
      <c r="N58" s="281"/>
      <c r="O58" s="222"/>
      <c r="P58" s="222"/>
      <c r="Q58" s="281"/>
      <c r="R58" s="222"/>
      <c r="S58" s="222"/>
      <c r="T58" s="222"/>
      <c r="U58" s="222"/>
      <c r="V58" s="222"/>
      <c r="W58" s="220"/>
      <c r="X58" s="220"/>
      <c r="Y58" s="145"/>
      <c r="Z58" s="139"/>
      <c r="AA58" s="145"/>
      <c r="AB58" s="146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</row>
    <row r="59" spans="11:51">
      <c r="K59" s="142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45"/>
      <c r="Z59" s="139"/>
      <c r="AA59" s="145"/>
      <c r="AB59" s="146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</row>
    <row r="60" spans="11:51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5"/>
      <c r="Z60" s="139"/>
      <c r="AA60" s="145"/>
      <c r="AB60" s="146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</row>
    <row r="61" spans="11:51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5"/>
      <c r="Z61" s="139"/>
      <c r="AA61" s="145"/>
      <c r="AB61" s="146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</row>
    <row r="62" spans="11:51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5"/>
      <c r="Z62" s="139"/>
      <c r="AA62" s="145"/>
      <c r="AB62" s="146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</row>
    <row r="63" spans="11:51" ht="63">
      <c r="K63" s="174" t="s">
        <v>279</v>
      </c>
      <c r="L63" s="175"/>
      <c r="M63" s="175" t="s">
        <v>249</v>
      </c>
      <c r="N63" s="176" t="s">
        <v>414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58"/>
      <c r="Z63" s="139"/>
      <c r="AA63" s="145"/>
      <c r="AB63" s="146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</row>
    <row r="64" spans="11:51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846" t="s">
        <v>23</v>
      </c>
      <c r="S64" s="846" t="s">
        <v>781</v>
      </c>
      <c r="T64" s="184" t="s">
        <v>290</v>
      </c>
      <c r="U64" s="846" t="s">
        <v>291</v>
      </c>
      <c r="V64" s="184" t="s">
        <v>292</v>
      </c>
      <c r="W64" s="185" t="s">
        <v>242</v>
      </c>
      <c r="X64" s="186" t="s">
        <v>293</v>
      </c>
      <c r="Y64" s="145"/>
      <c r="Z64" s="139"/>
      <c r="AA64" s="145"/>
      <c r="AB64" s="146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</row>
    <row r="65" spans="11:51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5"/>
      <c r="Z65" s="139"/>
      <c r="AA65" s="145"/>
      <c r="AB65" s="146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</row>
    <row r="66" spans="11:51">
      <c r="K66" s="881" t="s">
        <v>3</v>
      </c>
      <c r="L66" s="882"/>
      <c r="M66" s="883"/>
      <c r="N66" s="884"/>
      <c r="O66" s="885">
        <v>0</v>
      </c>
      <c r="P66" s="886">
        <f>$I$35</f>
        <v>6.9180639224594179E-2</v>
      </c>
      <c r="Q66" s="887">
        <f>O66*P66</f>
        <v>0</v>
      </c>
      <c r="R66" s="885">
        <v>0</v>
      </c>
      <c r="S66" s="886">
        <f>$I$45</f>
        <v>8.9603142150655971E-2</v>
      </c>
      <c r="T66" s="887">
        <f>R66*S66</f>
        <v>0</v>
      </c>
      <c r="U66" s="888">
        <v>0</v>
      </c>
      <c r="V66" s="887">
        <f>Q66+T66+U66</f>
        <v>0</v>
      </c>
      <c r="W66" s="889">
        <v>0</v>
      </c>
      <c r="X66" s="887">
        <f>V66+W66</f>
        <v>0</v>
      </c>
      <c r="Y66" s="195"/>
      <c r="Z66" s="195"/>
      <c r="AA66" s="195"/>
      <c r="AB66" s="195"/>
      <c r="AC66" s="195"/>
      <c r="AD66" s="195"/>
      <c r="AE66" s="195"/>
    </row>
    <row r="67" spans="11:51">
      <c r="K67" s="881" t="s">
        <v>296</v>
      </c>
      <c r="L67" s="882"/>
      <c r="M67" s="882"/>
      <c r="N67" s="882"/>
      <c r="O67" s="885">
        <v>0</v>
      </c>
      <c r="P67" s="886">
        <f>$I$35</f>
        <v>6.9180639224594179E-2</v>
      </c>
      <c r="Q67" s="887">
        <f>O67*P67</f>
        <v>0</v>
      </c>
      <c r="R67" s="893">
        <v>0</v>
      </c>
      <c r="S67" s="886">
        <f>$I$45</f>
        <v>8.9603142150655971E-2</v>
      </c>
      <c r="T67" s="887">
        <f>R67*S67</f>
        <v>0</v>
      </c>
      <c r="U67" s="894">
        <v>0</v>
      </c>
      <c r="V67" s="887">
        <f>Q67+T67+U67</f>
        <v>0</v>
      </c>
      <c r="W67" s="889">
        <v>0</v>
      </c>
      <c r="X67" s="887">
        <f>V67+W67</f>
        <v>0</v>
      </c>
      <c r="Y67" s="195"/>
      <c r="Z67" s="195"/>
      <c r="AA67" s="195"/>
      <c r="AB67" s="195"/>
      <c r="AC67" s="195"/>
      <c r="AD67" s="195"/>
      <c r="AE67" s="195"/>
    </row>
    <row r="68" spans="11:51">
      <c r="K68" s="881" t="s">
        <v>299</v>
      </c>
      <c r="L68" s="882"/>
      <c r="M68" s="882"/>
      <c r="N68" s="882"/>
      <c r="O68" s="885">
        <v>0</v>
      </c>
      <c r="P68" s="886">
        <f>$I$35</f>
        <v>6.9180639224594179E-2</v>
      </c>
      <c r="Q68" s="887">
        <f>O68*P68</f>
        <v>0</v>
      </c>
      <c r="R68" s="893">
        <v>0</v>
      </c>
      <c r="S68" s="886">
        <f>$I$45</f>
        <v>8.9603142150655971E-2</v>
      </c>
      <c r="T68" s="887">
        <f>R68*S68</f>
        <v>0</v>
      </c>
      <c r="U68" s="894">
        <v>0</v>
      </c>
      <c r="V68" s="887">
        <f>Q68+T68+U68</f>
        <v>0</v>
      </c>
      <c r="W68" s="893">
        <v>0</v>
      </c>
      <c r="X68" s="887">
        <f>V68+W68</f>
        <v>0</v>
      </c>
      <c r="Y68" s="195"/>
      <c r="Z68" s="195"/>
      <c r="AA68" s="195"/>
      <c r="AB68" s="195"/>
      <c r="AC68" s="195"/>
      <c r="AD68" s="195"/>
      <c r="AE68" s="195"/>
    </row>
    <row r="69" spans="11:51">
      <c r="K69" s="190"/>
      <c r="Q69" s="192"/>
      <c r="T69" s="192"/>
      <c r="V69" s="192"/>
      <c r="X69" s="192"/>
      <c r="Y69" s="195"/>
      <c r="Z69" s="195"/>
      <c r="AA69" s="195"/>
      <c r="AB69" s="195"/>
      <c r="AC69" s="195"/>
      <c r="AD69" s="195"/>
      <c r="AE69" s="195"/>
    </row>
    <row r="70" spans="11:51">
      <c r="K70" s="190"/>
      <c r="Q70" s="192"/>
      <c r="T70" s="192"/>
      <c r="V70" s="192"/>
      <c r="X70" s="192"/>
      <c r="Y70" s="195"/>
      <c r="Z70" s="195"/>
      <c r="AA70" s="195"/>
      <c r="AB70" s="195"/>
      <c r="AC70" s="195"/>
      <c r="AD70" s="195"/>
      <c r="AE70" s="195"/>
    </row>
    <row r="71" spans="11:51">
      <c r="K71" s="190"/>
      <c r="Q71" s="192"/>
      <c r="T71" s="192"/>
      <c r="V71" s="192"/>
      <c r="X71" s="192"/>
      <c r="Y71" s="195"/>
      <c r="Z71" s="195"/>
      <c r="AA71" s="195"/>
      <c r="AB71" s="195"/>
      <c r="AC71" s="195"/>
      <c r="AD71" s="195"/>
      <c r="AE71" s="195"/>
    </row>
    <row r="72" spans="11:51">
      <c r="K72" s="190"/>
      <c r="Q72" s="192"/>
      <c r="T72" s="192"/>
      <c r="V72" s="192"/>
      <c r="X72" s="192"/>
      <c r="Y72" s="195"/>
      <c r="Z72" s="195"/>
      <c r="AA72" s="195"/>
      <c r="AB72" s="195"/>
      <c r="AC72" s="195"/>
      <c r="AD72" s="195"/>
      <c r="AE72" s="195"/>
    </row>
    <row r="73" spans="11:51">
      <c r="K73" s="190"/>
      <c r="Q73" s="192"/>
      <c r="T73" s="192"/>
      <c r="V73" s="192"/>
      <c r="X73" s="192"/>
      <c r="Y73" s="195"/>
      <c r="Z73" s="195"/>
      <c r="AA73" s="195"/>
      <c r="AB73" s="195"/>
      <c r="AC73" s="195"/>
      <c r="AD73" s="195"/>
      <c r="AE73" s="195"/>
    </row>
    <row r="74" spans="11:51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  <c r="Y74" s="195"/>
      <c r="Z74" s="195"/>
      <c r="AA74" s="195"/>
      <c r="AB74" s="195"/>
      <c r="AC74" s="195"/>
      <c r="AD74" s="195"/>
      <c r="AE74" s="195"/>
    </row>
    <row r="75" spans="11:51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  <c r="Y75" s="195"/>
      <c r="Z75" s="195"/>
      <c r="AA75" s="195"/>
      <c r="AB75" s="195"/>
      <c r="AC75" s="195"/>
      <c r="AD75" s="195"/>
      <c r="AE75" s="195"/>
    </row>
    <row r="76" spans="11:51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  <c r="Y76" s="195"/>
      <c r="Z76" s="195"/>
      <c r="AA76" s="195"/>
      <c r="AB76" s="195"/>
      <c r="AC76" s="195"/>
      <c r="AD76" s="195"/>
      <c r="AE76" s="195"/>
    </row>
    <row r="77" spans="11:51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  <c r="Y77" s="195"/>
      <c r="Z77" s="195"/>
      <c r="AA77" s="195"/>
      <c r="AB77" s="195"/>
      <c r="AC77" s="195"/>
      <c r="AD77" s="195"/>
      <c r="AE77" s="195"/>
    </row>
    <row r="78" spans="11:51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  <c r="Y78" s="195"/>
      <c r="Z78" s="195"/>
      <c r="AA78" s="195"/>
      <c r="AB78" s="195"/>
      <c r="AC78" s="195"/>
      <c r="AD78" s="195"/>
      <c r="AE78" s="195"/>
    </row>
    <row r="79" spans="11:51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  <c r="Y79" s="195"/>
      <c r="Z79" s="195"/>
      <c r="AA79" s="195"/>
      <c r="AB79" s="195"/>
      <c r="AC79" s="195"/>
      <c r="AD79" s="195"/>
      <c r="AE79" s="195"/>
    </row>
    <row r="80" spans="11:51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  <c r="Y80" s="195"/>
      <c r="Z80" s="195"/>
      <c r="AA80" s="195"/>
      <c r="AB80" s="195"/>
      <c r="AC80" s="195"/>
      <c r="AD80" s="195"/>
      <c r="AE80" s="195"/>
    </row>
    <row r="81" spans="11:31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  <c r="Y81" s="195"/>
      <c r="Z81" s="195"/>
      <c r="AA81" s="195"/>
      <c r="AB81" s="195"/>
      <c r="AC81" s="195"/>
      <c r="AD81" s="195"/>
      <c r="AE81" s="195"/>
    </row>
    <row r="82" spans="11:31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  <c r="Y82" s="195"/>
      <c r="Z82" s="195"/>
      <c r="AA82" s="195"/>
      <c r="AB82" s="195"/>
      <c r="AC82" s="195"/>
      <c r="AD82" s="195"/>
      <c r="AE82" s="195"/>
    </row>
    <row r="83" spans="11:31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  <c r="Y83" s="195"/>
      <c r="Z83" s="195"/>
      <c r="AA83" s="195"/>
      <c r="AB83" s="195"/>
      <c r="AC83" s="195"/>
      <c r="AD83" s="195"/>
      <c r="AE83" s="195"/>
    </row>
    <row r="84" spans="11:31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  <c r="Y84" s="195"/>
      <c r="Z84" s="195"/>
      <c r="AA84" s="195"/>
      <c r="AB84" s="195"/>
      <c r="AC84" s="195"/>
      <c r="AD84" s="195"/>
      <c r="AE84" s="195"/>
    </row>
    <row r="85" spans="11:31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  <c r="Y85" s="195"/>
      <c r="Z85" s="195"/>
      <c r="AA85" s="195"/>
      <c r="AB85" s="195"/>
      <c r="AC85" s="195"/>
      <c r="AD85" s="195"/>
      <c r="AE85" s="195"/>
    </row>
    <row r="86" spans="11:31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0</v>
      </c>
      <c r="W86" s="202">
        <f>SUM(W66:W85)</f>
        <v>0</v>
      </c>
      <c r="X86" s="202">
        <f>SUM(X66:X85)</f>
        <v>0</v>
      </c>
      <c r="Y86" s="195"/>
      <c r="Z86" s="195"/>
      <c r="AA86" s="195"/>
      <c r="AB86" s="195"/>
      <c r="AC86" s="195"/>
      <c r="AD86" s="195"/>
      <c r="AE86" s="195"/>
    </row>
    <row r="87" spans="11:31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</row>
    <row r="88" spans="11:31">
      <c r="K88" s="201">
        <v>3</v>
      </c>
      <c r="L88" s="195"/>
      <c r="M88" s="850" t="s">
        <v>783</v>
      </c>
      <c r="N88" s="195"/>
      <c r="O88" s="195"/>
      <c r="P88" s="195"/>
      <c r="Q88" s="195"/>
      <c r="R88" s="195"/>
      <c r="S88" s="195"/>
      <c r="T88" s="195"/>
      <c r="U88" s="195"/>
      <c r="V88" s="202"/>
      <c r="W88" s="195"/>
      <c r="X88" s="202">
        <f>X86</f>
        <v>0</v>
      </c>
      <c r="Y88" s="195"/>
      <c r="Z88" s="195"/>
      <c r="AA88" s="195"/>
      <c r="AB88" s="195"/>
      <c r="AC88" s="195"/>
      <c r="AD88" s="195"/>
      <c r="AE88" s="195"/>
    </row>
    <row r="89" spans="11:31"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</row>
    <row r="90" spans="11:31"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</row>
    <row r="91" spans="11:31">
      <c r="K91" s="106" t="s">
        <v>113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</row>
    <row r="92" spans="11:31" ht="15.75" thickBot="1">
      <c r="K92" s="203" t="s">
        <v>114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</row>
    <row r="93" spans="11:31">
      <c r="K93" s="204" t="s">
        <v>115</v>
      </c>
      <c r="L93" s="109"/>
      <c r="M93" s="1042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  <c r="Y93" s="195"/>
      <c r="Z93" s="195"/>
      <c r="AA93" s="195"/>
      <c r="AB93" s="195"/>
      <c r="AC93" s="195"/>
      <c r="AD93" s="195"/>
      <c r="AE93" s="195"/>
    </row>
    <row r="94" spans="11:31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  <c r="Y94" s="195"/>
      <c r="Z94" s="195"/>
      <c r="AA94" s="195"/>
      <c r="AB94" s="195"/>
      <c r="AC94" s="195"/>
      <c r="AD94" s="195"/>
      <c r="AE94" s="195"/>
    </row>
    <row r="95" spans="11:31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  <c r="Y95" s="195"/>
      <c r="Z95" s="195"/>
      <c r="AA95" s="195"/>
      <c r="AB95" s="195"/>
      <c r="AC95" s="195"/>
      <c r="AD95" s="195"/>
      <c r="AE95" s="195"/>
    </row>
    <row r="96" spans="11:31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  <c r="Y96" s="195"/>
      <c r="Z96" s="195"/>
      <c r="AA96" s="195"/>
      <c r="AB96" s="195"/>
      <c r="AC96" s="195"/>
      <c r="AD96" s="195"/>
      <c r="AE96" s="195"/>
    </row>
    <row r="97" spans="1:31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  <c r="Y97" s="195"/>
      <c r="Z97" s="195"/>
      <c r="AA97" s="195"/>
      <c r="AB97" s="195"/>
      <c r="AC97" s="195"/>
      <c r="AD97" s="195"/>
      <c r="AE97" s="195"/>
    </row>
    <row r="98" spans="1:31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  <c r="Y98" s="195"/>
      <c r="Z98" s="195"/>
      <c r="AA98" s="195"/>
      <c r="AB98" s="195"/>
      <c r="AC98" s="195"/>
      <c r="AD98" s="195"/>
      <c r="AE98" s="195"/>
    </row>
    <row r="99" spans="1:31">
      <c r="K99" s="204" t="s">
        <v>121</v>
      </c>
      <c r="L99" s="109"/>
      <c r="M99" s="1041" t="s">
        <v>782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  <c r="Y99" s="195"/>
      <c r="Z99" s="195"/>
      <c r="AA99" s="195"/>
      <c r="AB99" s="195"/>
      <c r="AC99" s="195"/>
      <c r="AD99" s="195"/>
      <c r="AE99" s="195"/>
    </row>
    <row r="100" spans="1:31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  <c r="Y100" s="195"/>
      <c r="Z100" s="195"/>
      <c r="AA100" s="195"/>
      <c r="AB100" s="195"/>
      <c r="AC100" s="195"/>
      <c r="AD100" s="195"/>
      <c r="AE100" s="195"/>
    </row>
    <row r="101" spans="1:31" ht="15.75">
      <c r="K101" s="169"/>
      <c r="L101" s="206"/>
      <c r="M101" s="207"/>
      <c r="N101" s="165"/>
      <c r="O101" s="113"/>
      <c r="P101" s="113"/>
      <c r="Q101" s="111"/>
      <c r="R101" s="106"/>
      <c r="S101" s="106"/>
      <c r="T101" s="155"/>
      <c r="U101" s="106"/>
      <c r="W101" s="111"/>
      <c r="X101" s="170"/>
      <c r="Y101" s="195"/>
      <c r="Z101" s="195"/>
      <c r="AA101" s="195"/>
      <c r="AB101" s="195"/>
      <c r="AC101" s="195"/>
      <c r="AD101" s="195"/>
      <c r="AE101" s="195"/>
    </row>
    <row r="102" spans="1:31" ht="15.75">
      <c r="A102" s="169"/>
      <c r="B102" s="206"/>
      <c r="C102" s="207"/>
      <c r="D102" s="165"/>
      <c r="E102" s="113"/>
      <c r="F102" s="113"/>
      <c r="G102" s="111"/>
      <c r="H102" s="106"/>
      <c r="I102" s="106"/>
      <c r="J102" s="155"/>
    </row>
    <row r="103" spans="1:31">
      <c r="C103" s="195"/>
      <c r="D103" s="195"/>
      <c r="E103" s="195"/>
      <c r="F103" s="195"/>
      <c r="G103" s="195"/>
      <c r="H103" s="195"/>
      <c r="I103" s="195"/>
      <c r="J103" s="195"/>
    </row>
    <row r="104" spans="1:31">
      <c r="C104" s="195"/>
      <c r="D104" s="195"/>
      <c r="E104" s="195"/>
      <c r="F104" s="195"/>
      <c r="G104" s="195"/>
      <c r="H104" s="195"/>
      <c r="I104" s="195"/>
      <c r="J104" s="195"/>
    </row>
    <row r="105" spans="1:31">
      <c r="C105" s="195"/>
      <c r="D105" s="195"/>
      <c r="E105" s="195"/>
      <c r="F105" s="195"/>
      <c r="G105" s="195"/>
      <c r="H105" s="195"/>
      <c r="I105" s="195"/>
      <c r="J105" s="195"/>
    </row>
    <row r="106" spans="1:31">
      <c r="C106" s="195"/>
      <c r="D106" s="195"/>
      <c r="E106" s="195"/>
      <c r="F106" s="195"/>
      <c r="G106" s="195"/>
      <c r="H106" s="195"/>
      <c r="I106" s="195"/>
      <c r="J106" s="195"/>
    </row>
    <row r="107" spans="1:31">
      <c r="C107" s="195"/>
      <c r="D107" s="195"/>
      <c r="E107" s="195"/>
      <c r="F107" s="195"/>
      <c r="G107" s="195"/>
      <c r="H107" s="195"/>
      <c r="I107" s="195"/>
      <c r="J107" s="195"/>
    </row>
    <row r="108" spans="1:31">
      <c r="C108" s="195"/>
      <c r="D108" s="195"/>
      <c r="E108" s="195"/>
      <c r="F108" s="195"/>
      <c r="G108" s="195"/>
      <c r="H108" s="195"/>
      <c r="I108" s="195"/>
      <c r="J108" s="195"/>
    </row>
    <row r="109" spans="1:31">
      <c r="C109" s="195"/>
      <c r="D109" s="195"/>
      <c r="E109" s="195"/>
      <c r="F109" s="195"/>
      <c r="G109" s="195"/>
      <c r="H109" s="195"/>
      <c r="I109" s="195"/>
      <c r="J109" s="195"/>
    </row>
    <row r="110" spans="1:31">
      <c r="C110" s="195"/>
      <c r="D110" s="195"/>
      <c r="E110" s="195"/>
      <c r="F110" s="195"/>
      <c r="G110" s="195"/>
      <c r="H110" s="195"/>
      <c r="I110" s="195"/>
      <c r="J110" s="195"/>
    </row>
    <row r="111" spans="1:31">
      <c r="C111" s="195"/>
      <c r="D111" s="195"/>
      <c r="E111" s="195"/>
      <c r="F111" s="195"/>
      <c r="G111" s="195"/>
      <c r="H111" s="195"/>
      <c r="I111" s="195"/>
      <c r="J111" s="195"/>
    </row>
    <row r="112" spans="1:31">
      <c r="C112" s="195"/>
      <c r="D112" s="195"/>
      <c r="E112" s="195"/>
      <c r="F112" s="195"/>
      <c r="G112" s="195"/>
      <c r="H112" s="195"/>
      <c r="I112" s="195"/>
      <c r="J112" s="195"/>
    </row>
    <row r="113" spans="3:10">
      <c r="C113" s="195"/>
      <c r="D113" s="195"/>
      <c r="E113" s="195"/>
      <c r="F113" s="195"/>
      <c r="G113" s="195"/>
      <c r="H113" s="195"/>
      <c r="I113" s="195"/>
      <c r="J113" s="195"/>
    </row>
    <row r="114" spans="3:10">
      <c r="C114" s="195"/>
      <c r="D114" s="195"/>
      <c r="E114" s="195"/>
      <c r="F114" s="195"/>
      <c r="G114" s="195"/>
      <c r="H114" s="195"/>
      <c r="I114" s="195"/>
      <c r="J114" s="195"/>
    </row>
    <row r="115" spans="3:10">
      <c r="C115" s="195"/>
      <c r="D115" s="195"/>
      <c r="E115" s="195"/>
      <c r="F115" s="195"/>
      <c r="G115" s="195"/>
      <c r="H115" s="195"/>
      <c r="I115" s="195"/>
      <c r="J115" s="195"/>
    </row>
    <row r="116" spans="3:10">
      <c r="C116" s="195"/>
      <c r="D116" s="195"/>
      <c r="E116" s="195"/>
      <c r="F116" s="195"/>
      <c r="G116" s="195"/>
      <c r="H116" s="195"/>
      <c r="I116" s="195"/>
      <c r="J116" s="195"/>
    </row>
    <row r="117" spans="3:10">
      <c r="C117" s="195"/>
      <c r="D117" s="195"/>
      <c r="E117" s="195"/>
      <c r="F117" s="195"/>
      <c r="G117" s="195"/>
      <c r="H117" s="195"/>
      <c r="I117" s="195"/>
      <c r="J117" s="195"/>
    </row>
    <row r="118" spans="3:10">
      <c r="C118" s="195"/>
      <c r="D118" s="195"/>
      <c r="E118" s="195"/>
      <c r="F118" s="195"/>
      <c r="G118" s="195"/>
      <c r="H118" s="195"/>
      <c r="I118" s="195"/>
      <c r="J118" s="195"/>
    </row>
    <row r="119" spans="3:10">
      <c r="C119" s="195"/>
      <c r="D119" s="195"/>
      <c r="E119" s="195"/>
      <c r="F119" s="195"/>
      <c r="G119" s="195"/>
      <c r="H119" s="195"/>
      <c r="I119" s="195"/>
      <c r="J119" s="195"/>
    </row>
    <row r="120" spans="3:10">
      <c r="C120" s="195"/>
      <c r="D120" s="195"/>
      <c r="E120" s="195"/>
      <c r="F120" s="195"/>
      <c r="G120" s="195"/>
      <c r="H120" s="195"/>
      <c r="I120" s="195"/>
      <c r="J120" s="195"/>
    </row>
    <row r="121" spans="3:10">
      <c r="C121" s="195"/>
      <c r="D121" s="195"/>
      <c r="E121" s="195"/>
      <c r="F121" s="195"/>
      <c r="G121" s="195"/>
      <c r="H121" s="195"/>
      <c r="I121" s="195"/>
      <c r="J121" s="195"/>
    </row>
    <row r="122" spans="3:10">
      <c r="C122" s="195"/>
      <c r="D122" s="195"/>
      <c r="E122" s="195"/>
      <c r="F122" s="195"/>
      <c r="G122" s="195"/>
      <c r="H122" s="195"/>
      <c r="I122" s="195"/>
      <c r="J122" s="195"/>
    </row>
    <row r="123" spans="3:10">
      <c r="C123" s="195"/>
      <c r="D123" s="195"/>
      <c r="E123" s="195"/>
      <c r="F123" s="195"/>
      <c r="G123" s="195"/>
      <c r="H123" s="195"/>
      <c r="I123" s="195"/>
      <c r="J123" s="195"/>
    </row>
    <row r="124" spans="3:10">
      <c r="C124" s="195"/>
      <c r="D124" s="195"/>
      <c r="E124" s="195"/>
      <c r="F124" s="195"/>
      <c r="G124" s="195"/>
      <c r="H124" s="195"/>
      <c r="I124" s="195"/>
      <c r="J124" s="195"/>
    </row>
    <row r="125" spans="3:10">
      <c r="C125" s="195"/>
      <c r="D125" s="195"/>
      <c r="E125" s="195"/>
      <c r="F125" s="195"/>
      <c r="G125" s="195"/>
      <c r="H125" s="195"/>
      <c r="I125" s="195"/>
      <c r="J125" s="195"/>
    </row>
    <row r="126" spans="3:10">
      <c r="C126" s="195"/>
      <c r="D126" s="195"/>
      <c r="E126" s="195"/>
      <c r="F126" s="195"/>
      <c r="G126" s="195"/>
      <c r="H126" s="195"/>
      <c r="I126" s="195"/>
      <c r="J126" s="195"/>
    </row>
    <row r="127" spans="3:10">
      <c r="C127" s="195"/>
      <c r="D127" s="195"/>
      <c r="E127" s="195"/>
      <c r="F127" s="195"/>
      <c r="G127" s="195"/>
      <c r="H127" s="195"/>
      <c r="I127" s="195"/>
      <c r="J127" s="195"/>
    </row>
    <row r="128" spans="3:10">
      <c r="C128" s="195"/>
      <c r="D128" s="195"/>
      <c r="E128" s="195"/>
      <c r="F128" s="195"/>
      <c r="G128" s="195"/>
      <c r="H128" s="195"/>
      <c r="I128" s="195"/>
      <c r="J128" s="195"/>
    </row>
    <row r="129" spans="3:10">
      <c r="C129" s="195"/>
      <c r="D129" s="195"/>
      <c r="E129" s="195"/>
      <c r="F129" s="195"/>
      <c r="G129" s="195"/>
      <c r="H129" s="195"/>
      <c r="I129" s="195"/>
      <c r="J129" s="195"/>
    </row>
    <row r="130" spans="3:10">
      <c r="C130" s="195"/>
      <c r="D130" s="195"/>
      <c r="E130" s="195"/>
      <c r="F130" s="195"/>
      <c r="G130" s="195"/>
      <c r="H130" s="195"/>
      <c r="I130" s="195"/>
      <c r="J130" s="195"/>
    </row>
    <row r="131" spans="3:10">
      <c r="C131" s="195"/>
      <c r="D131" s="195"/>
      <c r="E131" s="195"/>
      <c r="F131" s="195"/>
      <c r="G131" s="195"/>
      <c r="H131" s="195"/>
      <c r="I131" s="195"/>
      <c r="J131" s="195"/>
    </row>
    <row r="132" spans="3:10">
      <c r="C132" s="195"/>
      <c r="D132" s="195"/>
      <c r="E132" s="195"/>
      <c r="F132" s="195"/>
      <c r="G132" s="195"/>
      <c r="H132" s="195"/>
      <c r="I132" s="195"/>
      <c r="J132" s="195"/>
    </row>
    <row r="133" spans="3:10">
      <c r="C133" s="195"/>
      <c r="D133" s="195"/>
      <c r="E133" s="195"/>
      <c r="F133" s="195"/>
      <c r="G133" s="195"/>
      <c r="H133" s="195"/>
      <c r="I133" s="195"/>
      <c r="J133" s="195"/>
    </row>
    <row r="134" spans="3:10">
      <c r="C134" s="195"/>
      <c r="D134" s="195"/>
      <c r="E134" s="195"/>
      <c r="F134" s="195"/>
      <c r="G134" s="195"/>
      <c r="H134" s="195"/>
      <c r="I134" s="195"/>
      <c r="J134" s="195"/>
    </row>
    <row r="135" spans="3:10">
      <c r="C135" s="195"/>
      <c r="D135" s="195"/>
      <c r="E135" s="195"/>
      <c r="F135" s="195"/>
      <c r="G135" s="195"/>
      <c r="H135" s="195"/>
      <c r="I135" s="195"/>
      <c r="J135" s="195"/>
    </row>
    <row r="136" spans="3:10">
      <c r="C136" s="195"/>
      <c r="D136" s="195"/>
      <c r="E136" s="195"/>
      <c r="F136" s="195"/>
      <c r="G136" s="195"/>
      <c r="H136" s="195"/>
      <c r="I136" s="195"/>
      <c r="J136" s="195"/>
    </row>
    <row r="137" spans="3:10">
      <c r="C137" s="195"/>
      <c r="D137" s="195"/>
      <c r="E137" s="195"/>
      <c r="F137" s="195"/>
      <c r="G137" s="195"/>
      <c r="H137" s="195"/>
      <c r="I137" s="195"/>
      <c r="J137" s="195"/>
    </row>
    <row r="138" spans="3:10">
      <c r="C138" s="195"/>
      <c r="D138" s="195"/>
      <c r="E138" s="195"/>
      <c r="F138" s="195"/>
      <c r="G138" s="195"/>
      <c r="H138" s="195"/>
      <c r="I138" s="195"/>
      <c r="J138" s="195"/>
    </row>
    <row r="139" spans="3:10">
      <c r="C139" s="195"/>
      <c r="D139" s="195"/>
      <c r="E139" s="195"/>
      <c r="F139" s="195"/>
      <c r="G139" s="195"/>
      <c r="H139" s="195"/>
      <c r="I139" s="195"/>
      <c r="J139" s="195"/>
    </row>
    <row r="140" spans="3:10">
      <c r="C140" s="195"/>
      <c r="D140" s="195"/>
      <c r="E140" s="195"/>
      <c r="F140" s="195"/>
      <c r="G140" s="195"/>
      <c r="H140" s="195"/>
      <c r="I140" s="195"/>
      <c r="J140" s="195"/>
    </row>
    <row r="141" spans="3:10">
      <c r="C141" s="195"/>
      <c r="D141" s="195"/>
      <c r="E141" s="195"/>
      <c r="F141" s="195"/>
      <c r="G141" s="195"/>
      <c r="H141" s="195"/>
      <c r="I141" s="195"/>
      <c r="J141" s="195"/>
    </row>
    <row r="142" spans="3:10">
      <c r="C142" s="195"/>
      <c r="D142" s="195"/>
      <c r="E142" s="195"/>
      <c r="F142" s="195"/>
      <c r="G142" s="195"/>
      <c r="H142" s="195"/>
      <c r="I142" s="195"/>
      <c r="J142" s="195"/>
    </row>
    <row r="143" spans="3:10">
      <c r="C143" s="195"/>
      <c r="D143" s="195"/>
      <c r="E143" s="195"/>
      <c r="F143" s="195"/>
      <c r="G143" s="195"/>
      <c r="H143" s="195"/>
      <c r="I143" s="195"/>
      <c r="J143" s="195"/>
    </row>
    <row r="144" spans="3:10">
      <c r="C144" s="195"/>
      <c r="D144" s="195"/>
      <c r="E144" s="195"/>
      <c r="F144" s="195"/>
      <c r="G144" s="195"/>
      <c r="H144" s="195"/>
      <c r="I144" s="195"/>
      <c r="J144" s="195"/>
    </row>
    <row r="145" spans="3:10">
      <c r="C145" s="195"/>
      <c r="D145" s="195"/>
      <c r="E145" s="195"/>
      <c r="F145" s="195"/>
      <c r="G145" s="195"/>
      <c r="H145" s="195"/>
      <c r="I145" s="195"/>
      <c r="J145" s="195"/>
    </row>
    <row r="146" spans="3:10">
      <c r="C146" s="195"/>
      <c r="D146" s="195"/>
      <c r="E146" s="195"/>
      <c r="F146" s="195"/>
      <c r="G146" s="195"/>
      <c r="H146" s="195"/>
      <c r="I146" s="195"/>
      <c r="J146" s="195"/>
    </row>
    <row r="147" spans="3:10">
      <c r="C147" s="195"/>
      <c r="D147" s="195"/>
      <c r="E147" s="195"/>
      <c r="F147" s="195"/>
      <c r="G147" s="195"/>
      <c r="H147" s="195"/>
      <c r="I147" s="195"/>
      <c r="J147" s="195"/>
    </row>
    <row r="148" spans="3:10">
      <c r="C148" s="195"/>
      <c r="D148" s="195"/>
      <c r="E148" s="195"/>
      <c r="F148" s="195"/>
      <c r="G148" s="195"/>
      <c r="H148" s="195"/>
      <c r="I148" s="195"/>
      <c r="J148" s="195"/>
    </row>
    <row r="149" spans="3:10">
      <c r="C149" s="195"/>
      <c r="D149" s="195"/>
      <c r="E149" s="195"/>
      <c r="F149" s="195"/>
      <c r="G149" s="195"/>
      <c r="H149" s="195"/>
      <c r="I149" s="195"/>
      <c r="J149" s="195"/>
    </row>
    <row r="150" spans="3:10">
      <c r="C150" s="195"/>
      <c r="D150" s="195"/>
      <c r="E150" s="195"/>
      <c r="F150" s="195"/>
      <c r="G150" s="195"/>
      <c r="H150" s="195"/>
      <c r="I150" s="195"/>
      <c r="J150" s="195"/>
    </row>
    <row r="151" spans="3:10">
      <c r="C151" s="195"/>
      <c r="D151" s="195"/>
      <c r="E151" s="195"/>
      <c r="F151" s="195"/>
      <c r="G151" s="195"/>
      <c r="H151" s="195"/>
      <c r="I151" s="195"/>
      <c r="J151" s="195"/>
    </row>
    <row r="152" spans="3:10">
      <c r="C152" s="195"/>
      <c r="D152" s="195"/>
      <c r="E152" s="195"/>
      <c r="F152" s="195"/>
      <c r="G152" s="195"/>
      <c r="H152" s="195"/>
      <c r="I152" s="195"/>
      <c r="J152" s="195"/>
    </row>
    <row r="153" spans="3:10">
      <c r="C153" s="195"/>
      <c r="D153" s="195"/>
      <c r="E153" s="195"/>
      <c r="F153" s="195"/>
      <c r="G153" s="195"/>
      <c r="H153" s="195"/>
      <c r="I153" s="195"/>
      <c r="J153" s="195"/>
    </row>
    <row r="154" spans="3:10">
      <c r="C154" s="195"/>
      <c r="D154" s="195"/>
      <c r="E154" s="195"/>
      <c r="F154" s="195"/>
      <c r="G154" s="195"/>
      <c r="H154" s="195"/>
      <c r="I154" s="195"/>
      <c r="J154" s="195"/>
    </row>
    <row r="155" spans="3:10">
      <c r="C155" s="195"/>
      <c r="D155" s="195"/>
      <c r="E155" s="195"/>
      <c r="F155" s="195"/>
      <c r="G155" s="195"/>
      <c r="H155" s="195"/>
      <c r="I155" s="195"/>
      <c r="J155" s="195"/>
    </row>
    <row r="156" spans="3:10">
      <c r="C156" s="195"/>
      <c r="D156" s="195"/>
      <c r="E156" s="195"/>
      <c r="F156" s="195"/>
      <c r="G156" s="195"/>
      <c r="H156" s="195"/>
      <c r="I156" s="195"/>
      <c r="J156" s="195"/>
    </row>
    <row r="157" spans="3:10">
      <c r="C157" s="195"/>
      <c r="D157" s="195"/>
      <c r="E157" s="195"/>
      <c r="F157" s="195"/>
      <c r="G157" s="195"/>
      <c r="H157" s="195"/>
      <c r="I157" s="195"/>
      <c r="J157" s="195"/>
    </row>
    <row r="158" spans="3:10">
      <c r="C158" s="195"/>
      <c r="D158" s="195"/>
      <c r="E158" s="195"/>
      <c r="F158" s="195"/>
      <c r="G158" s="195"/>
      <c r="H158" s="195"/>
      <c r="I158" s="195"/>
      <c r="J158" s="195"/>
    </row>
    <row r="159" spans="3:10">
      <c r="C159" s="195"/>
      <c r="D159" s="195"/>
      <c r="E159" s="195"/>
      <c r="F159" s="195"/>
      <c r="G159" s="195"/>
      <c r="H159" s="195"/>
      <c r="I159" s="195"/>
      <c r="J159" s="195"/>
    </row>
    <row r="160" spans="3:10">
      <c r="C160" s="195"/>
      <c r="D160" s="195"/>
      <c r="E160" s="195"/>
      <c r="F160" s="195"/>
      <c r="G160" s="195"/>
      <c r="H160" s="195"/>
      <c r="I160" s="195"/>
      <c r="J160" s="195"/>
    </row>
    <row r="161" spans="3:10">
      <c r="C161" s="195"/>
      <c r="D161" s="195"/>
      <c r="E161" s="195"/>
      <c r="F161" s="195"/>
      <c r="G161" s="195"/>
      <c r="H161" s="195"/>
      <c r="I161" s="195"/>
      <c r="J161" s="195"/>
    </row>
    <row r="162" spans="3:10">
      <c r="C162" s="195"/>
      <c r="D162" s="195"/>
      <c r="E162" s="195"/>
      <c r="F162" s="195"/>
      <c r="G162" s="195"/>
      <c r="H162" s="195"/>
      <c r="I162" s="195"/>
      <c r="J162" s="195"/>
    </row>
    <row r="163" spans="3:10">
      <c r="C163" s="195"/>
      <c r="D163" s="195"/>
      <c r="E163" s="195"/>
      <c r="F163" s="195"/>
      <c r="G163" s="195"/>
      <c r="H163" s="195"/>
      <c r="I163" s="195"/>
      <c r="J163" s="195"/>
    </row>
    <row r="164" spans="3:10">
      <c r="C164" s="195"/>
      <c r="D164" s="195"/>
      <c r="E164" s="195"/>
      <c r="F164" s="195"/>
      <c r="G164" s="195"/>
      <c r="H164" s="195"/>
      <c r="I164" s="195"/>
      <c r="J164" s="195"/>
    </row>
    <row r="165" spans="3:10">
      <c r="C165" s="195"/>
      <c r="D165" s="195"/>
      <c r="E165" s="195"/>
      <c r="F165" s="195"/>
      <c r="G165" s="195"/>
      <c r="H165" s="195"/>
      <c r="I165" s="195"/>
      <c r="J165" s="195"/>
    </row>
    <row r="166" spans="3:10">
      <c r="C166" s="195"/>
      <c r="D166" s="195"/>
      <c r="E166" s="195"/>
      <c r="F166" s="195"/>
      <c r="G166" s="195"/>
      <c r="H166" s="195"/>
      <c r="I166" s="195"/>
      <c r="J166" s="195"/>
    </row>
    <row r="167" spans="3:10">
      <c r="C167" s="195"/>
      <c r="D167" s="195"/>
      <c r="E167" s="195"/>
      <c r="F167" s="195"/>
      <c r="G167" s="195"/>
      <c r="H167" s="195"/>
      <c r="I167" s="195"/>
      <c r="J167" s="195"/>
    </row>
    <row r="168" spans="3:10">
      <c r="C168" s="195"/>
      <c r="D168" s="195"/>
      <c r="E168" s="195"/>
      <c r="F168" s="195"/>
      <c r="G168" s="195"/>
      <c r="H168" s="195"/>
      <c r="I168" s="195"/>
      <c r="J168" s="195"/>
    </row>
    <row r="169" spans="3:10">
      <c r="C169" s="195"/>
      <c r="D169" s="195"/>
      <c r="E169" s="195"/>
      <c r="F169" s="195"/>
      <c r="G169" s="195"/>
      <c r="H169" s="195"/>
      <c r="I169" s="195"/>
      <c r="J169" s="195"/>
    </row>
    <row r="170" spans="3:10">
      <c r="C170" s="195"/>
      <c r="D170" s="195"/>
      <c r="E170" s="195"/>
      <c r="F170" s="195"/>
      <c r="G170" s="195"/>
      <c r="H170" s="195"/>
      <c r="I170" s="195"/>
      <c r="J170" s="195"/>
    </row>
    <row r="171" spans="3:10">
      <c r="C171" s="195"/>
      <c r="D171" s="195"/>
      <c r="E171" s="195"/>
      <c r="F171" s="195"/>
      <c r="G171" s="195"/>
      <c r="H171" s="195"/>
      <c r="I171" s="195"/>
      <c r="J171" s="195"/>
    </row>
    <row r="172" spans="3:10">
      <c r="C172" s="195"/>
      <c r="D172" s="195"/>
      <c r="E172" s="195"/>
      <c r="F172" s="195"/>
      <c r="G172" s="195"/>
      <c r="H172" s="195"/>
      <c r="I172" s="195"/>
      <c r="J172" s="195"/>
    </row>
    <row r="173" spans="3:10">
      <c r="C173" s="195"/>
      <c r="D173" s="195"/>
      <c r="E173" s="195"/>
      <c r="F173" s="195"/>
      <c r="G173" s="195"/>
      <c r="H173" s="195"/>
      <c r="I173" s="195"/>
      <c r="J173" s="195"/>
    </row>
    <row r="174" spans="3:10">
      <c r="C174" s="195"/>
      <c r="D174" s="195"/>
      <c r="E174" s="195"/>
      <c r="F174" s="195"/>
      <c r="G174" s="195"/>
      <c r="H174" s="195"/>
      <c r="I174" s="195"/>
      <c r="J174" s="195"/>
    </row>
    <row r="175" spans="3:10">
      <c r="C175" s="195"/>
      <c r="D175" s="195"/>
      <c r="E175" s="195"/>
      <c r="F175" s="195"/>
      <c r="G175" s="195"/>
      <c r="H175" s="195"/>
      <c r="I175" s="195"/>
      <c r="J175" s="195"/>
    </row>
    <row r="176" spans="3:10">
      <c r="C176" s="195"/>
      <c r="D176" s="195"/>
      <c r="E176" s="195"/>
      <c r="F176" s="195"/>
      <c r="G176" s="195"/>
      <c r="H176" s="195"/>
      <c r="I176" s="195"/>
      <c r="J176" s="195"/>
    </row>
    <row r="177" spans="3:10">
      <c r="C177" s="195"/>
      <c r="D177" s="195"/>
      <c r="E177" s="195"/>
      <c r="F177" s="195"/>
      <c r="G177" s="195"/>
      <c r="H177" s="195"/>
      <c r="I177" s="195"/>
      <c r="J177" s="195"/>
    </row>
    <row r="178" spans="3:10">
      <c r="C178" s="195"/>
      <c r="D178" s="195"/>
      <c r="E178" s="195"/>
      <c r="F178" s="195"/>
      <c r="G178" s="195"/>
      <c r="H178" s="195"/>
      <c r="I178" s="195"/>
      <c r="J178" s="195"/>
    </row>
    <row r="179" spans="3:10">
      <c r="C179" s="195"/>
      <c r="D179" s="195"/>
      <c r="E179" s="195"/>
      <c r="F179" s="195"/>
      <c r="G179" s="195"/>
      <c r="H179" s="195"/>
      <c r="I179" s="195"/>
      <c r="J179" s="195"/>
    </row>
    <row r="180" spans="3:10">
      <c r="C180" s="195"/>
      <c r="D180" s="195"/>
      <c r="E180" s="195"/>
      <c r="F180" s="195"/>
      <c r="G180" s="195"/>
      <c r="H180" s="195"/>
      <c r="I180" s="195"/>
      <c r="J180" s="195"/>
    </row>
    <row r="181" spans="3:10">
      <c r="C181" s="195"/>
      <c r="D181" s="195"/>
      <c r="E181" s="195"/>
      <c r="F181" s="195"/>
      <c r="G181" s="195"/>
      <c r="H181" s="195"/>
      <c r="I181" s="195"/>
      <c r="J181" s="195"/>
    </row>
    <row r="182" spans="3:10">
      <c r="C182" s="195"/>
      <c r="D182" s="195"/>
      <c r="E182" s="195"/>
      <c r="F182" s="195"/>
      <c r="G182" s="195"/>
      <c r="H182" s="195"/>
      <c r="I182" s="195"/>
      <c r="J182" s="195"/>
    </row>
    <row r="183" spans="3:10">
      <c r="C183" s="195"/>
      <c r="D183" s="195"/>
      <c r="E183" s="195"/>
      <c r="F183" s="195"/>
      <c r="G183" s="195"/>
      <c r="H183" s="195"/>
      <c r="I183" s="195"/>
      <c r="J183" s="195"/>
    </row>
    <row r="184" spans="3:10">
      <c r="C184" s="195"/>
      <c r="D184" s="195"/>
      <c r="E184" s="195"/>
      <c r="F184" s="195"/>
      <c r="G184" s="195"/>
      <c r="H184" s="195"/>
      <c r="I184" s="195"/>
      <c r="J184" s="195"/>
    </row>
    <row r="185" spans="3:10">
      <c r="C185" s="195"/>
      <c r="D185" s="195"/>
      <c r="E185" s="195"/>
      <c r="F185" s="195"/>
      <c r="G185" s="195"/>
      <c r="H185" s="195"/>
      <c r="I185" s="195"/>
      <c r="J185" s="195"/>
    </row>
    <row r="186" spans="3:10">
      <c r="C186" s="195"/>
      <c r="D186" s="195"/>
      <c r="E186" s="195"/>
      <c r="F186" s="195"/>
      <c r="G186" s="195"/>
      <c r="H186" s="195"/>
      <c r="I186" s="195"/>
      <c r="J186" s="195"/>
    </row>
    <row r="187" spans="3:10">
      <c r="C187" s="195"/>
      <c r="D187" s="195"/>
      <c r="E187" s="195"/>
      <c r="F187" s="195"/>
      <c r="G187" s="195"/>
      <c r="H187" s="195"/>
      <c r="I187" s="195"/>
      <c r="J187" s="195"/>
    </row>
    <row r="188" spans="3:10">
      <c r="C188" s="195"/>
      <c r="D188" s="195"/>
      <c r="E188" s="195"/>
      <c r="F188" s="195"/>
      <c r="G188" s="195"/>
      <c r="H188" s="195"/>
      <c r="I188" s="195"/>
      <c r="J188" s="195"/>
    </row>
    <row r="189" spans="3:10">
      <c r="C189" s="195"/>
      <c r="D189" s="195"/>
      <c r="E189" s="195"/>
      <c r="F189" s="195"/>
      <c r="G189" s="195"/>
      <c r="H189" s="195"/>
      <c r="I189" s="195"/>
      <c r="J189" s="195"/>
    </row>
    <row r="190" spans="3:10">
      <c r="C190" s="195"/>
      <c r="D190" s="195"/>
      <c r="E190" s="195"/>
      <c r="F190" s="195"/>
      <c r="G190" s="195"/>
      <c r="H190" s="195"/>
      <c r="I190" s="195"/>
      <c r="J190" s="195"/>
    </row>
    <row r="191" spans="3:10">
      <c r="C191" s="195"/>
      <c r="D191" s="195"/>
      <c r="E191" s="195"/>
      <c r="F191" s="195"/>
      <c r="G191" s="195"/>
      <c r="H191" s="195"/>
      <c r="I191" s="195"/>
      <c r="J191" s="195"/>
    </row>
    <row r="192" spans="3:10">
      <c r="C192" s="195"/>
      <c r="D192" s="195"/>
      <c r="E192" s="195"/>
      <c r="F192" s="195"/>
      <c r="G192" s="195"/>
      <c r="H192" s="195"/>
      <c r="I192" s="195"/>
      <c r="J192" s="195"/>
    </row>
    <row r="193" spans="3:10">
      <c r="C193" s="195"/>
      <c r="D193" s="195"/>
      <c r="E193" s="195"/>
      <c r="F193" s="195"/>
      <c r="G193" s="195"/>
      <c r="H193" s="195"/>
      <c r="I193" s="195"/>
      <c r="J193" s="195"/>
    </row>
    <row r="194" spans="3:10">
      <c r="C194" s="195"/>
      <c r="D194" s="195"/>
      <c r="E194" s="195"/>
      <c r="F194" s="195"/>
      <c r="G194" s="195"/>
      <c r="H194" s="195"/>
      <c r="I194" s="195"/>
      <c r="J194" s="195"/>
    </row>
    <row r="195" spans="3:10">
      <c r="C195" s="195"/>
      <c r="D195" s="195"/>
      <c r="E195" s="195"/>
      <c r="F195" s="195"/>
      <c r="G195" s="195"/>
      <c r="H195" s="195"/>
      <c r="I195" s="195"/>
      <c r="J195" s="195"/>
    </row>
    <row r="196" spans="3:10">
      <c r="C196" s="195"/>
      <c r="D196" s="195"/>
      <c r="E196" s="195"/>
      <c r="F196" s="195"/>
      <c r="G196" s="195"/>
      <c r="H196" s="195"/>
      <c r="I196" s="195"/>
      <c r="J196" s="195"/>
    </row>
    <row r="197" spans="3:10">
      <c r="C197" s="195"/>
      <c r="D197" s="195"/>
      <c r="E197" s="195"/>
      <c r="F197" s="195"/>
      <c r="G197" s="195"/>
      <c r="H197" s="195"/>
      <c r="I197" s="195"/>
      <c r="J197" s="195"/>
    </row>
    <row r="198" spans="3:10">
      <c r="C198" s="195"/>
      <c r="D198" s="195"/>
      <c r="E198" s="195"/>
      <c r="F198" s="195"/>
      <c r="G198" s="195"/>
      <c r="H198" s="195"/>
      <c r="I198" s="195"/>
      <c r="J198" s="195"/>
    </row>
    <row r="199" spans="3:10">
      <c r="C199" s="195"/>
      <c r="D199" s="195"/>
      <c r="E199" s="195"/>
      <c r="F199" s="195"/>
      <c r="G199" s="195"/>
      <c r="H199" s="195"/>
      <c r="I199" s="195"/>
      <c r="J199" s="195"/>
    </row>
    <row r="200" spans="3:10">
      <c r="C200" s="195"/>
      <c r="D200" s="195"/>
      <c r="E200" s="195"/>
      <c r="F200" s="195"/>
      <c r="G200" s="195"/>
      <c r="H200" s="195"/>
      <c r="I200" s="195"/>
      <c r="J200" s="195"/>
    </row>
    <row r="201" spans="3:10">
      <c r="C201" s="195"/>
      <c r="D201" s="195"/>
      <c r="E201" s="195"/>
      <c r="F201" s="195"/>
      <c r="G201" s="195"/>
      <c r="H201" s="195"/>
      <c r="I201" s="195"/>
      <c r="J201" s="195"/>
    </row>
    <row r="202" spans="3:10">
      <c r="C202" s="195"/>
      <c r="D202" s="195"/>
      <c r="E202" s="195"/>
      <c r="F202" s="195"/>
      <c r="G202" s="195"/>
      <c r="H202" s="195"/>
      <c r="I202" s="195"/>
      <c r="J202" s="195"/>
    </row>
    <row r="203" spans="3:10">
      <c r="C203" s="195"/>
      <c r="D203" s="195"/>
      <c r="E203" s="195"/>
      <c r="F203" s="195"/>
      <c r="G203" s="195"/>
      <c r="H203" s="195"/>
      <c r="I203" s="195"/>
      <c r="J203" s="195"/>
    </row>
    <row r="204" spans="3:10">
      <c r="C204" s="195"/>
      <c r="D204" s="195"/>
      <c r="E204" s="195"/>
      <c r="F204" s="195"/>
      <c r="G204" s="195"/>
      <c r="H204" s="195"/>
      <c r="I204" s="195"/>
      <c r="J204" s="195"/>
    </row>
    <row r="205" spans="3:10">
      <c r="C205" s="195"/>
      <c r="D205" s="195"/>
      <c r="E205" s="195"/>
      <c r="F205" s="195"/>
      <c r="G205" s="195"/>
      <c r="H205" s="195"/>
      <c r="I205" s="195"/>
      <c r="J205" s="195"/>
    </row>
    <row r="206" spans="3:10">
      <c r="C206" s="195"/>
      <c r="D206" s="195"/>
      <c r="E206" s="195"/>
      <c r="F206" s="195"/>
      <c r="G206" s="195"/>
      <c r="H206" s="195"/>
      <c r="I206" s="195"/>
      <c r="J206" s="195"/>
    </row>
    <row r="207" spans="3:10">
      <c r="C207" s="195"/>
      <c r="D207" s="195"/>
      <c r="E207" s="195"/>
      <c r="F207" s="195"/>
      <c r="G207" s="195"/>
      <c r="H207" s="195"/>
      <c r="I207" s="195"/>
      <c r="J207" s="195"/>
    </row>
    <row r="208" spans="3:10">
      <c r="C208" s="195"/>
      <c r="D208" s="195"/>
      <c r="E208" s="195"/>
      <c r="F208" s="195"/>
      <c r="G208" s="195"/>
      <c r="H208" s="195"/>
      <c r="I208" s="195"/>
      <c r="J208" s="195"/>
    </row>
    <row r="209" spans="3:10">
      <c r="C209" s="195"/>
      <c r="D209" s="195"/>
      <c r="E209" s="195"/>
      <c r="F209" s="195"/>
      <c r="G209" s="195"/>
      <c r="H209" s="195"/>
      <c r="I209" s="195"/>
      <c r="J209" s="195"/>
    </row>
    <row r="210" spans="3:10">
      <c r="C210" s="195"/>
      <c r="D210" s="195"/>
      <c r="E210" s="195"/>
      <c r="F210" s="195"/>
      <c r="G210" s="195"/>
      <c r="H210" s="195"/>
      <c r="I210" s="195"/>
      <c r="J210" s="195"/>
    </row>
    <row r="211" spans="3:10">
      <c r="C211" s="195"/>
      <c r="D211" s="195"/>
      <c r="E211" s="195"/>
      <c r="F211" s="195"/>
      <c r="G211" s="195"/>
      <c r="H211" s="195"/>
      <c r="I211" s="195"/>
      <c r="J211" s="195"/>
    </row>
    <row r="212" spans="3:10">
      <c r="C212" s="195"/>
      <c r="D212" s="195"/>
      <c r="E212" s="195"/>
      <c r="F212" s="195"/>
      <c r="G212" s="195"/>
      <c r="H212" s="195"/>
      <c r="I212" s="195"/>
      <c r="J212" s="195"/>
    </row>
    <row r="213" spans="3:10">
      <c r="C213" s="195"/>
      <c r="D213" s="195"/>
      <c r="E213" s="195"/>
      <c r="F213" s="195"/>
      <c r="G213" s="195"/>
      <c r="H213" s="195"/>
      <c r="I213" s="195"/>
      <c r="J213" s="195"/>
    </row>
    <row r="214" spans="3:10">
      <c r="C214" s="195"/>
      <c r="D214" s="195"/>
      <c r="E214" s="195"/>
      <c r="F214" s="195"/>
      <c r="G214" s="195"/>
      <c r="H214" s="195"/>
      <c r="I214" s="195"/>
      <c r="J214" s="195"/>
    </row>
    <row r="215" spans="3:10">
      <c r="C215" s="195"/>
      <c r="D215" s="195"/>
      <c r="E215" s="195"/>
      <c r="F215" s="195"/>
      <c r="G215" s="195"/>
      <c r="H215" s="195"/>
      <c r="I215" s="195"/>
      <c r="J215" s="195"/>
    </row>
    <row r="216" spans="3:10">
      <c r="C216" s="195"/>
      <c r="D216" s="195"/>
      <c r="E216" s="195"/>
      <c r="F216" s="195"/>
      <c r="G216" s="195"/>
      <c r="H216" s="195"/>
      <c r="I216" s="195"/>
      <c r="J216" s="195"/>
    </row>
    <row r="217" spans="3:10">
      <c r="C217" s="195"/>
      <c r="D217" s="195"/>
      <c r="E217" s="195"/>
      <c r="F217" s="195"/>
      <c r="G217" s="195"/>
      <c r="H217" s="195"/>
      <c r="I217" s="195"/>
      <c r="J217" s="195"/>
    </row>
    <row r="218" spans="3:10">
      <c r="C218" s="195"/>
      <c r="D218" s="195"/>
      <c r="E218" s="195"/>
      <c r="F218" s="195"/>
      <c r="G218" s="195"/>
      <c r="H218" s="195"/>
      <c r="I218" s="195"/>
      <c r="J218" s="195"/>
    </row>
    <row r="219" spans="3:10">
      <c r="C219" s="195"/>
      <c r="D219" s="195"/>
      <c r="E219" s="195"/>
      <c r="F219" s="195"/>
      <c r="G219" s="195"/>
      <c r="H219" s="195"/>
      <c r="I219" s="195"/>
      <c r="J219" s="195"/>
    </row>
    <row r="220" spans="3:10">
      <c r="C220" s="195"/>
      <c r="D220" s="195"/>
      <c r="E220" s="195"/>
      <c r="F220" s="195"/>
      <c r="G220" s="195"/>
      <c r="H220" s="195"/>
      <c r="I220" s="195"/>
      <c r="J220" s="195"/>
    </row>
    <row r="221" spans="3:10">
      <c r="C221" s="195"/>
      <c r="D221" s="195"/>
      <c r="E221" s="195"/>
      <c r="F221" s="195"/>
      <c r="G221" s="195"/>
      <c r="H221" s="195"/>
      <c r="I221" s="195"/>
      <c r="J221" s="195"/>
    </row>
    <row r="222" spans="3:10">
      <c r="C222" s="195"/>
      <c r="D222" s="195"/>
      <c r="E222" s="195"/>
      <c r="F222" s="195"/>
      <c r="G222" s="195"/>
      <c r="H222" s="195"/>
      <c r="I222" s="195"/>
      <c r="J222" s="195"/>
    </row>
    <row r="223" spans="3:10">
      <c r="C223" s="195"/>
      <c r="D223" s="195"/>
      <c r="E223" s="195"/>
      <c r="F223" s="195"/>
      <c r="G223" s="195"/>
      <c r="H223" s="195"/>
      <c r="I223" s="195"/>
      <c r="J223" s="195"/>
    </row>
    <row r="224" spans="3:10">
      <c r="C224" s="195"/>
      <c r="D224" s="195"/>
      <c r="E224" s="195"/>
      <c r="F224" s="195"/>
      <c r="G224" s="195"/>
      <c r="H224" s="195"/>
      <c r="I224" s="195"/>
      <c r="J224" s="195"/>
    </row>
    <row r="225" spans="3:10">
      <c r="C225" s="195"/>
      <c r="D225" s="195"/>
      <c r="E225" s="195"/>
      <c r="F225" s="195"/>
      <c r="G225" s="195"/>
      <c r="H225" s="195"/>
      <c r="I225" s="195"/>
      <c r="J225" s="195"/>
    </row>
    <row r="226" spans="3:10">
      <c r="C226" s="195"/>
      <c r="D226" s="195"/>
      <c r="E226" s="195"/>
      <c r="F226" s="195"/>
      <c r="G226" s="195"/>
      <c r="H226" s="195"/>
      <c r="I226" s="195"/>
      <c r="J226" s="195"/>
    </row>
    <row r="227" spans="3:10">
      <c r="C227" s="195"/>
      <c r="D227" s="195"/>
      <c r="E227" s="195"/>
      <c r="F227" s="195"/>
      <c r="G227" s="195"/>
      <c r="H227" s="195"/>
      <c r="I227" s="195"/>
      <c r="J227" s="195"/>
    </row>
    <row r="228" spans="3:10">
      <c r="C228" s="195"/>
      <c r="D228" s="195"/>
      <c r="E228" s="195"/>
      <c r="F228" s="195"/>
      <c r="G228" s="195"/>
      <c r="H228" s="195"/>
      <c r="I228" s="195"/>
      <c r="J228" s="195"/>
    </row>
    <row r="229" spans="3:10">
      <c r="C229" s="195"/>
      <c r="D229" s="195"/>
      <c r="E229" s="195"/>
      <c r="F229" s="195"/>
      <c r="G229" s="195"/>
      <c r="H229" s="195"/>
      <c r="I229" s="195"/>
      <c r="J229" s="195"/>
    </row>
    <row r="230" spans="3:10">
      <c r="C230" s="195"/>
      <c r="D230" s="195"/>
      <c r="E230" s="195"/>
      <c r="F230" s="195"/>
      <c r="G230" s="195"/>
      <c r="H230" s="195"/>
      <c r="I230" s="195"/>
      <c r="J230" s="195"/>
    </row>
    <row r="231" spans="3:10">
      <c r="C231" s="195"/>
      <c r="D231" s="195"/>
      <c r="E231" s="195"/>
      <c r="F231" s="195"/>
      <c r="G231" s="195"/>
      <c r="H231" s="195"/>
      <c r="I231" s="195"/>
      <c r="J231" s="195"/>
    </row>
    <row r="232" spans="3:10">
      <c r="C232" s="195"/>
      <c r="D232" s="195"/>
      <c r="E232" s="195"/>
      <c r="F232" s="195"/>
      <c r="G232" s="195"/>
      <c r="H232" s="195"/>
      <c r="I232" s="195"/>
      <c r="J232" s="195"/>
    </row>
    <row r="233" spans="3:10">
      <c r="C233" s="195"/>
      <c r="D233" s="195"/>
      <c r="E233" s="195"/>
      <c r="F233" s="195"/>
      <c r="G233" s="195"/>
      <c r="H233" s="195"/>
      <c r="I233" s="195"/>
      <c r="J233" s="195"/>
    </row>
    <row r="234" spans="3:10">
      <c r="C234" s="195"/>
      <c r="D234" s="195"/>
      <c r="E234" s="195"/>
      <c r="F234" s="195"/>
      <c r="G234" s="195"/>
      <c r="H234" s="195"/>
      <c r="I234" s="195"/>
      <c r="J234" s="195"/>
    </row>
    <row r="235" spans="3:10">
      <c r="C235" s="195"/>
      <c r="D235" s="195"/>
      <c r="E235" s="195"/>
      <c r="F235" s="195"/>
      <c r="G235" s="195"/>
      <c r="H235" s="195"/>
      <c r="I235" s="195"/>
      <c r="J235" s="195"/>
    </row>
    <row r="236" spans="3:10">
      <c r="C236" s="195"/>
      <c r="D236" s="195"/>
      <c r="E236" s="195"/>
      <c r="F236" s="195"/>
      <c r="G236" s="195"/>
      <c r="H236" s="195"/>
      <c r="I236" s="195"/>
      <c r="J236" s="195"/>
    </row>
    <row r="237" spans="3:10">
      <c r="C237" s="195"/>
      <c r="D237" s="195"/>
      <c r="E237" s="195"/>
      <c r="F237" s="195"/>
      <c r="G237" s="195"/>
      <c r="H237" s="195"/>
      <c r="I237" s="195"/>
      <c r="J237" s="195"/>
    </row>
    <row r="238" spans="3:10">
      <c r="C238" s="195"/>
      <c r="D238" s="195"/>
      <c r="E238" s="195"/>
      <c r="F238" s="195"/>
      <c r="G238" s="195"/>
      <c r="H238" s="195"/>
      <c r="I238" s="195"/>
      <c r="J238" s="195"/>
    </row>
    <row r="239" spans="3:10">
      <c r="C239" s="195"/>
      <c r="D239" s="195"/>
      <c r="E239" s="195"/>
      <c r="F239" s="195"/>
      <c r="G239" s="195"/>
      <c r="H239" s="195"/>
      <c r="I239" s="195"/>
      <c r="J239" s="195"/>
    </row>
    <row r="240" spans="3:10">
      <c r="C240" s="195"/>
      <c r="D240" s="195"/>
      <c r="E240" s="195"/>
      <c r="F240" s="195"/>
      <c r="G240" s="195"/>
      <c r="H240" s="195"/>
      <c r="I240" s="195"/>
      <c r="J240" s="195"/>
    </row>
    <row r="241" spans="3:10">
      <c r="C241" s="195"/>
      <c r="D241" s="195"/>
      <c r="E241" s="195"/>
      <c r="F241" s="195"/>
      <c r="G241" s="195"/>
      <c r="H241" s="195"/>
      <c r="I241" s="195"/>
      <c r="J241" s="195"/>
    </row>
    <row r="242" spans="3:10">
      <c r="C242" s="195"/>
      <c r="D242" s="195"/>
      <c r="E242" s="195"/>
      <c r="F242" s="195"/>
      <c r="G242" s="195"/>
      <c r="H242" s="195"/>
      <c r="I242" s="195"/>
      <c r="J242" s="195"/>
    </row>
    <row r="243" spans="3:10">
      <c r="C243" s="195"/>
      <c r="D243" s="195"/>
      <c r="E243" s="195"/>
      <c r="F243" s="195"/>
      <c r="G243" s="195"/>
      <c r="H243" s="195"/>
      <c r="I243" s="195"/>
      <c r="J243" s="195"/>
    </row>
    <row r="244" spans="3:10">
      <c r="C244" s="195"/>
      <c r="D244" s="195"/>
      <c r="E244" s="195"/>
      <c r="F244" s="195"/>
      <c r="G244" s="195"/>
      <c r="H244" s="195"/>
      <c r="I244" s="195"/>
      <c r="J244" s="195"/>
    </row>
    <row r="245" spans="3:10">
      <c r="C245" s="195"/>
      <c r="D245" s="195"/>
      <c r="E245" s="195"/>
      <c r="F245" s="195"/>
      <c r="G245" s="195"/>
      <c r="H245" s="195"/>
      <c r="I245" s="195"/>
      <c r="J245" s="195"/>
    </row>
    <row r="246" spans="3:10">
      <c r="C246" s="195"/>
      <c r="D246" s="195"/>
      <c r="E246" s="195"/>
      <c r="F246" s="195"/>
      <c r="G246" s="195"/>
      <c r="H246" s="195"/>
      <c r="I246" s="195"/>
      <c r="J246" s="195"/>
    </row>
    <row r="247" spans="3:10">
      <c r="C247" s="195"/>
      <c r="D247" s="195"/>
      <c r="E247" s="195"/>
      <c r="F247" s="195"/>
      <c r="G247" s="195"/>
      <c r="H247" s="195"/>
      <c r="I247" s="195"/>
      <c r="J247" s="195"/>
    </row>
    <row r="248" spans="3:10">
      <c r="C248" s="195"/>
      <c r="D248" s="195"/>
      <c r="E248" s="195"/>
      <c r="F248" s="195"/>
      <c r="G248" s="195"/>
      <c r="H248" s="195"/>
      <c r="I248" s="195"/>
      <c r="J248" s="195"/>
    </row>
    <row r="249" spans="3:10">
      <c r="C249" s="195"/>
      <c r="D249" s="195"/>
      <c r="E249" s="195"/>
      <c r="F249" s="195"/>
      <c r="G249" s="195"/>
      <c r="H249" s="195"/>
      <c r="I249" s="195"/>
      <c r="J249" s="195"/>
    </row>
    <row r="250" spans="3:10">
      <c r="C250" s="195"/>
      <c r="D250" s="195"/>
      <c r="E250" s="195"/>
      <c r="F250" s="195"/>
      <c r="G250" s="195"/>
      <c r="H250" s="195"/>
      <c r="I250" s="195"/>
      <c r="J250" s="195"/>
    </row>
    <row r="251" spans="3:10">
      <c r="C251" s="195"/>
      <c r="D251" s="195"/>
      <c r="E251" s="195"/>
      <c r="F251" s="195"/>
      <c r="G251" s="195"/>
      <c r="H251" s="195"/>
      <c r="I251" s="195"/>
      <c r="J251" s="195"/>
    </row>
    <row r="252" spans="3:10">
      <c r="C252" s="195"/>
      <c r="D252" s="195"/>
      <c r="E252" s="195"/>
      <c r="F252" s="195"/>
      <c r="G252" s="195"/>
      <c r="H252" s="195"/>
      <c r="I252" s="195"/>
      <c r="J252" s="195"/>
    </row>
    <row r="253" spans="3:10">
      <c r="C253" s="195"/>
      <c r="D253" s="195"/>
      <c r="E253" s="195"/>
      <c r="F253" s="195"/>
      <c r="G253" s="195"/>
      <c r="H253" s="195"/>
      <c r="I253" s="195"/>
      <c r="J253" s="195"/>
    </row>
    <row r="254" spans="3:10">
      <c r="C254" s="195"/>
      <c r="D254" s="195"/>
      <c r="E254" s="195"/>
      <c r="F254" s="195"/>
      <c r="G254" s="195"/>
      <c r="H254" s="195"/>
      <c r="I254" s="195"/>
      <c r="J254" s="195"/>
    </row>
    <row r="255" spans="3:10">
      <c r="C255" s="195"/>
      <c r="D255" s="195"/>
      <c r="E255" s="195"/>
      <c r="F255" s="195"/>
      <c r="G255" s="195"/>
      <c r="H255" s="195"/>
      <c r="I255" s="195"/>
      <c r="J255" s="195"/>
    </row>
    <row r="256" spans="3:10">
      <c r="C256" s="195"/>
      <c r="D256" s="195"/>
      <c r="E256" s="195"/>
      <c r="F256" s="195"/>
      <c r="G256" s="195"/>
      <c r="H256" s="195"/>
      <c r="I256" s="195"/>
      <c r="J256" s="195"/>
    </row>
    <row r="257" spans="3:10">
      <c r="C257" s="195"/>
      <c r="D257" s="195"/>
      <c r="E257" s="195"/>
      <c r="F257" s="195"/>
      <c r="G257" s="195"/>
      <c r="H257" s="195"/>
      <c r="I257" s="195"/>
      <c r="J257" s="195"/>
    </row>
    <row r="258" spans="3:10">
      <c r="C258" s="195"/>
      <c r="D258" s="195"/>
      <c r="E258" s="195"/>
      <c r="F258" s="195"/>
      <c r="G258" s="195"/>
      <c r="H258" s="195"/>
      <c r="I258" s="195"/>
      <c r="J258" s="195"/>
    </row>
    <row r="259" spans="3:10">
      <c r="C259" s="195"/>
      <c r="D259" s="195"/>
      <c r="E259" s="195"/>
      <c r="F259" s="195"/>
      <c r="G259" s="195"/>
      <c r="H259" s="195"/>
      <c r="I259" s="195"/>
      <c r="J259" s="195"/>
    </row>
    <row r="260" spans="3:10">
      <c r="C260" s="195"/>
      <c r="D260" s="195"/>
      <c r="E260" s="195"/>
      <c r="F260" s="195"/>
      <c r="G260" s="195"/>
      <c r="H260" s="195"/>
      <c r="I260" s="195"/>
      <c r="J260" s="195"/>
    </row>
    <row r="261" spans="3:10">
      <c r="C261" s="195"/>
      <c r="D261" s="195"/>
      <c r="E261" s="195"/>
      <c r="F261" s="195"/>
      <c r="G261" s="195"/>
      <c r="H261" s="195"/>
      <c r="I261" s="195"/>
      <c r="J261" s="195"/>
    </row>
    <row r="262" spans="3:10">
      <c r="C262" s="195"/>
      <c r="D262" s="195"/>
      <c r="E262" s="195"/>
      <c r="F262" s="195"/>
      <c r="G262" s="195"/>
      <c r="H262" s="195"/>
      <c r="I262" s="195"/>
      <c r="J262" s="195"/>
    </row>
    <row r="263" spans="3:10">
      <c r="C263" s="195"/>
      <c r="D263" s="195"/>
      <c r="E263" s="195"/>
      <c r="F263" s="195"/>
      <c r="G263" s="195"/>
      <c r="H263" s="195"/>
      <c r="I263" s="195"/>
      <c r="J263" s="195"/>
    </row>
    <row r="264" spans="3:10">
      <c r="C264" s="195"/>
      <c r="D264" s="195"/>
      <c r="E264" s="195"/>
      <c r="F264" s="195"/>
      <c r="G264" s="195"/>
      <c r="H264" s="195"/>
      <c r="I264" s="195"/>
      <c r="J264" s="195"/>
    </row>
    <row r="265" spans="3:10">
      <c r="C265" s="195"/>
      <c r="D265" s="195"/>
      <c r="E265" s="195"/>
      <c r="F265" s="195"/>
      <c r="G265" s="195"/>
      <c r="H265" s="195"/>
      <c r="I265" s="195"/>
      <c r="J265" s="195"/>
    </row>
    <row r="266" spans="3:10">
      <c r="C266" s="195"/>
      <c r="D266" s="195"/>
      <c r="E266" s="195"/>
      <c r="F266" s="195"/>
      <c r="G266" s="195"/>
      <c r="H266" s="195"/>
      <c r="I266" s="195"/>
      <c r="J266" s="195"/>
    </row>
    <row r="267" spans="3:10">
      <c r="C267" s="195"/>
      <c r="D267" s="195"/>
      <c r="E267" s="195"/>
      <c r="F267" s="195"/>
      <c r="G267" s="195"/>
      <c r="H267" s="195"/>
      <c r="I267" s="195"/>
      <c r="J267" s="195"/>
    </row>
    <row r="268" spans="3:10">
      <c r="C268" s="195"/>
      <c r="D268" s="195"/>
      <c r="E268" s="195"/>
      <c r="F268" s="195"/>
      <c r="G268" s="195"/>
      <c r="H268" s="195"/>
      <c r="I268" s="195"/>
      <c r="J268" s="195"/>
    </row>
    <row r="269" spans="3:10">
      <c r="C269" s="195"/>
      <c r="D269" s="195"/>
      <c r="E269" s="195"/>
      <c r="F269" s="195"/>
      <c r="G269" s="195"/>
      <c r="H269" s="195"/>
      <c r="I269" s="195"/>
      <c r="J269" s="195"/>
    </row>
    <row r="270" spans="3:10">
      <c r="C270" s="195"/>
      <c r="D270" s="195"/>
      <c r="E270" s="195"/>
      <c r="F270" s="195"/>
      <c r="G270" s="195"/>
      <c r="H270" s="195"/>
      <c r="I270" s="195"/>
      <c r="J270" s="195"/>
    </row>
    <row r="271" spans="3:10">
      <c r="C271" s="195"/>
      <c r="D271" s="195"/>
      <c r="E271" s="195"/>
      <c r="F271" s="195"/>
      <c r="G271" s="195"/>
      <c r="H271" s="195"/>
      <c r="I271" s="195"/>
      <c r="J271" s="195"/>
    </row>
    <row r="272" spans="3:10">
      <c r="C272" s="195"/>
      <c r="D272" s="195"/>
      <c r="E272" s="195"/>
      <c r="F272" s="195"/>
      <c r="G272" s="195"/>
      <c r="H272" s="195"/>
      <c r="I272" s="195"/>
      <c r="J272" s="195"/>
    </row>
    <row r="273" spans="3:10">
      <c r="C273" s="195"/>
      <c r="D273" s="195"/>
      <c r="E273" s="195"/>
      <c r="F273" s="195"/>
      <c r="G273" s="195"/>
      <c r="H273" s="195"/>
      <c r="I273" s="195"/>
      <c r="J273" s="195"/>
    </row>
    <row r="274" spans="3:10">
      <c r="C274" s="195"/>
      <c r="D274" s="195"/>
      <c r="E274" s="195"/>
      <c r="F274" s="195"/>
      <c r="G274" s="195"/>
      <c r="H274" s="195"/>
      <c r="I274" s="195"/>
      <c r="J274" s="195"/>
    </row>
    <row r="275" spans="3:10">
      <c r="C275" s="195"/>
      <c r="D275" s="195"/>
      <c r="E275" s="195"/>
      <c r="F275" s="195"/>
      <c r="G275" s="195"/>
      <c r="H275" s="195"/>
      <c r="I275" s="195"/>
      <c r="J275" s="195"/>
    </row>
    <row r="276" spans="3:10">
      <c r="C276" s="195"/>
      <c r="D276" s="195"/>
      <c r="E276" s="195"/>
      <c r="F276" s="195"/>
      <c r="G276" s="195"/>
      <c r="H276" s="195"/>
      <c r="I276" s="195"/>
      <c r="J276" s="195"/>
    </row>
    <row r="277" spans="3:10">
      <c r="C277" s="195"/>
      <c r="D277" s="195"/>
      <c r="E277" s="195"/>
      <c r="F277" s="195"/>
      <c r="G277" s="195"/>
      <c r="H277" s="195"/>
      <c r="I277" s="195"/>
      <c r="J277" s="195"/>
    </row>
    <row r="278" spans="3:10">
      <c r="C278" s="195"/>
      <c r="D278" s="195"/>
      <c r="E278" s="195"/>
      <c r="F278" s="195"/>
      <c r="G278" s="195"/>
      <c r="H278" s="195"/>
      <c r="I278" s="195"/>
      <c r="J278" s="195"/>
    </row>
    <row r="279" spans="3:10">
      <c r="C279" s="195"/>
      <c r="D279" s="195"/>
      <c r="E279" s="195"/>
      <c r="F279" s="195"/>
      <c r="G279" s="195"/>
      <c r="H279" s="195"/>
      <c r="I279" s="195"/>
      <c r="J279" s="195"/>
    </row>
    <row r="280" spans="3:10">
      <c r="C280" s="195"/>
      <c r="D280" s="195"/>
      <c r="E280" s="195"/>
      <c r="F280" s="195"/>
      <c r="G280" s="195"/>
      <c r="H280" s="195"/>
      <c r="I280" s="195"/>
      <c r="J280" s="195"/>
    </row>
    <row r="281" spans="3:10">
      <c r="C281" s="195"/>
      <c r="D281" s="195"/>
      <c r="E281" s="195"/>
      <c r="F281" s="195"/>
      <c r="G281" s="195"/>
      <c r="H281" s="195"/>
      <c r="I281" s="195"/>
      <c r="J281" s="195"/>
    </row>
    <row r="282" spans="3:10">
      <c r="C282" s="195"/>
      <c r="D282" s="195"/>
      <c r="E282" s="195"/>
      <c r="F282" s="195"/>
      <c r="G282" s="195"/>
      <c r="H282" s="195"/>
      <c r="I282" s="195"/>
      <c r="J282" s="195"/>
    </row>
    <row r="283" spans="3:10">
      <c r="C283" s="195"/>
      <c r="D283" s="195"/>
      <c r="E283" s="195"/>
      <c r="F283" s="195"/>
      <c r="G283" s="195"/>
      <c r="H283" s="195"/>
      <c r="I283" s="195"/>
      <c r="J283" s="195"/>
    </row>
    <row r="284" spans="3:10">
      <c r="C284" s="195"/>
      <c r="D284" s="195"/>
      <c r="E284" s="195"/>
      <c r="F284" s="195"/>
      <c r="G284" s="195"/>
      <c r="H284" s="195"/>
      <c r="I284" s="195"/>
      <c r="J284" s="195"/>
    </row>
    <row r="285" spans="3:10">
      <c r="C285" s="195"/>
      <c r="D285" s="195"/>
      <c r="E285" s="195"/>
      <c r="F285" s="195"/>
      <c r="G285" s="195"/>
      <c r="H285" s="195"/>
      <c r="I285" s="195"/>
      <c r="J285" s="195"/>
    </row>
    <row r="286" spans="3:10">
      <c r="C286" s="195"/>
      <c r="D286" s="195"/>
      <c r="E286" s="195"/>
      <c r="F286" s="195"/>
      <c r="G286" s="195"/>
      <c r="H286" s="195"/>
      <c r="I286" s="195"/>
      <c r="J286" s="195"/>
    </row>
    <row r="287" spans="3:10">
      <c r="C287" s="195"/>
      <c r="D287" s="195"/>
      <c r="E287" s="195"/>
      <c r="F287" s="195"/>
      <c r="G287" s="195"/>
      <c r="H287" s="195"/>
      <c r="I287" s="195"/>
      <c r="J287" s="195"/>
    </row>
    <row r="288" spans="3:10">
      <c r="C288" s="195"/>
      <c r="D288" s="195"/>
      <c r="E288" s="195"/>
      <c r="F288" s="195"/>
      <c r="G288" s="195"/>
      <c r="H288" s="195"/>
      <c r="I288" s="195"/>
      <c r="J288" s="195"/>
    </row>
    <row r="289" spans="3:10">
      <c r="C289" s="195"/>
      <c r="D289" s="195"/>
      <c r="E289" s="195"/>
      <c r="F289" s="195"/>
      <c r="G289" s="195"/>
      <c r="H289" s="195"/>
      <c r="I289" s="195"/>
      <c r="J289" s="195"/>
    </row>
    <row r="290" spans="3:10">
      <c r="C290" s="195"/>
      <c r="D290" s="195"/>
      <c r="E290" s="195"/>
      <c r="F290" s="195"/>
      <c r="G290" s="195"/>
      <c r="H290" s="195"/>
      <c r="I290" s="195"/>
      <c r="J290" s="195"/>
    </row>
    <row r="291" spans="3:10">
      <c r="C291" s="195"/>
      <c r="D291" s="195"/>
      <c r="E291" s="195"/>
      <c r="F291" s="195"/>
      <c r="G291" s="195"/>
      <c r="H291" s="195"/>
      <c r="I291" s="195"/>
      <c r="J291" s="195"/>
    </row>
    <row r="292" spans="3:10">
      <c r="C292" s="195"/>
      <c r="D292" s="195"/>
      <c r="E292" s="195"/>
      <c r="F292" s="195"/>
      <c r="G292" s="195"/>
      <c r="H292" s="195"/>
      <c r="I292" s="195"/>
      <c r="J292" s="195"/>
    </row>
    <row r="293" spans="3:10">
      <c r="C293" s="195"/>
      <c r="D293" s="195"/>
      <c r="E293" s="195"/>
      <c r="F293" s="195"/>
      <c r="G293" s="195"/>
      <c r="H293" s="195"/>
      <c r="I293" s="195"/>
      <c r="J293" s="195"/>
    </row>
    <row r="294" spans="3:10">
      <c r="C294" s="195"/>
      <c r="D294" s="195"/>
      <c r="E294" s="195"/>
      <c r="F294" s="195"/>
      <c r="G294" s="195"/>
      <c r="H294" s="195"/>
      <c r="I294" s="195"/>
      <c r="J294" s="195"/>
    </row>
    <row r="295" spans="3:10">
      <c r="C295" s="195"/>
      <c r="D295" s="195"/>
      <c r="E295" s="195"/>
      <c r="F295" s="195"/>
      <c r="G295" s="195"/>
      <c r="H295" s="195"/>
      <c r="I295" s="195"/>
      <c r="J295" s="195"/>
    </row>
    <row r="296" spans="3:10">
      <c r="C296" s="195"/>
      <c r="D296" s="195"/>
      <c r="E296" s="195"/>
      <c r="F296" s="195"/>
      <c r="G296" s="195"/>
      <c r="H296" s="195"/>
      <c r="I296" s="195"/>
      <c r="J296" s="195"/>
    </row>
    <row r="297" spans="3:10">
      <c r="C297" s="195"/>
      <c r="D297" s="195"/>
      <c r="E297" s="195"/>
      <c r="F297" s="195"/>
      <c r="G297" s="195"/>
      <c r="H297" s="195"/>
      <c r="I297" s="195"/>
      <c r="J297" s="195"/>
    </row>
    <row r="298" spans="3:10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9" orientation="landscape" horizontalDpi="300" verticalDpi="300" r:id="rId1"/>
  <headerFooter alignWithMargins="0"/>
  <rowBreaks count="1" manualBreakCount="1">
    <brk id="48" min="10" max="2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  <pageSetUpPr fitToPage="1"/>
  </sheetPr>
  <dimension ref="A1:AW298"/>
  <sheetViews>
    <sheetView topLeftCell="J49" zoomScale="75" zoomScaleNormal="75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2.21875" style="137" customWidth="1"/>
    <col min="4" max="4" width="1" style="137" customWidth="1"/>
    <col min="5" max="5" width="37.109375" style="137" customWidth="1"/>
    <col min="6" max="6" width="1.33203125" style="137" customWidth="1"/>
    <col min="7" max="7" width="14.109375" style="137" customWidth="1"/>
    <col min="8" max="8" width="1.5546875" style="137" customWidth="1"/>
    <col min="9" max="10" width="12.77734375" style="137" customWidth="1"/>
    <col min="11" max="11" width="5.21875" style="137" customWidth="1"/>
    <col min="12" max="12" width="1.6640625" style="137" customWidth="1"/>
    <col min="13" max="13" width="26.5546875" style="137" customWidth="1"/>
    <col min="14" max="14" width="8.6640625" style="137" customWidth="1"/>
    <col min="15" max="15" width="11.77734375" style="137" customWidth="1"/>
    <col min="16" max="16" width="15.6640625" style="137" bestFit="1" customWidth="1"/>
    <col min="17" max="17" width="12.77734375" style="137" customWidth="1"/>
    <col min="18" max="18" width="8.88671875" style="137"/>
    <col min="19" max="19" width="14.21875" style="137" customWidth="1"/>
    <col min="20" max="20" width="12.21875" style="137" customWidth="1"/>
    <col min="21" max="21" width="12.5546875" style="137" customWidth="1"/>
    <col min="22" max="22" width="16.77734375" style="137" customWidth="1"/>
    <col min="23" max="23" width="11.88671875" style="137" customWidth="1"/>
    <col min="24" max="24" width="16.6640625" style="137" customWidth="1"/>
    <col min="25" max="240" width="8.88671875" style="137"/>
    <col min="241" max="241" width="6" style="137" customWidth="1"/>
    <col min="242" max="242" width="1.44140625" style="137" customWidth="1"/>
    <col min="243" max="243" width="39.109375" style="137" customWidth="1"/>
    <col min="244" max="244" width="12" style="137" customWidth="1"/>
    <col min="245" max="245" width="14.44140625" style="137" customWidth="1"/>
    <col min="246" max="246" width="11.88671875" style="137" customWidth="1"/>
    <col min="247" max="247" width="14.109375" style="137" customWidth="1"/>
    <col min="248" max="248" width="13.88671875" style="137" customWidth="1"/>
    <col min="249" max="250" width="12.77734375" style="137" customWidth="1"/>
    <col min="251" max="251" width="13.5546875" style="137" customWidth="1"/>
    <col min="252" max="252" width="15.33203125" style="137" customWidth="1"/>
    <col min="253" max="253" width="12.77734375" style="137" customWidth="1"/>
    <col min="254" max="254" width="13.88671875" style="137" customWidth="1"/>
    <col min="255" max="255" width="1.88671875" style="137" customWidth="1"/>
    <col min="256" max="256" width="13" style="137" customWidth="1"/>
    <col min="257" max="496" width="8.88671875" style="137"/>
    <col min="497" max="497" width="6" style="137" customWidth="1"/>
    <col min="498" max="498" width="1.44140625" style="137" customWidth="1"/>
    <col min="499" max="499" width="39.109375" style="137" customWidth="1"/>
    <col min="500" max="500" width="12" style="137" customWidth="1"/>
    <col min="501" max="501" width="14.44140625" style="137" customWidth="1"/>
    <col min="502" max="502" width="11.88671875" style="137" customWidth="1"/>
    <col min="503" max="503" width="14.109375" style="137" customWidth="1"/>
    <col min="504" max="504" width="13.88671875" style="137" customWidth="1"/>
    <col min="505" max="506" width="12.77734375" style="137" customWidth="1"/>
    <col min="507" max="507" width="13.5546875" style="137" customWidth="1"/>
    <col min="508" max="508" width="15.33203125" style="137" customWidth="1"/>
    <col min="509" max="509" width="12.77734375" style="137" customWidth="1"/>
    <col min="510" max="510" width="13.88671875" style="137" customWidth="1"/>
    <col min="511" max="511" width="1.88671875" style="137" customWidth="1"/>
    <col min="512" max="512" width="13" style="137" customWidth="1"/>
    <col min="513" max="752" width="8.88671875" style="137"/>
    <col min="753" max="753" width="6" style="137" customWidth="1"/>
    <col min="754" max="754" width="1.44140625" style="137" customWidth="1"/>
    <col min="755" max="755" width="39.109375" style="137" customWidth="1"/>
    <col min="756" max="756" width="12" style="137" customWidth="1"/>
    <col min="757" max="757" width="14.44140625" style="137" customWidth="1"/>
    <col min="758" max="758" width="11.88671875" style="137" customWidth="1"/>
    <col min="759" max="759" width="14.109375" style="137" customWidth="1"/>
    <col min="760" max="760" width="13.88671875" style="137" customWidth="1"/>
    <col min="761" max="762" width="12.77734375" style="137" customWidth="1"/>
    <col min="763" max="763" width="13.5546875" style="137" customWidth="1"/>
    <col min="764" max="764" width="15.33203125" style="137" customWidth="1"/>
    <col min="765" max="765" width="12.77734375" style="137" customWidth="1"/>
    <col min="766" max="766" width="13.88671875" style="137" customWidth="1"/>
    <col min="767" max="767" width="1.88671875" style="137" customWidth="1"/>
    <col min="768" max="768" width="13" style="137" customWidth="1"/>
    <col min="769" max="1008" width="8.88671875" style="137"/>
    <col min="1009" max="1009" width="6" style="137" customWidth="1"/>
    <col min="1010" max="1010" width="1.44140625" style="137" customWidth="1"/>
    <col min="1011" max="1011" width="39.109375" style="137" customWidth="1"/>
    <col min="1012" max="1012" width="12" style="137" customWidth="1"/>
    <col min="1013" max="1013" width="14.44140625" style="137" customWidth="1"/>
    <col min="1014" max="1014" width="11.88671875" style="137" customWidth="1"/>
    <col min="1015" max="1015" width="14.109375" style="137" customWidth="1"/>
    <col min="1016" max="1016" width="13.88671875" style="137" customWidth="1"/>
    <col min="1017" max="1018" width="12.77734375" style="137" customWidth="1"/>
    <col min="1019" max="1019" width="13.5546875" style="137" customWidth="1"/>
    <col min="1020" max="1020" width="15.33203125" style="137" customWidth="1"/>
    <col min="1021" max="1021" width="12.77734375" style="137" customWidth="1"/>
    <col min="1022" max="1022" width="13.88671875" style="137" customWidth="1"/>
    <col min="1023" max="1023" width="1.88671875" style="137" customWidth="1"/>
    <col min="1024" max="1024" width="13" style="137" customWidth="1"/>
    <col min="1025" max="1264" width="8.88671875" style="137"/>
    <col min="1265" max="1265" width="6" style="137" customWidth="1"/>
    <col min="1266" max="1266" width="1.44140625" style="137" customWidth="1"/>
    <col min="1267" max="1267" width="39.109375" style="137" customWidth="1"/>
    <col min="1268" max="1268" width="12" style="137" customWidth="1"/>
    <col min="1269" max="1269" width="14.44140625" style="137" customWidth="1"/>
    <col min="1270" max="1270" width="11.88671875" style="137" customWidth="1"/>
    <col min="1271" max="1271" width="14.109375" style="137" customWidth="1"/>
    <col min="1272" max="1272" width="13.88671875" style="137" customWidth="1"/>
    <col min="1273" max="1274" width="12.77734375" style="137" customWidth="1"/>
    <col min="1275" max="1275" width="13.5546875" style="137" customWidth="1"/>
    <col min="1276" max="1276" width="15.33203125" style="137" customWidth="1"/>
    <col min="1277" max="1277" width="12.77734375" style="137" customWidth="1"/>
    <col min="1278" max="1278" width="13.88671875" style="137" customWidth="1"/>
    <col min="1279" max="1279" width="1.88671875" style="137" customWidth="1"/>
    <col min="1280" max="1280" width="13" style="137" customWidth="1"/>
    <col min="1281" max="1520" width="8.88671875" style="137"/>
    <col min="1521" max="1521" width="6" style="137" customWidth="1"/>
    <col min="1522" max="1522" width="1.44140625" style="137" customWidth="1"/>
    <col min="1523" max="1523" width="39.109375" style="137" customWidth="1"/>
    <col min="1524" max="1524" width="12" style="137" customWidth="1"/>
    <col min="1525" max="1525" width="14.44140625" style="137" customWidth="1"/>
    <col min="1526" max="1526" width="11.88671875" style="137" customWidth="1"/>
    <col min="1527" max="1527" width="14.109375" style="137" customWidth="1"/>
    <col min="1528" max="1528" width="13.88671875" style="137" customWidth="1"/>
    <col min="1529" max="1530" width="12.77734375" style="137" customWidth="1"/>
    <col min="1531" max="1531" width="13.5546875" style="137" customWidth="1"/>
    <col min="1532" max="1532" width="15.33203125" style="137" customWidth="1"/>
    <col min="1533" max="1533" width="12.77734375" style="137" customWidth="1"/>
    <col min="1534" max="1534" width="13.88671875" style="137" customWidth="1"/>
    <col min="1535" max="1535" width="1.88671875" style="137" customWidth="1"/>
    <col min="1536" max="1536" width="13" style="137" customWidth="1"/>
    <col min="1537" max="1776" width="8.88671875" style="137"/>
    <col min="1777" max="1777" width="6" style="137" customWidth="1"/>
    <col min="1778" max="1778" width="1.44140625" style="137" customWidth="1"/>
    <col min="1779" max="1779" width="39.109375" style="137" customWidth="1"/>
    <col min="1780" max="1780" width="12" style="137" customWidth="1"/>
    <col min="1781" max="1781" width="14.44140625" style="137" customWidth="1"/>
    <col min="1782" max="1782" width="11.88671875" style="137" customWidth="1"/>
    <col min="1783" max="1783" width="14.109375" style="137" customWidth="1"/>
    <col min="1784" max="1784" width="13.88671875" style="137" customWidth="1"/>
    <col min="1785" max="1786" width="12.77734375" style="137" customWidth="1"/>
    <col min="1787" max="1787" width="13.5546875" style="137" customWidth="1"/>
    <col min="1788" max="1788" width="15.33203125" style="137" customWidth="1"/>
    <col min="1789" max="1789" width="12.77734375" style="137" customWidth="1"/>
    <col min="1790" max="1790" width="13.88671875" style="137" customWidth="1"/>
    <col min="1791" max="1791" width="1.88671875" style="137" customWidth="1"/>
    <col min="1792" max="1792" width="13" style="137" customWidth="1"/>
    <col min="1793" max="2032" width="8.88671875" style="137"/>
    <col min="2033" max="2033" width="6" style="137" customWidth="1"/>
    <col min="2034" max="2034" width="1.44140625" style="137" customWidth="1"/>
    <col min="2035" max="2035" width="39.109375" style="137" customWidth="1"/>
    <col min="2036" max="2036" width="12" style="137" customWidth="1"/>
    <col min="2037" max="2037" width="14.44140625" style="137" customWidth="1"/>
    <col min="2038" max="2038" width="11.88671875" style="137" customWidth="1"/>
    <col min="2039" max="2039" width="14.109375" style="137" customWidth="1"/>
    <col min="2040" max="2040" width="13.88671875" style="137" customWidth="1"/>
    <col min="2041" max="2042" width="12.77734375" style="137" customWidth="1"/>
    <col min="2043" max="2043" width="13.5546875" style="137" customWidth="1"/>
    <col min="2044" max="2044" width="15.33203125" style="137" customWidth="1"/>
    <col min="2045" max="2045" width="12.77734375" style="137" customWidth="1"/>
    <col min="2046" max="2046" width="13.88671875" style="137" customWidth="1"/>
    <col min="2047" max="2047" width="1.88671875" style="137" customWidth="1"/>
    <col min="2048" max="2048" width="13" style="137" customWidth="1"/>
    <col min="2049" max="2288" width="8.88671875" style="137"/>
    <col min="2289" max="2289" width="6" style="137" customWidth="1"/>
    <col min="2290" max="2290" width="1.44140625" style="137" customWidth="1"/>
    <col min="2291" max="2291" width="39.109375" style="137" customWidth="1"/>
    <col min="2292" max="2292" width="12" style="137" customWidth="1"/>
    <col min="2293" max="2293" width="14.44140625" style="137" customWidth="1"/>
    <col min="2294" max="2294" width="11.88671875" style="137" customWidth="1"/>
    <col min="2295" max="2295" width="14.109375" style="137" customWidth="1"/>
    <col min="2296" max="2296" width="13.88671875" style="137" customWidth="1"/>
    <col min="2297" max="2298" width="12.77734375" style="137" customWidth="1"/>
    <col min="2299" max="2299" width="13.5546875" style="137" customWidth="1"/>
    <col min="2300" max="2300" width="15.33203125" style="137" customWidth="1"/>
    <col min="2301" max="2301" width="12.77734375" style="137" customWidth="1"/>
    <col min="2302" max="2302" width="13.88671875" style="137" customWidth="1"/>
    <col min="2303" max="2303" width="1.88671875" style="137" customWidth="1"/>
    <col min="2304" max="2304" width="13" style="137" customWidth="1"/>
    <col min="2305" max="2544" width="8.88671875" style="137"/>
    <col min="2545" max="2545" width="6" style="137" customWidth="1"/>
    <col min="2546" max="2546" width="1.44140625" style="137" customWidth="1"/>
    <col min="2547" max="2547" width="39.109375" style="137" customWidth="1"/>
    <col min="2548" max="2548" width="12" style="137" customWidth="1"/>
    <col min="2549" max="2549" width="14.44140625" style="137" customWidth="1"/>
    <col min="2550" max="2550" width="11.88671875" style="137" customWidth="1"/>
    <col min="2551" max="2551" width="14.109375" style="137" customWidth="1"/>
    <col min="2552" max="2552" width="13.88671875" style="137" customWidth="1"/>
    <col min="2553" max="2554" width="12.77734375" style="137" customWidth="1"/>
    <col min="2555" max="2555" width="13.5546875" style="137" customWidth="1"/>
    <col min="2556" max="2556" width="15.33203125" style="137" customWidth="1"/>
    <col min="2557" max="2557" width="12.77734375" style="137" customWidth="1"/>
    <col min="2558" max="2558" width="13.88671875" style="137" customWidth="1"/>
    <col min="2559" max="2559" width="1.88671875" style="137" customWidth="1"/>
    <col min="2560" max="2560" width="13" style="137" customWidth="1"/>
    <col min="2561" max="2800" width="8.88671875" style="137"/>
    <col min="2801" max="2801" width="6" style="137" customWidth="1"/>
    <col min="2802" max="2802" width="1.44140625" style="137" customWidth="1"/>
    <col min="2803" max="2803" width="39.109375" style="137" customWidth="1"/>
    <col min="2804" max="2804" width="12" style="137" customWidth="1"/>
    <col min="2805" max="2805" width="14.44140625" style="137" customWidth="1"/>
    <col min="2806" max="2806" width="11.88671875" style="137" customWidth="1"/>
    <col min="2807" max="2807" width="14.109375" style="137" customWidth="1"/>
    <col min="2808" max="2808" width="13.88671875" style="137" customWidth="1"/>
    <col min="2809" max="2810" width="12.77734375" style="137" customWidth="1"/>
    <col min="2811" max="2811" width="13.5546875" style="137" customWidth="1"/>
    <col min="2812" max="2812" width="15.33203125" style="137" customWidth="1"/>
    <col min="2813" max="2813" width="12.77734375" style="137" customWidth="1"/>
    <col min="2814" max="2814" width="13.88671875" style="137" customWidth="1"/>
    <col min="2815" max="2815" width="1.88671875" style="137" customWidth="1"/>
    <col min="2816" max="2816" width="13" style="137" customWidth="1"/>
    <col min="2817" max="3056" width="8.88671875" style="137"/>
    <col min="3057" max="3057" width="6" style="137" customWidth="1"/>
    <col min="3058" max="3058" width="1.44140625" style="137" customWidth="1"/>
    <col min="3059" max="3059" width="39.109375" style="137" customWidth="1"/>
    <col min="3060" max="3060" width="12" style="137" customWidth="1"/>
    <col min="3061" max="3061" width="14.44140625" style="137" customWidth="1"/>
    <col min="3062" max="3062" width="11.88671875" style="137" customWidth="1"/>
    <col min="3063" max="3063" width="14.109375" style="137" customWidth="1"/>
    <col min="3064" max="3064" width="13.88671875" style="137" customWidth="1"/>
    <col min="3065" max="3066" width="12.77734375" style="137" customWidth="1"/>
    <col min="3067" max="3067" width="13.5546875" style="137" customWidth="1"/>
    <col min="3068" max="3068" width="15.33203125" style="137" customWidth="1"/>
    <col min="3069" max="3069" width="12.77734375" style="137" customWidth="1"/>
    <col min="3070" max="3070" width="13.88671875" style="137" customWidth="1"/>
    <col min="3071" max="3071" width="1.88671875" style="137" customWidth="1"/>
    <col min="3072" max="3072" width="13" style="137" customWidth="1"/>
    <col min="3073" max="3312" width="8.88671875" style="137"/>
    <col min="3313" max="3313" width="6" style="137" customWidth="1"/>
    <col min="3314" max="3314" width="1.44140625" style="137" customWidth="1"/>
    <col min="3315" max="3315" width="39.109375" style="137" customWidth="1"/>
    <col min="3316" max="3316" width="12" style="137" customWidth="1"/>
    <col min="3317" max="3317" width="14.44140625" style="137" customWidth="1"/>
    <col min="3318" max="3318" width="11.88671875" style="137" customWidth="1"/>
    <col min="3319" max="3319" width="14.109375" style="137" customWidth="1"/>
    <col min="3320" max="3320" width="13.88671875" style="137" customWidth="1"/>
    <col min="3321" max="3322" width="12.77734375" style="137" customWidth="1"/>
    <col min="3323" max="3323" width="13.5546875" style="137" customWidth="1"/>
    <col min="3324" max="3324" width="15.33203125" style="137" customWidth="1"/>
    <col min="3325" max="3325" width="12.77734375" style="137" customWidth="1"/>
    <col min="3326" max="3326" width="13.88671875" style="137" customWidth="1"/>
    <col min="3327" max="3327" width="1.88671875" style="137" customWidth="1"/>
    <col min="3328" max="3328" width="13" style="137" customWidth="1"/>
    <col min="3329" max="3568" width="8.88671875" style="137"/>
    <col min="3569" max="3569" width="6" style="137" customWidth="1"/>
    <col min="3570" max="3570" width="1.44140625" style="137" customWidth="1"/>
    <col min="3571" max="3571" width="39.109375" style="137" customWidth="1"/>
    <col min="3572" max="3572" width="12" style="137" customWidth="1"/>
    <col min="3573" max="3573" width="14.44140625" style="137" customWidth="1"/>
    <col min="3574" max="3574" width="11.88671875" style="137" customWidth="1"/>
    <col min="3575" max="3575" width="14.109375" style="137" customWidth="1"/>
    <col min="3576" max="3576" width="13.88671875" style="137" customWidth="1"/>
    <col min="3577" max="3578" width="12.77734375" style="137" customWidth="1"/>
    <col min="3579" max="3579" width="13.5546875" style="137" customWidth="1"/>
    <col min="3580" max="3580" width="15.33203125" style="137" customWidth="1"/>
    <col min="3581" max="3581" width="12.77734375" style="137" customWidth="1"/>
    <col min="3582" max="3582" width="13.88671875" style="137" customWidth="1"/>
    <col min="3583" max="3583" width="1.88671875" style="137" customWidth="1"/>
    <col min="3584" max="3584" width="13" style="137" customWidth="1"/>
    <col min="3585" max="3824" width="8.88671875" style="137"/>
    <col min="3825" max="3825" width="6" style="137" customWidth="1"/>
    <col min="3826" max="3826" width="1.44140625" style="137" customWidth="1"/>
    <col min="3827" max="3827" width="39.109375" style="137" customWidth="1"/>
    <col min="3828" max="3828" width="12" style="137" customWidth="1"/>
    <col min="3829" max="3829" width="14.44140625" style="137" customWidth="1"/>
    <col min="3830" max="3830" width="11.88671875" style="137" customWidth="1"/>
    <col min="3831" max="3831" width="14.109375" style="137" customWidth="1"/>
    <col min="3832" max="3832" width="13.88671875" style="137" customWidth="1"/>
    <col min="3833" max="3834" width="12.77734375" style="137" customWidth="1"/>
    <col min="3835" max="3835" width="13.5546875" style="137" customWidth="1"/>
    <col min="3836" max="3836" width="15.33203125" style="137" customWidth="1"/>
    <col min="3837" max="3837" width="12.77734375" style="137" customWidth="1"/>
    <col min="3838" max="3838" width="13.88671875" style="137" customWidth="1"/>
    <col min="3839" max="3839" width="1.88671875" style="137" customWidth="1"/>
    <col min="3840" max="3840" width="13" style="137" customWidth="1"/>
    <col min="3841" max="4080" width="8.88671875" style="137"/>
    <col min="4081" max="4081" width="6" style="137" customWidth="1"/>
    <col min="4082" max="4082" width="1.44140625" style="137" customWidth="1"/>
    <col min="4083" max="4083" width="39.109375" style="137" customWidth="1"/>
    <col min="4084" max="4084" width="12" style="137" customWidth="1"/>
    <col min="4085" max="4085" width="14.44140625" style="137" customWidth="1"/>
    <col min="4086" max="4086" width="11.88671875" style="137" customWidth="1"/>
    <col min="4087" max="4087" width="14.109375" style="137" customWidth="1"/>
    <col min="4088" max="4088" width="13.88671875" style="137" customWidth="1"/>
    <col min="4089" max="4090" width="12.77734375" style="137" customWidth="1"/>
    <col min="4091" max="4091" width="13.5546875" style="137" customWidth="1"/>
    <col min="4092" max="4092" width="15.33203125" style="137" customWidth="1"/>
    <col min="4093" max="4093" width="12.77734375" style="137" customWidth="1"/>
    <col min="4094" max="4094" width="13.88671875" style="137" customWidth="1"/>
    <col min="4095" max="4095" width="1.88671875" style="137" customWidth="1"/>
    <col min="4096" max="4096" width="13" style="137" customWidth="1"/>
    <col min="4097" max="4336" width="8.88671875" style="137"/>
    <col min="4337" max="4337" width="6" style="137" customWidth="1"/>
    <col min="4338" max="4338" width="1.44140625" style="137" customWidth="1"/>
    <col min="4339" max="4339" width="39.109375" style="137" customWidth="1"/>
    <col min="4340" max="4340" width="12" style="137" customWidth="1"/>
    <col min="4341" max="4341" width="14.44140625" style="137" customWidth="1"/>
    <col min="4342" max="4342" width="11.88671875" style="137" customWidth="1"/>
    <col min="4343" max="4343" width="14.109375" style="137" customWidth="1"/>
    <col min="4344" max="4344" width="13.88671875" style="137" customWidth="1"/>
    <col min="4345" max="4346" width="12.77734375" style="137" customWidth="1"/>
    <col min="4347" max="4347" width="13.5546875" style="137" customWidth="1"/>
    <col min="4348" max="4348" width="15.33203125" style="137" customWidth="1"/>
    <col min="4349" max="4349" width="12.77734375" style="137" customWidth="1"/>
    <col min="4350" max="4350" width="13.88671875" style="137" customWidth="1"/>
    <col min="4351" max="4351" width="1.88671875" style="137" customWidth="1"/>
    <col min="4352" max="4352" width="13" style="137" customWidth="1"/>
    <col min="4353" max="4592" width="8.88671875" style="137"/>
    <col min="4593" max="4593" width="6" style="137" customWidth="1"/>
    <col min="4594" max="4594" width="1.44140625" style="137" customWidth="1"/>
    <col min="4595" max="4595" width="39.109375" style="137" customWidth="1"/>
    <col min="4596" max="4596" width="12" style="137" customWidth="1"/>
    <col min="4597" max="4597" width="14.44140625" style="137" customWidth="1"/>
    <col min="4598" max="4598" width="11.88671875" style="137" customWidth="1"/>
    <col min="4599" max="4599" width="14.109375" style="137" customWidth="1"/>
    <col min="4600" max="4600" width="13.88671875" style="137" customWidth="1"/>
    <col min="4601" max="4602" width="12.77734375" style="137" customWidth="1"/>
    <col min="4603" max="4603" width="13.5546875" style="137" customWidth="1"/>
    <col min="4604" max="4604" width="15.33203125" style="137" customWidth="1"/>
    <col min="4605" max="4605" width="12.77734375" style="137" customWidth="1"/>
    <col min="4606" max="4606" width="13.88671875" style="137" customWidth="1"/>
    <col min="4607" max="4607" width="1.88671875" style="137" customWidth="1"/>
    <col min="4608" max="4608" width="13" style="137" customWidth="1"/>
    <col min="4609" max="4848" width="8.88671875" style="137"/>
    <col min="4849" max="4849" width="6" style="137" customWidth="1"/>
    <col min="4850" max="4850" width="1.44140625" style="137" customWidth="1"/>
    <col min="4851" max="4851" width="39.109375" style="137" customWidth="1"/>
    <col min="4852" max="4852" width="12" style="137" customWidth="1"/>
    <col min="4853" max="4853" width="14.44140625" style="137" customWidth="1"/>
    <col min="4854" max="4854" width="11.88671875" style="137" customWidth="1"/>
    <col min="4855" max="4855" width="14.109375" style="137" customWidth="1"/>
    <col min="4856" max="4856" width="13.88671875" style="137" customWidth="1"/>
    <col min="4857" max="4858" width="12.77734375" style="137" customWidth="1"/>
    <col min="4859" max="4859" width="13.5546875" style="137" customWidth="1"/>
    <col min="4860" max="4860" width="15.33203125" style="137" customWidth="1"/>
    <col min="4861" max="4861" width="12.77734375" style="137" customWidth="1"/>
    <col min="4862" max="4862" width="13.88671875" style="137" customWidth="1"/>
    <col min="4863" max="4863" width="1.88671875" style="137" customWidth="1"/>
    <col min="4864" max="4864" width="13" style="137" customWidth="1"/>
    <col min="4865" max="5104" width="8.88671875" style="137"/>
    <col min="5105" max="5105" width="6" style="137" customWidth="1"/>
    <col min="5106" max="5106" width="1.44140625" style="137" customWidth="1"/>
    <col min="5107" max="5107" width="39.109375" style="137" customWidth="1"/>
    <col min="5108" max="5108" width="12" style="137" customWidth="1"/>
    <col min="5109" max="5109" width="14.44140625" style="137" customWidth="1"/>
    <col min="5110" max="5110" width="11.88671875" style="137" customWidth="1"/>
    <col min="5111" max="5111" width="14.109375" style="137" customWidth="1"/>
    <col min="5112" max="5112" width="13.88671875" style="137" customWidth="1"/>
    <col min="5113" max="5114" width="12.77734375" style="137" customWidth="1"/>
    <col min="5115" max="5115" width="13.5546875" style="137" customWidth="1"/>
    <col min="5116" max="5116" width="15.33203125" style="137" customWidth="1"/>
    <col min="5117" max="5117" width="12.77734375" style="137" customWidth="1"/>
    <col min="5118" max="5118" width="13.88671875" style="137" customWidth="1"/>
    <col min="5119" max="5119" width="1.88671875" style="137" customWidth="1"/>
    <col min="5120" max="5120" width="13" style="137" customWidth="1"/>
    <col min="5121" max="5360" width="8.88671875" style="137"/>
    <col min="5361" max="5361" width="6" style="137" customWidth="1"/>
    <col min="5362" max="5362" width="1.44140625" style="137" customWidth="1"/>
    <col min="5363" max="5363" width="39.109375" style="137" customWidth="1"/>
    <col min="5364" max="5364" width="12" style="137" customWidth="1"/>
    <col min="5365" max="5365" width="14.44140625" style="137" customWidth="1"/>
    <col min="5366" max="5366" width="11.88671875" style="137" customWidth="1"/>
    <col min="5367" max="5367" width="14.109375" style="137" customWidth="1"/>
    <col min="5368" max="5368" width="13.88671875" style="137" customWidth="1"/>
    <col min="5369" max="5370" width="12.77734375" style="137" customWidth="1"/>
    <col min="5371" max="5371" width="13.5546875" style="137" customWidth="1"/>
    <col min="5372" max="5372" width="15.33203125" style="137" customWidth="1"/>
    <col min="5373" max="5373" width="12.77734375" style="137" customWidth="1"/>
    <col min="5374" max="5374" width="13.88671875" style="137" customWidth="1"/>
    <col min="5375" max="5375" width="1.88671875" style="137" customWidth="1"/>
    <col min="5376" max="5376" width="13" style="137" customWidth="1"/>
    <col min="5377" max="5616" width="8.88671875" style="137"/>
    <col min="5617" max="5617" width="6" style="137" customWidth="1"/>
    <col min="5618" max="5618" width="1.44140625" style="137" customWidth="1"/>
    <col min="5619" max="5619" width="39.109375" style="137" customWidth="1"/>
    <col min="5620" max="5620" width="12" style="137" customWidth="1"/>
    <col min="5621" max="5621" width="14.44140625" style="137" customWidth="1"/>
    <col min="5622" max="5622" width="11.88671875" style="137" customWidth="1"/>
    <col min="5623" max="5623" width="14.109375" style="137" customWidth="1"/>
    <col min="5624" max="5624" width="13.88671875" style="137" customWidth="1"/>
    <col min="5625" max="5626" width="12.77734375" style="137" customWidth="1"/>
    <col min="5627" max="5627" width="13.5546875" style="137" customWidth="1"/>
    <col min="5628" max="5628" width="15.33203125" style="137" customWidth="1"/>
    <col min="5629" max="5629" width="12.77734375" style="137" customWidth="1"/>
    <col min="5630" max="5630" width="13.88671875" style="137" customWidth="1"/>
    <col min="5631" max="5631" width="1.88671875" style="137" customWidth="1"/>
    <col min="5632" max="5632" width="13" style="137" customWidth="1"/>
    <col min="5633" max="5872" width="8.88671875" style="137"/>
    <col min="5873" max="5873" width="6" style="137" customWidth="1"/>
    <col min="5874" max="5874" width="1.44140625" style="137" customWidth="1"/>
    <col min="5875" max="5875" width="39.109375" style="137" customWidth="1"/>
    <col min="5876" max="5876" width="12" style="137" customWidth="1"/>
    <col min="5877" max="5877" width="14.44140625" style="137" customWidth="1"/>
    <col min="5878" max="5878" width="11.88671875" style="137" customWidth="1"/>
    <col min="5879" max="5879" width="14.109375" style="137" customWidth="1"/>
    <col min="5880" max="5880" width="13.88671875" style="137" customWidth="1"/>
    <col min="5881" max="5882" width="12.77734375" style="137" customWidth="1"/>
    <col min="5883" max="5883" width="13.5546875" style="137" customWidth="1"/>
    <col min="5884" max="5884" width="15.33203125" style="137" customWidth="1"/>
    <col min="5885" max="5885" width="12.77734375" style="137" customWidth="1"/>
    <col min="5886" max="5886" width="13.88671875" style="137" customWidth="1"/>
    <col min="5887" max="5887" width="1.88671875" style="137" customWidth="1"/>
    <col min="5888" max="5888" width="13" style="137" customWidth="1"/>
    <col min="5889" max="6128" width="8.88671875" style="137"/>
    <col min="6129" max="6129" width="6" style="137" customWidth="1"/>
    <col min="6130" max="6130" width="1.44140625" style="137" customWidth="1"/>
    <col min="6131" max="6131" width="39.109375" style="137" customWidth="1"/>
    <col min="6132" max="6132" width="12" style="137" customWidth="1"/>
    <col min="6133" max="6133" width="14.44140625" style="137" customWidth="1"/>
    <col min="6134" max="6134" width="11.88671875" style="137" customWidth="1"/>
    <col min="6135" max="6135" width="14.109375" style="137" customWidth="1"/>
    <col min="6136" max="6136" width="13.88671875" style="137" customWidth="1"/>
    <col min="6137" max="6138" width="12.77734375" style="137" customWidth="1"/>
    <col min="6139" max="6139" width="13.5546875" style="137" customWidth="1"/>
    <col min="6140" max="6140" width="15.33203125" style="137" customWidth="1"/>
    <col min="6141" max="6141" width="12.77734375" style="137" customWidth="1"/>
    <col min="6142" max="6142" width="13.88671875" style="137" customWidth="1"/>
    <col min="6143" max="6143" width="1.88671875" style="137" customWidth="1"/>
    <col min="6144" max="6144" width="13" style="137" customWidth="1"/>
    <col min="6145" max="6384" width="8.88671875" style="137"/>
    <col min="6385" max="6385" width="6" style="137" customWidth="1"/>
    <col min="6386" max="6386" width="1.44140625" style="137" customWidth="1"/>
    <col min="6387" max="6387" width="39.109375" style="137" customWidth="1"/>
    <col min="6388" max="6388" width="12" style="137" customWidth="1"/>
    <col min="6389" max="6389" width="14.44140625" style="137" customWidth="1"/>
    <col min="6390" max="6390" width="11.88671875" style="137" customWidth="1"/>
    <col min="6391" max="6391" width="14.109375" style="137" customWidth="1"/>
    <col min="6392" max="6392" width="13.88671875" style="137" customWidth="1"/>
    <col min="6393" max="6394" width="12.77734375" style="137" customWidth="1"/>
    <col min="6395" max="6395" width="13.5546875" style="137" customWidth="1"/>
    <col min="6396" max="6396" width="15.33203125" style="137" customWidth="1"/>
    <col min="6397" max="6397" width="12.77734375" style="137" customWidth="1"/>
    <col min="6398" max="6398" width="13.88671875" style="137" customWidth="1"/>
    <col min="6399" max="6399" width="1.88671875" style="137" customWidth="1"/>
    <col min="6400" max="6400" width="13" style="137" customWidth="1"/>
    <col min="6401" max="6640" width="8.88671875" style="137"/>
    <col min="6641" max="6641" width="6" style="137" customWidth="1"/>
    <col min="6642" max="6642" width="1.44140625" style="137" customWidth="1"/>
    <col min="6643" max="6643" width="39.109375" style="137" customWidth="1"/>
    <col min="6644" max="6644" width="12" style="137" customWidth="1"/>
    <col min="6645" max="6645" width="14.44140625" style="137" customWidth="1"/>
    <col min="6646" max="6646" width="11.88671875" style="137" customWidth="1"/>
    <col min="6647" max="6647" width="14.109375" style="137" customWidth="1"/>
    <col min="6648" max="6648" width="13.88671875" style="137" customWidth="1"/>
    <col min="6649" max="6650" width="12.77734375" style="137" customWidth="1"/>
    <col min="6651" max="6651" width="13.5546875" style="137" customWidth="1"/>
    <col min="6652" max="6652" width="15.33203125" style="137" customWidth="1"/>
    <col min="6653" max="6653" width="12.77734375" style="137" customWidth="1"/>
    <col min="6654" max="6654" width="13.88671875" style="137" customWidth="1"/>
    <col min="6655" max="6655" width="1.88671875" style="137" customWidth="1"/>
    <col min="6656" max="6656" width="13" style="137" customWidth="1"/>
    <col min="6657" max="6896" width="8.88671875" style="137"/>
    <col min="6897" max="6897" width="6" style="137" customWidth="1"/>
    <col min="6898" max="6898" width="1.44140625" style="137" customWidth="1"/>
    <col min="6899" max="6899" width="39.109375" style="137" customWidth="1"/>
    <col min="6900" max="6900" width="12" style="137" customWidth="1"/>
    <col min="6901" max="6901" width="14.44140625" style="137" customWidth="1"/>
    <col min="6902" max="6902" width="11.88671875" style="137" customWidth="1"/>
    <col min="6903" max="6903" width="14.109375" style="137" customWidth="1"/>
    <col min="6904" max="6904" width="13.88671875" style="137" customWidth="1"/>
    <col min="6905" max="6906" width="12.77734375" style="137" customWidth="1"/>
    <col min="6907" max="6907" width="13.5546875" style="137" customWidth="1"/>
    <col min="6908" max="6908" width="15.33203125" style="137" customWidth="1"/>
    <col min="6909" max="6909" width="12.77734375" style="137" customWidth="1"/>
    <col min="6910" max="6910" width="13.88671875" style="137" customWidth="1"/>
    <col min="6911" max="6911" width="1.88671875" style="137" customWidth="1"/>
    <col min="6912" max="6912" width="13" style="137" customWidth="1"/>
    <col min="6913" max="7152" width="8.88671875" style="137"/>
    <col min="7153" max="7153" width="6" style="137" customWidth="1"/>
    <col min="7154" max="7154" width="1.44140625" style="137" customWidth="1"/>
    <col min="7155" max="7155" width="39.109375" style="137" customWidth="1"/>
    <col min="7156" max="7156" width="12" style="137" customWidth="1"/>
    <col min="7157" max="7157" width="14.44140625" style="137" customWidth="1"/>
    <col min="7158" max="7158" width="11.88671875" style="137" customWidth="1"/>
    <col min="7159" max="7159" width="14.109375" style="137" customWidth="1"/>
    <col min="7160" max="7160" width="13.88671875" style="137" customWidth="1"/>
    <col min="7161" max="7162" width="12.77734375" style="137" customWidth="1"/>
    <col min="7163" max="7163" width="13.5546875" style="137" customWidth="1"/>
    <col min="7164" max="7164" width="15.33203125" style="137" customWidth="1"/>
    <col min="7165" max="7165" width="12.77734375" style="137" customWidth="1"/>
    <col min="7166" max="7166" width="13.88671875" style="137" customWidth="1"/>
    <col min="7167" max="7167" width="1.88671875" style="137" customWidth="1"/>
    <col min="7168" max="7168" width="13" style="137" customWidth="1"/>
    <col min="7169" max="7408" width="8.88671875" style="137"/>
    <col min="7409" max="7409" width="6" style="137" customWidth="1"/>
    <col min="7410" max="7410" width="1.44140625" style="137" customWidth="1"/>
    <col min="7411" max="7411" width="39.109375" style="137" customWidth="1"/>
    <col min="7412" max="7412" width="12" style="137" customWidth="1"/>
    <col min="7413" max="7413" width="14.44140625" style="137" customWidth="1"/>
    <col min="7414" max="7414" width="11.88671875" style="137" customWidth="1"/>
    <col min="7415" max="7415" width="14.109375" style="137" customWidth="1"/>
    <col min="7416" max="7416" width="13.88671875" style="137" customWidth="1"/>
    <col min="7417" max="7418" width="12.77734375" style="137" customWidth="1"/>
    <col min="7419" max="7419" width="13.5546875" style="137" customWidth="1"/>
    <col min="7420" max="7420" width="15.33203125" style="137" customWidth="1"/>
    <col min="7421" max="7421" width="12.77734375" style="137" customWidth="1"/>
    <col min="7422" max="7422" width="13.88671875" style="137" customWidth="1"/>
    <col min="7423" max="7423" width="1.88671875" style="137" customWidth="1"/>
    <col min="7424" max="7424" width="13" style="137" customWidth="1"/>
    <col min="7425" max="7664" width="8.88671875" style="137"/>
    <col min="7665" max="7665" width="6" style="137" customWidth="1"/>
    <col min="7666" max="7666" width="1.44140625" style="137" customWidth="1"/>
    <col min="7667" max="7667" width="39.109375" style="137" customWidth="1"/>
    <col min="7668" max="7668" width="12" style="137" customWidth="1"/>
    <col min="7669" max="7669" width="14.44140625" style="137" customWidth="1"/>
    <col min="7670" max="7670" width="11.88671875" style="137" customWidth="1"/>
    <col min="7671" max="7671" width="14.109375" style="137" customWidth="1"/>
    <col min="7672" max="7672" width="13.88671875" style="137" customWidth="1"/>
    <col min="7673" max="7674" width="12.77734375" style="137" customWidth="1"/>
    <col min="7675" max="7675" width="13.5546875" style="137" customWidth="1"/>
    <col min="7676" max="7676" width="15.33203125" style="137" customWidth="1"/>
    <col min="7677" max="7677" width="12.77734375" style="137" customWidth="1"/>
    <col min="7678" max="7678" width="13.88671875" style="137" customWidth="1"/>
    <col min="7679" max="7679" width="1.88671875" style="137" customWidth="1"/>
    <col min="7680" max="7680" width="13" style="137" customWidth="1"/>
    <col min="7681" max="7920" width="8.88671875" style="137"/>
    <col min="7921" max="7921" width="6" style="137" customWidth="1"/>
    <col min="7922" max="7922" width="1.44140625" style="137" customWidth="1"/>
    <col min="7923" max="7923" width="39.109375" style="137" customWidth="1"/>
    <col min="7924" max="7924" width="12" style="137" customWidth="1"/>
    <col min="7925" max="7925" width="14.44140625" style="137" customWidth="1"/>
    <col min="7926" max="7926" width="11.88671875" style="137" customWidth="1"/>
    <col min="7927" max="7927" width="14.109375" style="137" customWidth="1"/>
    <col min="7928" max="7928" width="13.88671875" style="137" customWidth="1"/>
    <col min="7929" max="7930" width="12.77734375" style="137" customWidth="1"/>
    <col min="7931" max="7931" width="13.5546875" style="137" customWidth="1"/>
    <col min="7932" max="7932" width="15.33203125" style="137" customWidth="1"/>
    <col min="7933" max="7933" width="12.77734375" style="137" customWidth="1"/>
    <col min="7934" max="7934" width="13.88671875" style="137" customWidth="1"/>
    <col min="7935" max="7935" width="1.88671875" style="137" customWidth="1"/>
    <col min="7936" max="7936" width="13" style="137" customWidth="1"/>
    <col min="7937" max="8176" width="8.88671875" style="137"/>
    <col min="8177" max="8177" width="6" style="137" customWidth="1"/>
    <col min="8178" max="8178" width="1.44140625" style="137" customWidth="1"/>
    <col min="8179" max="8179" width="39.109375" style="137" customWidth="1"/>
    <col min="8180" max="8180" width="12" style="137" customWidth="1"/>
    <col min="8181" max="8181" width="14.44140625" style="137" customWidth="1"/>
    <col min="8182" max="8182" width="11.88671875" style="137" customWidth="1"/>
    <col min="8183" max="8183" width="14.109375" style="137" customWidth="1"/>
    <col min="8184" max="8184" width="13.88671875" style="137" customWidth="1"/>
    <col min="8185" max="8186" width="12.77734375" style="137" customWidth="1"/>
    <col min="8187" max="8187" width="13.5546875" style="137" customWidth="1"/>
    <col min="8188" max="8188" width="15.33203125" style="137" customWidth="1"/>
    <col min="8189" max="8189" width="12.77734375" style="137" customWidth="1"/>
    <col min="8190" max="8190" width="13.88671875" style="137" customWidth="1"/>
    <col min="8191" max="8191" width="1.88671875" style="137" customWidth="1"/>
    <col min="8192" max="8192" width="13" style="137" customWidth="1"/>
    <col min="8193" max="8432" width="8.88671875" style="137"/>
    <col min="8433" max="8433" width="6" style="137" customWidth="1"/>
    <col min="8434" max="8434" width="1.44140625" style="137" customWidth="1"/>
    <col min="8435" max="8435" width="39.109375" style="137" customWidth="1"/>
    <col min="8436" max="8436" width="12" style="137" customWidth="1"/>
    <col min="8437" max="8437" width="14.44140625" style="137" customWidth="1"/>
    <col min="8438" max="8438" width="11.88671875" style="137" customWidth="1"/>
    <col min="8439" max="8439" width="14.109375" style="137" customWidth="1"/>
    <col min="8440" max="8440" width="13.88671875" style="137" customWidth="1"/>
    <col min="8441" max="8442" width="12.77734375" style="137" customWidth="1"/>
    <col min="8443" max="8443" width="13.5546875" style="137" customWidth="1"/>
    <col min="8444" max="8444" width="15.33203125" style="137" customWidth="1"/>
    <col min="8445" max="8445" width="12.77734375" style="137" customWidth="1"/>
    <col min="8446" max="8446" width="13.88671875" style="137" customWidth="1"/>
    <col min="8447" max="8447" width="1.88671875" style="137" customWidth="1"/>
    <col min="8448" max="8448" width="13" style="137" customWidth="1"/>
    <col min="8449" max="8688" width="8.88671875" style="137"/>
    <col min="8689" max="8689" width="6" style="137" customWidth="1"/>
    <col min="8690" max="8690" width="1.44140625" style="137" customWidth="1"/>
    <col min="8691" max="8691" width="39.109375" style="137" customWidth="1"/>
    <col min="8692" max="8692" width="12" style="137" customWidth="1"/>
    <col min="8693" max="8693" width="14.44140625" style="137" customWidth="1"/>
    <col min="8694" max="8694" width="11.88671875" style="137" customWidth="1"/>
    <col min="8695" max="8695" width="14.109375" style="137" customWidth="1"/>
    <col min="8696" max="8696" width="13.88671875" style="137" customWidth="1"/>
    <col min="8697" max="8698" width="12.77734375" style="137" customWidth="1"/>
    <col min="8699" max="8699" width="13.5546875" style="137" customWidth="1"/>
    <col min="8700" max="8700" width="15.33203125" style="137" customWidth="1"/>
    <col min="8701" max="8701" width="12.77734375" style="137" customWidth="1"/>
    <col min="8702" max="8702" width="13.88671875" style="137" customWidth="1"/>
    <col min="8703" max="8703" width="1.88671875" style="137" customWidth="1"/>
    <col min="8704" max="8704" width="13" style="137" customWidth="1"/>
    <col min="8705" max="8944" width="8.88671875" style="137"/>
    <col min="8945" max="8945" width="6" style="137" customWidth="1"/>
    <col min="8946" max="8946" width="1.44140625" style="137" customWidth="1"/>
    <col min="8947" max="8947" width="39.109375" style="137" customWidth="1"/>
    <col min="8948" max="8948" width="12" style="137" customWidth="1"/>
    <col min="8949" max="8949" width="14.44140625" style="137" customWidth="1"/>
    <col min="8950" max="8950" width="11.88671875" style="137" customWidth="1"/>
    <col min="8951" max="8951" width="14.109375" style="137" customWidth="1"/>
    <col min="8952" max="8952" width="13.88671875" style="137" customWidth="1"/>
    <col min="8953" max="8954" width="12.77734375" style="137" customWidth="1"/>
    <col min="8955" max="8955" width="13.5546875" style="137" customWidth="1"/>
    <col min="8956" max="8956" width="15.33203125" style="137" customWidth="1"/>
    <col min="8957" max="8957" width="12.77734375" style="137" customWidth="1"/>
    <col min="8958" max="8958" width="13.88671875" style="137" customWidth="1"/>
    <col min="8959" max="8959" width="1.88671875" style="137" customWidth="1"/>
    <col min="8960" max="8960" width="13" style="137" customWidth="1"/>
    <col min="8961" max="9200" width="8.88671875" style="137"/>
    <col min="9201" max="9201" width="6" style="137" customWidth="1"/>
    <col min="9202" max="9202" width="1.44140625" style="137" customWidth="1"/>
    <col min="9203" max="9203" width="39.109375" style="137" customWidth="1"/>
    <col min="9204" max="9204" width="12" style="137" customWidth="1"/>
    <col min="9205" max="9205" width="14.44140625" style="137" customWidth="1"/>
    <col min="9206" max="9206" width="11.88671875" style="137" customWidth="1"/>
    <col min="9207" max="9207" width="14.109375" style="137" customWidth="1"/>
    <col min="9208" max="9208" width="13.88671875" style="137" customWidth="1"/>
    <col min="9209" max="9210" width="12.77734375" style="137" customWidth="1"/>
    <col min="9211" max="9211" width="13.5546875" style="137" customWidth="1"/>
    <col min="9212" max="9212" width="15.33203125" style="137" customWidth="1"/>
    <col min="9213" max="9213" width="12.77734375" style="137" customWidth="1"/>
    <col min="9214" max="9214" width="13.88671875" style="137" customWidth="1"/>
    <col min="9215" max="9215" width="1.88671875" style="137" customWidth="1"/>
    <col min="9216" max="9216" width="13" style="137" customWidth="1"/>
    <col min="9217" max="9456" width="8.88671875" style="137"/>
    <col min="9457" max="9457" width="6" style="137" customWidth="1"/>
    <col min="9458" max="9458" width="1.44140625" style="137" customWidth="1"/>
    <col min="9459" max="9459" width="39.109375" style="137" customWidth="1"/>
    <col min="9460" max="9460" width="12" style="137" customWidth="1"/>
    <col min="9461" max="9461" width="14.44140625" style="137" customWidth="1"/>
    <col min="9462" max="9462" width="11.88671875" style="137" customWidth="1"/>
    <col min="9463" max="9463" width="14.109375" style="137" customWidth="1"/>
    <col min="9464" max="9464" width="13.88671875" style="137" customWidth="1"/>
    <col min="9465" max="9466" width="12.77734375" style="137" customWidth="1"/>
    <col min="9467" max="9467" width="13.5546875" style="137" customWidth="1"/>
    <col min="9468" max="9468" width="15.33203125" style="137" customWidth="1"/>
    <col min="9469" max="9469" width="12.77734375" style="137" customWidth="1"/>
    <col min="9470" max="9470" width="13.88671875" style="137" customWidth="1"/>
    <col min="9471" max="9471" width="1.88671875" style="137" customWidth="1"/>
    <col min="9472" max="9472" width="13" style="137" customWidth="1"/>
    <col min="9473" max="9712" width="8.88671875" style="137"/>
    <col min="9713" max="9713" width="6" style="137" customWidth="1"/>
    <col min="9714" max="9714" width="1.44140625" style="137" customWidth="1"/>
    <col min="9715" max="9715" width="39.109375" style="137" customWidth="1"/>
    <col min="9716" max="9716" width="12" style="137" customWidth="1"/>
    <col min="9717" max="9717" width="14.44140625" style="137" customWidth="1"/>
    <col min="9718" max="9718" width="11.88671875" style="137" customWidth="1"/>
    <col min="9719" max="9719" width="14.109375" style="137" customWidth="1"/>
    <col min="9720" max="9720" width="13.88671875" style="137" customWidth="1"/>
    <col min="9721" max="9722" width="12.77734375" style="137" customWidth="1"/>
    <col min="9723" max="9723" width="13.5546875" style="137" customWidth="1"/>
    <col min="9724" max="9724" width="15.33203125" style="137" customWidth="1"/>
    <col min="9725" max="9725" width="12.77734375" style="137" customWidth="1"/>
    <col min="9726" max="9726" width="13.88671875" style="137" customWidth="1"/>
    <col min="9727" max="9727" width="1.88671875" style="137" customWidth="1"/>
    <col min="9728" max="9728" width="13" style="137" customWidth="1"/>
    <col min="9729" max="9968" width="8.88671875" style="137"/>
    <col min="9969" max="9969" width="6" style="137" customWidth="1"/>
    <col min="9970" max="9970" width="1.44140625" style="137" customWidth="1"/>
    <col min="9971" max="9971" width="39.109375" style="137" customWidth="1"/>
    <col min="9972" max="9972" width="12" style="137" customWidth="1"/>
    <col min="9973" max="9973" width="14.44140625" style="137" customWidth="1"/>
    <col min="9974" max="9974" width="11.88671875" style="137" customWidth="1"/>
    <col min="9975" max="9975" width="14.109375" style="137" customWidth="1"/>
    <col min="9976" max="9976" width="13.88671875" style="137" customWidth="1"/>
    <col min="9977" max="9978" width="12.77734375" style="137" customWidth="1"/>
    <col min="9979" max="9979" width="13.5546875" style="137" customWidth="1"/>
    <col min="9980" max="9980" width="15.33203125" style="137" customWidth="1"/>
    <col min="9981" max="9981" width="12.77734375" style="137" customWidth="1"/>
    <col min="9982" max="9982" width="13.88671875" style="137" customWidth="1"/>
    <col min="9983" max="9983" width="1.88671875" style="137" customWidth="1"/>
    <col min="9984" max="9984" width="13" style="137" customWidth="1"/>
    <col min="9985" max="10224" width="8.88671875" style="137"/>
    <col min="10225" max="10225" width="6" style="137" customWidth="1"/>
    <col min="10226" max="10226" width="1.44140625" style="137" customWidth="1"/>
    <col min="10227" max="10227" width="39.109375" style="137" customWidth="1"/>
    <col min="10228" max="10228" width="12" style="137" customWidth="1"/>
    <col min="10229" max="10229" width="14.44140625" style="137" customWidth="1"/>
    <col min="10230" max="10230" width="11.88671875" style="137" customWidth="1"/>
    <col min="10231" max="10231" width="14.109375" style="137" customWidth="1"/>
    <col min="10232" max="10232" width="13.88671875" style="137" customWidth="1"/>
    <col min="10233" max="10234" width="12.77734375" style="137" customWidth="1"/>
    <col min="10235" max="10235" width="13.5546875" style="137" customWidth="1"/>
    <col min="10236" max="10236" width="15.33203125" style="137" customWidth="1"/>
    <col min="10237" max="10237" width="12.77734375" style="137" customWidth="1"/>
    <col min="10238" max="10238" width="13.88671875" style="137" customWidth="1"/>
    <col min="10239" max="10239" width="1.88671875" style="137" customWidth="1"/>
    <col min="10240" max="10240" width="13" style="137" customWidth="1"/>
    <col min="10241" max="10480" width="8.88671875" style="137"/>
    <col min="10481" max="10481" width="6" style="137" customWidth="1"/>
    <col min="10482" max="10482" width="1.44140625" style="137" customWidth="1"/>
    <col min="10483" max="10483" width="39.109375" style="137" customWidth="1"/>
    <col min="10484" max="10484" width="12" style="137" customWidth="1"/>
    <col min="10485" max="10485" width="14.44140625" style="137" customWidth="1"/>
    <col min="10486" max="10486" width="11.88671875" style="137" customWidth="1"/>
    <col min="10487" max="10487" width="14.109375" style="137" customWidth="1"/>
    <col min="10488" max="10488" width="13.88671875" style="137" customWidth="1"/>
    <col min="10489" max="10490" width="12.77734375" style="137" customWidth="1"/>
    <col min="10491" max="10491" width="13.5546875" style="137" customWidth="1"/>
    <col min="10492" max="10492" width="15.33203125" style="137" customWidth="1"/>
    <col min="10493" max="10493" width="12.77734375" style="137" customWidth="1"/>
    <col min="10494" max="10494" width="13.88671875" style="137" customWidth="1"/>
    <col min="10495" max="10495" width="1.88671875" style="137" customWidth="1"/>
    <col min="10496" max="10496" width="13" style="137" customWidth="1"/>
    <col min="10497" max="10736" width="8.88671875" style="137"/>
    <col min="10737" max="10737" width="6" style="137" customWidth="1"/>
    <col min="10738" max="10738" width="1.44140625" style="137" customWidth="1"/>
    <col min="10739" max="10739" width="39.109375" style="137" customWidth="1"/>
    <col min="10740" max="10740" width="12" style="137" customWidth="1"/>
    <col min="10741" max="10741" width="14.44140625" style="137" customWidth="1"/>
    <col min="10742" max="10742" width="11.88671875" style="137" customWidth="1"/>
    <col min="10743" max="10743" width="14.109375" style="137" customWidth="1"/>
    <col min="10744" max="10744" width="13.88671875" style="137" customWidth="1"/>
    <col min="10745" max="10746" width="12.77734375" style="137" customWidth="1"/>
    <col min="10747" max="10747" width="13.5546875" style="137" customWidth="1"/>
    <col min="10748" max="10748" width="15.33203125" style="137" customWidth="1"/>
    <col min="10749" max="10749" width="12.77734375" style="137" customWidth="1"/>
    <col min="10750" max="10750" width="13.88671875" style="137" customWidth="1"/>
    <col min="10751" max="10751" width="1.88671875" style="137" customWidth="1"/>
    <col min="10752" max="10752" width="13" style="137" customWidth="1"/>
    <col min="10753" max="10992" width="8.88671875" style="137"/>
    <col min="10993" max="10993" width="6" style="137" customWidth="1"/>
    <col min="10994" max="10994" width="1.44140625" style="137" customWidth="1"/>
    <col min="10995" max="10995" width="39.109375" style="137" customWidth="1"/>
    <col min="10996" max="10996" width="12" style="137" customWidth="1"/>
    <col min="10997" max="10997" width="14.44140625" style="137" customWidth="1"/>
    <col min="10998" max="10998" width="11.88671875" style="137" customWidth="1"/>
    <col min="10999" max="10999" width="14.109375" style="137" customWidth="1"/>
    <col min="11000" max="11000" width="13.88671875" style="137" customWidth="1"/>
    <col min="11001" max="11002" width="12.77734375" style="137" customWidth="1"/>
    <col min="11003" max="11003" width="13.5546875" style="137" customWidth="1"/>
    <col min="11004" max="11004" width="15.33203125" style="137" customWidth="1"/>
    <col min="11005" max="11005" width="12.77734375" style="137" customWidth="1"/>
    <col min="11006" max="11006" width="13.88671875" style="137" customWidth="1"/>
    <col min="11007" max="11007" width="1.88671875" style="137" customWidth="1"/>
    <col min="11008" max="11008" width="13" style="137" customWidth="1"/>
    <col min="11009" max="11248" width="8.88671875" style="137"/>
    <col min="11249" max="11249" width="6" style="137" customWidth="1"/>
    <col min="11250" max="11250" width="1.44140625" style="137" customWidth="1"/>
    <col min="11251" max="11251" width="39.109375" style="137" customWidth="1"/>
    <col min="11252" max="11252" width="12" style="137" customWidth="1"/>
    <col min="11253" max="11253" width="14.44140625" style="137" customWidth="1"/>
    <col min="11254" max="11254" width="11.88671875" style="137" customWidth="1"/>
    <col min="11255" max="11255" width="14.109375" style="137" customWidth="1"/>
    <col min="11256" max="11256" width="13.88671875" style="137" customWidth="1"/>
    <col min="11257" max="11258" width="12.77734375" style="137" customWidth="1"/>
    <col min="11259" max="11259" width="13.5546875" style="137" customWidth="1"/>
    <col min="11260" max="11260" width="15.33203125" style="137" customWidth="1"/>
    <col min="11261" max="11261" width="12.77734375" style="137" customWidth="1"/>
    <col min="11262" max="11262" width="13.88671875" style="137" customWidth="1"/>
    <col min="11263" max="11263" width="1.88671875" style="137" customWidth="1"/>
    <col min="11264" max="11264" width="13" style="137" customWidth="1"/>
    <col min="11265" max="11504" width="8.88671875" style="137"/>
    <col min="11505" max="11505" width="6" style="137" customWidth="1"/>
    <col min="11506" max="11506" width="1.44140625" style="137" customWidth="1"/>
    <col min="11507" max="11507" width="39.109375" style="137" customWidth="1"/>
    <col min="11508" max="11508" width="12" style="137" customWidth="1"/>
    <col min="11509" max="11509" width="14.44140625" style="137" customWidth="1"/>
    <col min="11510" max="11510" width="11.88671875" style="137" customWidth="1"/>
    <col min="11511" max="11511" width="14.109375" style="137" customWidth="1"/>
    <col min="11512" max="11512" width="13.88671875" style="137" customWidth="1"/>
    <col min="11513" max="11514" width="12.77734375" style="137" customWidth="1"/>
    <col min="11515" max="11515" width="13.5546875" style="137" customWidth="1"/>
    <col min="11516" max="11516" width="15.33203125" style="137" customWidth="1"/>
    <col min="11517" max="11517" width="12.77734375" style="137" customWidth="1"/>
    <col min="11518" max="11518" width="13.88671875" style="137" customWidth="1"/>
    <col min="11519" max="11519" width="1.88671875" style="137" customWidth="1"/>
    <col min="11520" max="11520" width="13" style="137" customWidth="1"/>
    <col min="11521" max="11760" width="8.88671875" style="137"/>
    <col min="11761" max="11761" width="6" style="137" customWidth="1"/>
    <col min="11762" max="11762" width="1.44140625" style="137" customWidth="1"/>
    <col min="11763" max="11763" width="39.109375" style="137" customWidth="1"/>
    <col min="11764" max="11764" width="12" style="137" customWidth="1"/>
    <col min="11765" max="11765" width="14.44140625" style="137" customWidth="1"/>
    <col min="11766" max="11766" width="11.88671875" style="137" customWidth="1"/>
    <col min="11767" max="11767" width="14.109375" style="137" customWidth="1"/>
    <col min="11768" max="11768" width="13.88671875" style="137" customWidth="1"/>
    <col min="11769" max="11770" width="12.77734375" style="137" customWidth="1"/>
    <col min="11771" max="11771" width="13.5546875" style="137" customWidth="1"/>
    <col min="11772" max="11772" width="15.33203125" style="137" customWidth="1"/>
    <col min="11773" max="11773" width="12.77734375" style="137" customWidth="1"/>
    <col min="11774" max="11774" width="13.88671875" style="137" customWidth="1"/>
    <col min="11775" max="11775" width="1.88671875" style="137" customWidth="1"/>
    <col min="11776" max="11776" width="13" style="137" customWidth="1"/>
    <col min="11777" max="12016" width="8.88671875" style="137"/>
    <col min="12017" max="12017" width="6" style="137" customWidth="1"/>
    <col min="12018" max="12018" width="1.44140625" style="137" customWidth="1"/>
    <col min="12019" max="12019" width="39.109375" style="137" customWidth="1"/>
    <col min="12020" max="12020" width="12" style="137" customWidth="1"/>
    <col min="12021" max="12021" width="14.44140625" style="137" customWidth="1"/>
    <col min="12022" max="12022" width="11.88671875" style="137" customWidth="1"/>
    <col min="12023" max="12023" width="14.109375" style="137" customWidth="1"/>
    <col min="12024" max="12024" width="13.88671875" style="137" customWidth="1"/>
    <col min="12025" max="12026" width="12.77734375" style="137" customWidth="1"/>
    <col min="12027" max="12027" width="13.5546875" style="137" customWidth="1"/>
    <col min="12028" max="12028" width="15.33203125" style="137" customWidth="1"/>
    <col min="12029" max="12029" width="12.77734375" style="137" customWidth="1"/>
    <col min="12030" max="12030" width="13.88671875" style="137" customWidth="1"/>
    <col min="12031" max="12031" width="1.88671875" style="137" customWidth="1"/>
    <col min="12032" max="12032" width="13" style="137" customWidth="1"/>
    <col min="12033" max="12272" width="8.88671875" style="137"/>
    <col min="12273" max="12273" width="6" style="137" customWidth="1"/>
    <col min="12274" max="12274" width="1.44140625" style="137" customWidth="1"/>
    <col min="12275" max="12275" width="39.109375" style="137" customWidth="1"/>
    <col min="12276" max="12276" width="12" style="137" customWidth="1"/>
    <col min="12277" max="12277" width="14.44140625" style="137" customWidth="1"/>
    <col min="12278" max="12278" width="11.88671875" style="137" customWidth="1"/>
    <col min="12279" max="12279" width="14.109375" style="137" customWidth="1"/>
    <col min="12280" max="12280" width="13.88671875" style="137" customWidth="1"/>
    <col min="12281" max="12282" width="12.77734375" style="137" customWidth="1"/>
    <col min="12283" max="12283" width="13.5546875" style="137" customWidth="1"/>
    <col min="12284" max="12284" width="15.33203125" style="137" customWidth="1"/>
    <col min="12285" max="12285" width="12.77734375" style="137" customWidth="1"/>
    <col min="12286" max="12286" width="13.88671875" style="137" customWidth="1"/>
    <col min="12287" max="12287" width="1.88671875" style="137" customWidth="1"/>
    <col min="12288" max="12288" width="13" style="137" customWidth="1"/>
    <col min="12289" max="12528" width="8.88671875" style="137"/>
    <col min="12529" max="12529" width="6" style="137" customWidth="1"/>
    <col min="12530" max="12530" width="1.44140625" style="137" customWidth="1"/>
    <col min="12531" max="12531" width="39.109375" style="137" customWidth="1"/>
    <col min="12532" max="12532" width="12" style="137" customWidth="1"/>
    <col min="12533" max="12533" width="14.44140625" style="137" customWidth="1"/>
    <col min="12534" max="12534" width="11.88671875" style="137" customWidth="1"/>
    <col min="12535" max="12535" width="14.109375" style="137" customWidth="1"/>
    <col min="12536" max="12536" width="13.88671875" style="137" customWidth="1"/>
    <col min="12537" max="12538" width="12.77734375" style="137" customWidth="1"/>
    <col min="12539" max="12539" width="13.5546875" style="137" customWidth="1"/>
    <col min="12540" max="12540" width="15.33203125" style="137" customWidth="1"/>
    <col min="12541" max="12541" width="12.77734375" style="137" customWidth="1"/>
    <col min="12542" max="12542" width="13.88671875" style="137" customWidth="1"/>
    <col min="12543" max="12543" width="1.88671875" style="137" customWidth="1"/>
    <col min="12544" max="12544" width="13" style="137" customWidth="1"/>
    <col min="12545" max="12784" width="8.88671875" style="137"/>
    <col min="12785" max="12785" width="6" style="137" customWidth="1"/>
    <col min="12786" max="12786" width="1.44140625" style="137" customWidth="1"/>
    <col min="12787" max="12787" width="39.109375" style="137" customWidth="1"/>
    <col min="12788" max="12788" width="12" style="137" customWidth="1"/>
    <col min="12789" max="12789" width="14.44140625" style="137" customWidth="1"/>
    <col min="12790" max="12790" width="11.88671875" style="137" customWidth="1"/>
    <col min="12791" max="12791" width="14.109375" style="137" customWidth="1"/>
    <col min="12792" max="12792" width="13.88671875" style="137" customWidth="1"/>
    <col min="12793" max="12794" width="12.77734375" style="137" customWidth="1"/>
    <col min="12795" max="12795" width="13.5546875" style="137" customWidth="1"/>
    <col min="12796" max="12796" width="15.33203125" style="137" customWidth="1"/>
    <col min="12797" max="12797" width="12.77734375" style="137" customWidth="1"/>
    <col min="12798" max="12798" width="13.88671875" style="137" customWidth="1"/>
    <col min="12799" max="12799" width="1.88671875" style="137" customWidth="1"/>
    <col min="12800" max="12800" width="13" style="137" customWidth="1"/>
    <col min="12801" max="13040" width="8.88671875" style="137"/>
    <col min="13041" max="13041" width="6" style="137" customWidth="1"/>
    <col min="13042" max="13042" width="1.44140625" style="137" customWidth="1"/>
    <col min="13043" max="13043" width="39.109375" style="137" customWidth="1"/>
    <col min="13044" max="13044" width="12" style="137" customWidth="1"/>
    <col min="13045" max="13045" width="14.44140625" style="137" customWidth="1"/>
    <col min="13046" max="13046" width="11.88671875" style="137" customWidth="1"/>
    <col min="13047" max="13047" width="14.109375" style="137" customWidth="1"/>
    <col min="13048" max="13048" width="13.88671875" style="137" customWidth="1"/>
    <col min="13049" max="13050" width="12.77734375" style="137" customWidth="1"/>
    <col min="13051" max="13051" width="13.5546875" style="137" customWidth="1"/>
    <col min="13052" max="13052" width="15.33203125" style="137" customWidth="1"/>
    <col min="13053" max="13053" width="12.77734375" style="137" customWidth="1"/>
    <col min="13054" max="13054" width="13.88671875" style="137" customWidth="1"/>
    <col min="13055" max="13055" width="1.88671875" style="137" customWidth="1"/>
    <col min="13056" max="13056" width="13" style="137" customWidth="1"/>
    <col min="13057" max="13296" width="8.88671875" style="137"/>
    <col min="13297" max="13297" width="6" style="137" customWidth="1"/>
    <col min="13298" max="13298" width="1.44140625" style="137" customWidth="1"/>
    <col min="13299" max="13299" width="39.109375" style="137" customWidth="1"/>
    <col min="13300" max="13300" width="12" style="137" customWidth="1"/>
    <col min="13301" max="13301" width="14.44140625" style="137" customWidth="1"/>
    <col min="13302" max="13302" width="11.88671875" style="137" customWidth="1"/>
    <col min="13303" max="13303" width="14.109375" style="137" customWidth="1"/>
    <col min="13304" max="13304" width="13.88671875" style="137" customWidth="1"/>
    <col min="13305" max="13306" width="12.77734375" style="137" customWidth="1"/>
    <col min="13307" max="13307" width="13.5546875" style="137" customWidth="1"/>
    <col min="13308" max="13308" width="15.33203125" style="137" customWidth="1"/>
    <col min="13309" max="13309" width="12.77734375" style="137" customWidth="1"/>
    <col min="13310" max="13310" width="13.88671875" style="137" customWidth="1"/>
    <col min="13311" max="13311" width="1.88671875" style="137" customWidth="1"/>
    <col min="13312" max="13312" width="13" style="137" customWidth="1"/>
    <col min="13313" max="13552" width="8.88671875" style="137"/>
    <col min="13553" max="13553" width="6" style="137" customWidth="1"/>
    <col min="13554" max="13554" width="1.44140625" style="137" customWidth="1"/>
    <col min="13555" max="13555" width="39.109375" style="137" customWidth="1"/>
    <col min="13556" max="13556" width="12" style="137" customWidth="1"/>
    <col min="13557" max="13557" width="14.44140625" style="137" customWidth="1"/>
    <col min="13558" max="13558" width="11.88671875" style="137" customWidth="1"/>
    <col min="13559" max="13559" width="14.109375" style="137" customWidth="1"/>
    <col min="13560" max="13560" width="13.88671875" style="137" customWidth="1"/>
    <col min="13561" max="13562" width="12.77734375" style="137" customWidth="1"/>
    <col min="13563" max="13563" width="13.5546875" style="137" customWidth="1"/>
    <col min="13564" max="13564" width="15.33203125" style="137" customWidth="1"/>
    <col min="13565" max="13565" width="12.77734375" style="137" customWidth="1"/>
    <col min="13566" max="13566" width="13.88671875" style="137" customWidth="1"/>
    <col min="13567" max="13567" width="1.88671875" style="137" customWidth="1"/>
    <col min="13568" max="13568" width="13" style="137" customWidth="1"/>
    <col min="13569" max="13808" width="8.88671875" style="137"/>
    <col min="13809" max="13809" width="6" style="137" customWidth="1"/>
    <col min="13810" max="13810" width="1.44140625" style="137" customWidth="1"/>
    <col min="13811" max="13811" width="39.109375" style="137" customWidth="1"/>
    <col min="13812" max="13812" width="12" style="137" customWidth="1"/>
    <col min="13813" max="13813" width="14.44140625" style="137" customWidth="1"/>
    <col min="13814" max="13814" width="11.88671875" style="137" customWidth="1"/>
    <col min="13815" max="13815" width="14.109375" style="137" customWidth="1"/>
    <col min="13816" max="13816" width="13.88671875" style="137" customWidth="1"/>
    <col min="13817" max="13818" width="12.77734375" style="137" customWidth="1"/>
    <col min="13819" max="13819" width="13.5546875" style="137" customWidth="1"/>
    <col min="13820" max="13820" width="15.33203125" style="137" customWidth="1"/>
    <col min="13821" max="13821" width="12.77734375" style="137" customWidth="1"/>
    <col min="13822" max="13822" width="13.88671875" style="137" customWidth="1"/>
    <col min="13823" max="13823" width="1.88671875" style="137" customWidth="1"/>
    <col min="13824" max="13824" width="13" style="137" customWidth="1"/>
    <col min="13825" max="14064" width="8.88671875" style="137"/>
    <col min="14065" max="14065" width="6" style="137" customWidth="1"/>
    <col min="14066" max="14066" width="1.44140625" style="137" customWidth="1"/>
    <col min="14067" max="14067" width="39.109375" style="137" customWidth="1"/>
    <col min="14068" max="14068" width="12" style="137" customWidth="1"/>
    <col min="14069" max="14069" width="14.44140625" style="137" customWidth="1"/>
    <col min="14070" max="14070" width="11.88671875" style="137" customWidth="1"/>
    <col min="14071" max="14071" width="14.109375" style="137" customWidth="1"/>
    <col min="14072" max="14072" width="13.88671875" style="137" customWidth="1"/>
    <col min="14073" max="14074" width="12.77734375" style="137" customWidth="1"/>
    <col min="14075" max="14075" width="13.5546875" style="137" customWidth="1"/>
    <col min="14076" max="14076" width="15.33203125" style="137" customWidth="1"/>
    <col min="14077" max="14077" width="12.77734375" style="137" customWidth="1"/>
    <col min="14078" max="14078" width="13.88671875" style="137" customWidth="1"/>
    <col min="14079" max="14079" width="1.88671875" style="137" customWidth="1"/>
    <col min="14080" max="14080" width="13" style="137" customWidth="1"/>
    <col min="14081" max="14320" width="8.88671875" style="137"/>
    <col min="14321" max="14321" width="6" style="137" customWidth="1"/>
    <col min="14322" max="14322" width="1.44140625" style="137" customWidth="1"/>
    <col min="14323" max="14323" width="39.109375" style="137" customWidth="1"/>
    <col min="14324" max="14324" width="12" style="137" customWidth="1"/>
    <col min="14325" max="14325" width="14.44140625" style="137" customWidth="1"/>
    <col min="14326" max="14326" width="11.88671875" style="137" customWidth="1"/>
    <col min="14327" max="14327" width="14.109375" style="137" customWidth="1"/>
    <col min="14328" max="14328" width="13.88671875" style="137" customWidth="1"/>
    <col min="14329" max="14330" width="12.77734375" style="137" customWidth="1"/>
    <col min="14331" max="14331" width="13.5546875" style="137" customWidth="1"/>
    <col min="14332" max="14332" width="15.33203125" style="137" customWidth="1"/>
    <col min="14333" max="14333" width="12.77734375" style="137" customWidth="1"/>
    <col min="14334" max="14334" width="13.88671875" style="137" customWidth="1"/>
    <col min="14335" max="14335" width="1.88671875" style="137" customWidth="1"/>
    <col min="14336" max="14336" width="13" style="137" customWidth="1"/>
    <col min="14337" max="14576" width="8.88671875" style="137"/>
    <col min="14577" max="14577" width="6" style="137" customWidth="1"/>
    <col min="14578" max="14578" width="1.44140625" style="137" customWidth="1"/>
    <col min="14579" max="14579" width="39.109375" style="137" customWidth="1"/>
    <col min="14580" max="14580" width="12" style="137" customWidth="1"/>
    <col min="14581" max="14581" width="14.44140625" style="137" customWidth="1"/>
    <col min="14582" max="14582" width="11.88671875" style="137" customWidth="1"/>
    <col min="14583" max="14583" width="14.109375" style="137" customWidth="1"/>
    <col min="14584" max="14584" width="13.88671875" style="137" customWidth="1"/>
    <col min="14585" max="14586" width="12.77734375" style="137" customWidth="1"/>
    <col min="14587" max="14587" width="13.5546875" style="137" customWidth="1"/>
    <col min="14588" max="14588" width="15.33203125" style="137" customWidth="1"/>
    <col min="14589" max="14589" width="12.77734375" style="137" customWidth="1"/>
    <col min="14590" max="14590" width="13.88671875" style="137" customWidth="1"/>
    <col min="14591" max="14591" width="1.88671875" style="137" customWidth="1"/>
    <col min="14592" max="14592" width="13" style="137" customWidth="1"/>
    <col min="14593" max="14832" width="8.88671875" style="137"/>
    <col min="14833" max="14833" width="6" style="137" customWidth="1"/>
    <col min="14834" max="14834" width="1.44140625" style="137" customWidth="1"/>
    <col min="14835" max="14835" width="39.109375" style="137" customWidth="1"/>
    <col min="14836" max="14836" width="12" style="137" customWidth="1"/>
    <col min="14837" max="14837" width="14.44140625" style="137" customWidth="1"/>
    <col min="14838" max="14838" width="11.88671875" style="137" customWidth="1"/>
    <col min="14839" max="14839" width="14.109375" style="137" customWidth="1"/>
    <col min="14840" max="14840" width="13.88671875" style="137" customWidth="1"/>
    <col min="14841" max="14842" width="12.77734375" style="137" customWidth="1"/>
    <col min="14843" max="14843" width="13.5546875" style="137" customWidth="1"/>
    <col min="14844" max="14844" width="15.33203125" style="137" customWidth="1"/>
    <col min="14845" max="14845" width="12.77734375" style="137" customWidth="1"/>
    <col min="14846" max="14846" width="13.88671875" style="137" customWidth="1"/>
    <col min="14847" max="14847" width="1.88671875" style="137" customWidth="1"/>
    <col min="14848" max="14848" width="13" style="137" customWidth="1"/>
    <col min="14849" max="15088" width="8.88671875" style="137"/>
    <col min="15089" max="15089" width="6" style="137" customWidth="1"/>
    <col min="15090" max="15090" width="1.44140625" style="137" customWidth="1"/>
    <col min="15091" max="15091" width="39.109375" style="137" customWidth="1"/>
    <col min="15092" max="15092" width="12" style="137" customWidth="1"/>
    <col min="15093" max="15093" width="14.44140625" style="137" customWidth="1"/>
    <col min="15094" max="15094" width="11.88671875" style="137" customWidth="1"/>
    <col min="15095" max="15095" width="14.109375" style="137" customWidth="1"/>
    <col min="15096" max="15096" width="13.88671875" style="137" customWidth="1"/>
    <col min="15097" max="15098" width="12.77734375" style="137" customWidth="1"/>
    <col min="15099" max="15099" width="13.5546875" style="137" customWidth="1"/>
    <col min="15100" max="15100" width="15.33203125" style="137" customWidth="1"/>
    <col min="15101" max="15101" width="12.77734375" style="137" customWidth="1"/>
    <col min="15102" max="15102" width="13.88671875" style="137" customWidth="1"/>
    <col min="15103" max="15103" width="1.88671875" style="137" customWidth="1"/>
    <col min="15104" max="15104" width="13" style="137" customWidth="1"/>
    <col min="15105" max="15344" width="8.88671875" style="137"/>
    <col min="15345" max="15345" width="6" style="137" customWidth="1"/>
    <col min="15346" max="15346" width="1.44140625" style="137" customWidth="1"/>
    <col min="15347" max="15347" width="39.109375" style="137" customWidth="1"/>
    <col min="15348" max="15348" width="12" style="137" customWidth="1"/>
    <col min="15349" max="15349" width="14.44140625" style="137" customWidth="1"/>
    <col min="15350" max="15350" width="11.88671875" style="137" customWidth="1"/>
    <col min="15351" max="15351" width="14.109375" style="137" customWidth="1"/>
    <col min="15352" max="15352" width="13.88671875" style="137" customWidth="1"/>
    <col min="15353" max="15354" width="12.77734375" style="137" customWidth="1"/>
    <col min="15355" max="15355" width="13.5546875" style="137" customWidth="1"/>
    <col min="15356" max="15356" width="15.33203125" style="137" customWidth="1"/>
    <col min="15357" max="15357" width="12.77734375" style="137" customWidth="1"/>
    <col min="15358" max="15358" width="13.88671875" style="137" customWidth="1"/>
    <col min="15359" max="15359" width="1.88671875" style="137" customWidth="1"/>
    <col min="15360" max="15360" width="13" style="137" customWidth="1"/>
    <col min="15361" max="15600" width="8.88671875" style="137"/>
    <col min="15601" max="15601" width="6" style="137" customWidth="1"/>
    <col min="15602" max="15602" width="1.44140625" style="137" customWidth="1"/>
    <col min="15603" max="15603" width="39.109375" style="137" customWidth="1"/>
    <col min="15604" max="15604" width="12" style="137" customWidth="1"/>
    <col min="15605" max="15605" width="14.44140625" style="137" customWidth="1"/>
    <col min="15606" max="15606" width="11.88671875" style="137" customWidth="1"/>
    <col min="15607" max="15607" width="14.109375" style="137" customWidth="1"/>
    <col min="15608" max="15608" width="13.88671875" style="137" customWidth="1"/>
    <col min="15609" max="15610" width="12.77734375" style="137" customWidth="1"/>
    <col min="15611" max="15611" width="13.5546875" style="137" customWidth="1"/>
    <col min="15612" max="15612" width="15.33203125" style="137" customWidth="1"/>
    <col min="15613" max="15613" width="12.77734375" style="137" customWidth="1"/>
    <col min="15614" max="15614" width="13.88671875" style="137" customWidth="1"/>
    <col min="15615" max="15615" width="1.88671875" style="137" customWidth="1"/>
    <col min="15616" max="15616" width="13" style="137" customWidth="1"/>
    <col min="15617" max="15856" width="8.88671875" style="137"/>
    <col min="15857" max="15857" width="6" style="137" customWidth="1"/>
    <col min="15858" max="15858" width="1.44140625" style="137" customWidth="1"/>
    <col min="15859" max="15859" width="39.109375" style="137" customWidth="1"/>
    <col min="15860" max="15860" width="12" style="137" customWidth="1"/>
    <col min="15861" max="15861" width="14.44140625" style="137" customWidth="1"/>
    <col min="15862" max="15862" width="11.88671875" style="137" customWidth="1"/>
    <col min="15863" max="15863" width="14.109375" style="137" customWidth="1"/>
    <col min="15864" max="15864" width="13.88671875" style="137" customWidth="1"/>
    <col min="15865" max="15866" width="12.77734375" style="137" customWidth="1"/>
    <col min="15867" max="15867" width="13.5546875" style="137" customWidth="1"/>
    <col min="15868" max="15868" width="15.33203125" style="137" customWidth="1"/>
    <col min="15869" max="15869" width="12.77734375" style="137" customWidth="1"/>
    <col min="15870" max="15870" width="13.88671875" style="137" customWidth="1"/>
    <col min="15871" max="15871" width="1.88671875" style="137" customWidth="1"/>
    <col min="15872" max="15872" width="13" style="137" customWidth="1"/>
    <col min="15873" max="16112" width="8.88671875" style="137"/>
    <col min="16113" max="16113" width="6" style="137" customWidth="1"/>
    <col min="16114" max="16114" width="1.44140625" style="137" customWidth="1"/>
    <col min="16115" max="16115" width="39.109375" style="137" customWidth="1"/>
    <col min="16116" max="16116" width="12" style="137" customWidth="1"/>
    <col min="16117" max="16117" width="14.44140625" style="137" customWidth="1"/>
    <col min="16118" max="16118" width="11.88671875" style="137" customWidth="1"/>
    <col min="16119" max="16119" width="14.109375" style="137" customWidth="1"/>
    <col min="16120" max="16120" width="13.88671875" style="137" customWidth="1"/>
    <col min="16121" max="16122" width="12.77734375" style="137" customWidth="1"/>
    <col min="16123" max="16123" width="13.5546875" style="137" customWidth="1"/>
    <col min="16124" max="16124" width="15.33203125" style="137" customWidth="1"/>
    <col min="16125" max="16125" width="12.77734375" style="137" customWidth="1"/>
    <col min="16126" max="16126" width="13.88671875" style="137" customWidth="1"/>
    <col min="16127" max="16127" width="1.88671875" style="137" customWidth="1"/>
    <col min="16128" max="16128" width="13" style="137" customWidth="1"/>
    <col min="16129" max="16368" width="8.88671875" style="137"/>
    <col min="16369" max="16384" width="8.88671875" style="137" customWidth="1"/>
  </cols>
  <sheetData>
    <row r="1" spans="1:49">
      <c r="I1" s="77" t="s">
        <v>365</v>
      </c>
    </row>
    <row r="2" spans="1:49">
      <c r="I2" s="77" t="s">
        <v>417</v>
      </c>
    </row>
    <row r="3" spans="1:49">
      <c r="I3" s="422" t="s">
        <v>231</v>
      </c>
    </row>
    <row r="4" spans="1:49">
      <c r="I4" s="138" t="str">
        <f>'DE Ohio &amp; Kentucky'!J7</f>
        <v>For the 12 months ended: 12/31/2016</v>
      </c>
    </row>
    <row r="5" spans="1:49">
      <c r="C5" s="112"/>
    </row>
    <row r="6" spans="1:49">
      <c r="A6" s="219" t="s">
        <v>309</v>
      </c>
      <c r="B6" s="281"/>
      <c r="C6" s="281"/>
      <c r="D6" s="219"/>
      <c r="E6" s="219"/>
      <c r="F6" s="219"/>
      <c r="G6" s="281"/>
      <c r="H6" s="219"/>
      <c r="I6" s="219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</row>
    <row r="7" spans="1:49">
      <c r="A7" s="220" t="s">
        <v>366</v>
      </c>
      <c r="B7" s="281"/>
      <c r="C7" s="281"/>
      <c r="D7" s="219"/>
      <c r="E7" s="219"/>
      <c r="F7" s="219"/>
      <c r="G7" s="281"/>
      <c r="H7" s="219"/>
      <c r="I7" s="219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</row>
    <row r="8" spans="1:49">
      <c r="A8" s="221"/>
      <c r="B8" s="281"/>
      <c r="C8" s="281"/>
      <c r="D8" s="221"/>
      <c r="E8" s="221"/>
      <c r="F8" s="221"/>
      <c r="G8" s="281"/>
      <c r="H8" s="221"/>
      <c r="I8" s="22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</row>
    <row r="9" spans="1:49">
      <c r="A9" s="283" t="s">
        <v>212</v>
      </c>
      <c r="B9" s="281"/>
      <c r="C9" s="281"/>
      <c r="D9" s="221"/>
      <c r="E9" s="221"/>
      <c r="F9" s="221"/>
      <c r="G9" s="281"/>
      <c r="H9" s="284"/>
      <c r="I9" s="22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</row>
    <row r="10" spans="1:49">
      <c r="A10" s="362" t="s">
        <v>363</v>
      </c>
      <c r="B10" s="281"/>
      <c r="C10" s="281"/>
      <c r="D10" s="221"/>
      <c r="E10" s="221"/>
      <c r="F10" s="221"/>
      <c r="G10" s="281"/>
      <c r="H10" s="284"/>
      <c r="I10" s="22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</row>
    <row r="11" spans="1:49">
      <c r="A11" s="421"/>
      <c r="B11" s="281"/>
      <c r="C11" s="221"/>
      <c r="D11" s="221"/>
      <c r="E11" s="221"/>
      <c r="F11" s="221"/>
      <c r="G11" s="284"/>
      <c r="H11" s="221"/>
      <c r="I11" s="22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</row>
    <row r="12" spans="1:49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</row>
    <row r="13" spans="1:49">
      <c r="A13" s="142"/>
      <c r="C13" s="110"/>
      <c r="D13" s="110"/>
      <c r="E13" s="110"/>
      <c r="F13" s="110"/>
      <c r="G13" s="143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</row>
    <row r="14" spans="1:49">
      <c r="A14" s="142"/>
      <c r="C14" s="110"/>
      <c r="D14" s="110"/>
      <c r="E14" s="110"/>
      <c r="F14" s="110"/>
      <c r="G14" s="110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</row>
    <row r="15" spans="1:49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</row>
    <row r="16" spans="1:49">
      <c r="C16" s="107"/>
      <c r="D16" s="107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</row>
    <row r="17" spans="1:49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</row>
    <row r="18" spans="1:49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</row>
    <row r="19" spans="1:49" ht="15.75">
      <c r="A19" s="151"/>
      <c r="C19" s="107" t="s">
        <v>413</v>
      </c>
      <c r="D19" s="107"/>
      <c r="E19" s="111"/>
      <c r="F19" s="111"/>
      <c r="G19" s="111"/>
      <c r="I19" s="11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</row>
    <row r="20" spans="1:49">
      <c r="A20" s="152">
        <v>1</v>
      </c>
      <c r="C20" s="107" t="s">
        <v>266</v>
      </c>
      <c r="D20" s="107"/>
      <c r="E20" s="844" t="s">
        <v>788</v>
      </c>
      <c r="F20" s="153"/>
      <c r="G20" s="154">
        <f>DEK!J76</f>
        <v>39061243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</row>
    <row r="21" spans="1:49">
      <c r="A21" s="152">
        <v>2</v>
      </c>
      <c r="C21" s="107" t="s">
        <v>267</v>
      </c>
      <c r="D21" s="107"/>
      <c r="E21" s="844" t="s">
        <v>789</v>
      </c>
      <c r="F21" s="153"/>
      <c r="G21" s="154">
        <f>DEK!J92</f>
        <v>25983560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</row>
    <row r="22" spans="1:49">
      <c r="A22" s="152"/>
      <c r="E22" s="844"/>
      <c r="F22" s="153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</row>
    <row r="23" spans="1:49">
      <c r="A23" s="152"/>
      <c r="C23" s="107" t="s">
        <v>232</v>
      </c>
      <c r="D23" s="107"/>
      <c r="E23" s="844"/>
      <c r="F23" s="153"/>
      <c r="G23" s="111"/>
      <c r="I23" s="11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</row>
    <row r="24" spans="1:49">
      <c r="A24" s="152">
        <v>3</v>
      </c>
      <c r="C24" s="107" t="s">
        <v>268</v>
      </c>
      <c r="D24" s="107"/>
      <c r="E24" s="844" t="s">
        <v>790</v>
      </c>
      <c r="F24" s="153"/>
      <c r="G24" s="154">
        <f>DEK!J149</f>
        <v>1828448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</row>
    <row r="25" spans="1:49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4.6809775101114934E-2</v>
      </c>
      <c r="I25" s="156">
        <f>G25</f>
        <v>4.6809775101114934E-2</v>
      </c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</row>
    <row r="26" spans="1:49">
      <c r="A26" s="152"/>
      <c r="E26" s="844"/>
      <c r="F26" s="153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</row>
    <row r="27" spans="1:49">
      <c r="A27" s="152"/>
      <c r="C27" s="107" t="s">
        <v>316</v>
      </c>
      <c r="D27" s="107"/>
      <c r="E27" s="842"/>
      <c r="F27" s="153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</row>
    <row r="28" spans="1:49">
      <c r="A28" s="165" t="s">
        <v>270</v>
      </c>
      <c r="C28" s="107" t="s">
        <v>317</v>
      </c>
      <c r="D28" s="107"/>
      <c r="E28" s="844" t="s">
        <v>791</v>
      </c>
      <c r="F28" s="153"/>
      <c r="G28" s="154">
        <f>DEK!J153+DEK!J154</f>
        <v>87375</v>
      </c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</row>
    <row r="29" spans="1:49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2.236871980750843E-3</v>
      </c>
      <c r="I29" s="156">
        <f>G29</f>
        <v>2.236871980750843E-3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</row>
    <row r="30" spans="1:49">
      <c r="A30" s="152"/>
      <c r="E30" s="844"/>
      <c r="F30" s="153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</row>
    <row r="31" spans="1:49">
      <c r="A31" s="159"/>
      <c r="C31" s="107" t="s">
        <v>235</v>
      </c>
      <c r="D31" s="107"/>
      <c r="E31" s="842"/>
      <c r="F31" s="113"/>
      <c r="G31" s="111"/>
      <c r="I31" s="11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</row>
    <row r="32" spans="1:49">
      <c r="A32" s="159" t="s">
        <v>273</v>
      </c>
      <c r="C32" s="107" t="s">
        <v>237</v>
      </c>
      <c r="D32" s="107"/>
      <c r="E32" s="844" t="s">
        <v>792</v>
      </c>
      <c r="F32" s="153"/>
      <c r="G32" s="154">
        <f>DEK!J166</f>
        <v>271179</v>
      </c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</row>
    <row r="33" spans="1:49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6.942405801064754E-3</v>
      </c>
      <c r="I33" s="156">
        <f>G33</f>
        <v>6.942405801064754E-3</v>
      </c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</row>
    <row r="34" spans="1:49">
      <c r="A34" s="159"/>
      <c r="C34" s="107"/>
      <c r="D34" s="107"/>
      <c r="E34" s="844"/>
      <c r="F34" s="153"/>
      <c r="G34" s="111"/>
      <c r="I34" s="11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</row>
    <row r="35" spans="1:49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5.5989052882930532E-2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</row>
    <row r="36" spans="1:49">
      <c r="A36" s="369"/>
      <c r="C36" s="107"/>
      <c r="D36" s="107"/>
      <c r="E36" s="844"/>
      <c r="F36" s="153"/>
      <c r="G36" s="111"/>
      <c r="I36" s="11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</row>
    <row r="37" spans="1:49">
      <c r="A37" s="165"/>
      <c r="B37" s="166"/>
      <c r="C37" s="111" t="s">
        <v>239</v>
      </c>
      <c r="D37" s="111"/>
      <c r="E37" s="844"/>
      <c r="F37" s="153"/>
      <c r="G37" s="111"/>
      <c r="I37" s="11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</row>
    <row r="38" spans="1:49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154">
        <f>DEK!J179</f>
        <v>724662.32297402271</v>
      </c>
      <c r="I38" s="11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</row>
    <row r="39" spans="1:49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2.7889262401842654E-2</v>
      </c>
      <c r="I39" s="156">
        <f>G39</f>
        <v>2.7889262401842654E-2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</row>
    <row r="40" spans="1:49">
      <c r="A40" s="159"/>
      <c r="C40" s="111"/>
      <c r="D40" s="111"/>
      <c r="E40" s="844"/>
      <c r="F40" s="153"/>
      <c r="G40" s="111"/>
      <c r="I40" s="11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</row>
    <row r="41" spans="1:49">
      <c r="A41" s="159"/>
      <c r="C41" s="107" t="s">
        <v>73</v>
      </c>
      <c r="D41" s="107"/>
      <c r="E41" s="845"/>
      <c r="F41" s="167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</row>
    <row r="42" spans="1:49">
      <c r="A42" s="159" t="s">
        <v>238</v>
      </c>
      <c r="C42" s="107" t="s">
        <v>240</v>
      </c>
      <c r="D42" s="107"/>
      <c r="E42" s="844" t="s">
        <v>794</v>
      </c>
      <c r="F42" s="153"/>
      <c r="G42" s="154">
        <f>DEK!J181</f>
        <v>1484271</v>
      </c>
      <c r="I42" s="11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</row>
    <row r="43" spans="1:49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5.7123465760657896E-2</v>
      </c>
      <c r="I43" s="156">
        <f>G43</f>
        <v>5.7123465760657896E-2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</row>
    <row r="44" spans="1:49">
      <c r="A44" s="159"/>
      <c r="C44" s="107"/>
      <c r="D44" s="107"/>
      <c r="E44" s="844"/>
      <c r="F44" s="153"/>
      <c r="G44" s="111"/>
      <c r="I44" s="11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</row>
    <row r="45" spans="1:49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8.501272816250055E-2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</row>
    <row r="46" spans="1:49"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</row>
    <row r="47" spans="1:49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</row>
    <row r="48" spans="1:49">
      <c r="A48" s="142"/>
      <c r="C48" s="106"/>
      <c r="D48" s="106"/>
      <c r="E48" s="106"/>
      <c r="F48" s="106"/>
      <c r="G48" s="111"/>
      <c r="H48" s="106"/>
      <c r="I48" s="106"/>
      <c r="J48" s="106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</row>
    <row r="49" spans="11:49">
      <c r="X49" s="77" t="s">
        <v>365</v>
      </c>
    </row>
    <row r="50" spans="11:49">
      <c r="X50" s="77" t="s">
        <v>417</v>
      </c>
    </row>
    <row r="51" spans="11:49">
      <c r="X51" s="172" t="s">
        <v>241</v>
      </c>
    </row>
    <row r="52" spans="11:49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5"/>
      <c r="Z52" s="139"/>
      <c r="AA52" s="145"/>
      <c r="AB52" s="146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</row>
    <row r="53" spans="11:49">
      <c r="K53" s="142"/>
      <c r="M53" s="107"/>
      <c r="N53" s="106"/>
      <c r="O53" s="106"/>
      <c r="P53" s="106"/>
      <c r="Q53" s="111"/>
      <c r="R53" s="106"/>
      <c r="S53" s="106"/>
      <c r="T53" s="106"/>
      <c r="U53" s="106"/>
      <c r="W53" s="111"/>
      <c r="Y53" s="145"/>
      <c r="Z53" s="139"/>
      <c r="AA53" s="145"/>
      <c r="AB53" s="146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</row>
    <row r="54" spans="11:49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5"/>
      <c r="Z54" s="139"/>
      <c r="AA54" s="145"/>
      <c r="AB54" s="146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</row>
    <row r="55" spans="11:49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5"/>
      <c r="Z55" s="139"/>
      <c r="AA55" s="145"/>
      <c r="AB55" s="146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</row>
    <row r="56" spans="11:49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X56" s="106"/>
      <c r="Y56" s="145"/>
      <c r="Z56" s="139"/>
      <c r="AA56" s="145"/>
      <c r="AB56" s="146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</row>
    <row r="57" spans="11:49">
      <c r="K57" s="222" t="str">
        <f>A9</f>
        <v>Duke Energy Kentucky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5"/>
      <c r="Z57" s="139"/>
      <c r="AA57" s="145"/>
      <c r="AB57" s="146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</row>
    <row r="58" spans="11:49">
      <c r="K58" s="222" t="str">
        <f>A10</f>
        <v>RTEP - Transmission Enhancement Charges</v>
      </c>
      <c r="L58" s="281"/>
      <c r="M58" s="281"/>
      <c r="N58" s="28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145"/>
      <c r="Z58" s="139"/>
      <c r="AA58" s="145"/>
      <c r="AB58" s="146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</row>
    <row r="59" spans="11:49">
      <c r="K59" s="142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45"/>
      <c r="Z59" s="139"/>
      <c r="AA59" s="145"/>
      <c r="AB59" s="146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</row>
    <row r="60" spans="11:49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5"/>
      <c r="Z60" s="139"/>
      <c r="AA60" s="145"/>
      <c r="AB60" s="146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</row>
    <row r="61" spans="11:49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5"/>
      <c r="Z61" s="139"/>
      <c r="AA61" s="145"/>
      <c r="AB61" s="146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</row>
    <row r="62" spans="11:49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5"/>
      <c r="Z62" s="139"/>
      <c r="AA62" s="145"/>
      <c r="AB62" s="146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</row>
    <row r="63" spans="11:49" ht="63">
      <c r="K63" s="174" t="s">
        <v>279</v>
      </c>
      <c r="L63" s="175"/>
      <c r="M63" s="175" t="s">
        <v>249</v>
      </c>
      <c r="N63" s="176" t="s">
        <v>414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58"/>
      <c r="Z63" s="139"/>
      <c r="AA63" s="145"/>
      <c r="AB63" s="146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</row>
    <row r="64" spans="11:49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846" t="s">
        <v>23</v>
      </c>
      <c r="S64" s="846" t="s">
        <v>781</v>
      </c>
      <c r="T64" s="184" t="s">
        <v>290</v>
      </c>
      <c r="U64" s="846" t="s">
        <v>291</v>
      </c>
      <c r="V64" s="184" t="s">
        <v>292</v>
      </c>
      <c r="W64" s="185" t="s">
        <v>242</v>
      </c>
      <c r="X64" s="186" t="s">
        <v>293</v>
      </c>
      <c r="Y64" s="145"/>
      <c r="Z64" s="139"/>
      <c r="AA64" s="145"/>
      <c r="AB64" s="146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</row>
    <row r="65" spans="11:49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5"/>
      <c r="Z65" s="139"/>
      <c r="AA65" s="145"/>
      <c r="AB65" s="146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</row>
    <row r="66" spans="11:49">
      <c r="K66" s="496" t="s">
        <v>3</v>
      </c>
      <c r="L66" s="433"/>
      <c r="M66" s="433"/>
      <c r="N66" s="433"/>
      <c r="O66" s="250">
        <v>0</v>
      </c>
      <c r="P66" s="156">
        <f>$I$35</f>
        <v>5.5989052882930532E-2</v>
      </c>
      <c r="Q66" s="192">
        <f>O66*P66</f>
        <v>0</v>
      </c>
      <c r="R66" s="191">
        <v>0</v>
      </c>
      <c r="S66" s="156">
        <f>$I$45</f>
        <v>8.501272816250055E-2</v>
      </c>
      <c r="T66" s="192">
        <f>R66*S66</f>
        <v>0</v>
      </c>
      <c r="U66" s="193">
        <v>0</v>
      </c>
      <c r="V66" s="192">
        <f>Q66+T66+U66</f>
        <v>0</v>
      </c>
      <c r="W66" s="194">
        <v>0</v>
      </c>
      <c r="X66" s="192">
        <f>V66+W66</f>
        <v>0</v>
      </c>
      <c r="Y66" s="195"/>
      <c r="Z66" s="195"/>
      <c r="AA66" s="195"/>
      <c r="AB66" s="195"/>
      <c r="AC66" s="195"/>
      <c r="AD66" s="195"/>
      <c r="AE66" s="195"/>
    </row>
    <row r="67" spans="11:49">
      <c r="K67" s="496" t="s">
        <v>296</v>
      </c>
      <c r="L67" s="433"/>
      <c r="M67" s="433"/>
      <c r="N67" s="433"/>
      <c r="O67" s="250">
        <v>0</v>
      </c>
      <c r="P67" s="156">
        <f>$I$35</f>
        <v>5.5989052882930532E-2</v>
      </c>
      <c r="Q67" s="192">
        <f>O67*P67</f>
        <v>0</v>
      </c>
      <c r="R67" s="191">
        <v>0</v>
      </c>
      <c r="S67" s="156">
        <f>$I$45</f>
        <v>8.501272816250055E-2</v>
      </c>
      <c r="T67" s="192">
        <f>R67*S67</f>
        <v>0</v>
      </c>
      <c r="U67" s="193">
        <v>0</v>
      </c>
      <c r="V67" s="192">
        <f>Q67+T67+U67</f>
        <v>0</v>
      </c>
      <c r="W67" s="194">
        <v>0</v>
      </c>
      <c r="X67" s="192">
        <f>V67+W67</f>
        <v>0</v>
      </c>
      <c r="Y67" s="195"/>
      <c r="Z67" s="195"/>
      <c r="AA67" s="195"/>
      <c r="AB67" s="195"/>
      <c r="AC67" s="195"/>
      <c r="AD67" s="195"/>
      <c r="AE67" s="195"/>
    </row>
    <row r="68" spans="11:49">
      <c r="K68" s="496" t="s">
        <v>299</v>
      </c>
      <c r="L68" s="433"/>
      <c r="M68" s="433"/>
      <c r="N68" s="433"/>
      <c r="O68" s="250">
        <v>0</v>
      </c>
      <c r="P68" s="156">
        <f>$I$35</f>
        <v>5.5989052882930532E-2</v>
      </c>
      <c r="Q68" s="192">
        <f>O68*P68</f>
        <v>0</v>
      </c>
      <c r="R68" s="191">
        <v>0</v>
      </c>
      <c r="S68" s="156">
        <f>$I$45</f>
        <v>8.501272816250055E-2</v>
      </c>
      <c r="T68" s="192">
        <f>R68*S68</f>
        <v>0</v>
      </c>
      <c r="U68" s="193">
        <v>0</v>
      </c>
      <c r="V68" s="192">
        <f>Q68+T68+U68</f>
        <v>0</v>
      </c>
      <c r="W68" s="191">
        <v>0</v>
      </c>
      <c r="X68" s="192">
        <f>V68+W68</f>
        <v>0</v>
      </c>
      <c r="Y68" s="195"/>
      <c r="Z68" s="195"/>
      <c r="AA68" s="195"/>
      <c r="AB68" s="195"/>
      <c r="AC68" s="195"/>
      <c r="AD68" s="195"/>
      <c r="AE68" s="195"/>
    </row>
    <row r="69" spans="11:49">
      <c r="K69" s="190"/>
      <c r="Q69" s="192"/>
      <c r="T69" s="192"/>
      <c r="V69" s="192"/>
      <c r="X69" s="192"/>
      <c r="Y69" s="195"/>
      <c r="Z69" s="195"/>
      <c r="AA69" s="195"/>
      <c r="AB69" s="195"/>
      <c r="AC69" s="195"/>
      <c r="AD69" s="195"/>
      <c r="AE69" s="195"/>
    </row>
    <row r="70" spans="11:49">
      <c r="K70" s="190"/>
      <c r="Q70" s="192"/>
      <c r="T70" s="192"/>
      <c r="V70" s="192"/>
      <c r="X70" s="192"/>
      <c r="Y70" s="195"/>
      <c r="Z70" s="195"/>
      <c r="AA70" s="195"/>
      <c r="AB70" s="195"/>
      <c r="AC70" s="195"/>
      <c r="AD70" s="195"/>
      <c r="AE70" s="195"/>
    </row>
    <row r="71" spans="11:49">
      <c r="K71" s="190"/>
      <c r="Q71" s="192"/>
      <c r="T71" s="192"/>
      <c r="V71" s="192"/>
      <c r="X71" s="192"/>
      <c r="Y71" s="195"/>
      <c r="Z71" s="195"/>
      <c r="AA71" s="195"/>
      <c r="AB71" s="195"/>
      <c r="AC71" s="195"/>
      <c r="AD71" s="195"/>
      <c r="AE71" s="195"/>
    </row>
    <row r="72" spans="11:49">
      <c r="K72" s="190"/>
      <c r="Q72" s="192"/>
      <c r="T72" s="192"/>
      <c r="V72" s="192"/>
      <c r="X72" s="192"/>
      <c r="Y72" s="195"/>
      <c r="Z72" s="195"/>
      <c r="AA72" s="195"/>
      <c r="AB72" s="195"/>
      <c r="AC72" s="195"/>
      <c r="AD72" s="195"/>
      <c r="AE72" s="195"/>
    </row>
    <row r="73" spans="11:49">
      <c r="K73" s="190"/>
      <c r="Q73" s="192"/>
      <c r="T73" s="192"/>
      <c r="V73" s="192"/>
      <c r="X73" s="192"/>
      <c r="Y73" s="195"/>
      <c r="Z73" s="195"/>
      <c r="AA73" s="195"/>
      <c r="AB73" s="195"/>
      <c r="AC73" s="195"/>
      <c r="AD73" s="195"/>
      <c r="AE73" s="195"/>
    </row>
    <row r="74" spans="11:49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  <c r="Y74" s="195"/>
      <c r="Z74" s="195"/>
      <c r="AA74" s="195"/>
      <c r="AB74" s="195"/>
      <c r="AC74" s="195"/>
      <c r="AD74" s="195"/>
      <c r="AE74" s="195"/>
    </row>
    <row r="75" spans="11:49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  <c r="Y75" s="195"/>
      <c r="Z75" s="195"/>
      <c r="AA75" s="195"/>
      <c r="AB75" s="195"/>
      <c r="AC75" s="195"/>
      <c r="AD75" s="195"/>
      <c r="AE75" s="195"/>
    </row>
    <row r="76" spans="11:49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  <c r="Y76" s="195"/>
      <c r="Z76" s="195"/>
      <c r="AA76" s="195"/>
      <c r="AB76" s="195"/>
      <c r="AC76" s="195"/>
      <c r="AD76" s="195"/>
      <c r="AE76" s="195"/>
    </row>
    <row r="77" spans="11:49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  <c r="Y77" s="195"/>
      <c r="Z77" s="195"/>
      <c r="AA77" s="195"/>
      <c r="AB77" s="195"/>
      <c r="AC77" s="195"/>
      <c r="AD77" s="195"/>
      <c r="AE77" s="195"/>
    </row>
    <row r="78" spans="11:49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  <c r="Y78" s="195"/>
      <c r="Z78" s="195"/>
      <c r="AA78" s="195"/>
      <c r="AB78" s="195"/>
      <c r="AC78" s="195"/>
      <c r="AD78" s="195"/>
      <c r="AE78" s="195"/>
    </row>
    <row r="79" spans="11:49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  <c r="Y79" s="195"/>
      <c r="Z79" s="195"/>
      <c r="AA79" s="195"/>
      <c r="AB79" s="195"/>
      <c r="AC79" s="195"/>
      <c r="AD79" s="195"/>
      <c r="AE79" s="195"/>
    </row>
    <row r="80" spans="11:49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  <c r="Y80" s="195"/>
      <c r="Z80" s="195"/>
      <c r="AA80" s="195"/>
      <c r="AB80" s="195"/>
      <c r="AC80" s="195"/>
      <c r="AD80" s="195"/>
      <c r="AE80" s="195"/>
    </row>
    <row r="81" spans="11:31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  <c r="Y81" s="195"/>
      <c r="Z81" s="195"/>
      <c r="AA81" s="195"/>
      <c r="AB81" s="195"/>
      <c r="AC81" s="195"/>
      <c r="AD81" s="195"/>
      <c r="AE81" s="195"/>
    </row>
    <row r="82" spans="11:31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  <c r="Y82" s="195"/>
      <c r="Z82" s="195"/>
      <c r="AA82" s="195"/>
      <c r="AB82" s="195"/>
      <c r="AC82" s="195"/>
      <c r="AD82" s="195"/>
      <c r="AE82" s="195"/>
    </row>
    <row r="83" spans="11:31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  <c r="Y83" s="195"/>
      <c r="Z83" s="195"/>
      <c r="AA83" s="195"/>
      <c r="AB83" s="195"/>
      <c r="AC83" s="195"/>
      <c r="AD83" s="195"/>
      <c r="AE83" s="195"/>
    </row>
    <row r="84" spans="11:31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  <c r="Y84" s="195"/>
      <c r="Z84" s="195"/>
      <c r="AA84" s="195"/>
      <c r="AB84" s="195"/>
      <c r="AC84" s="195"/>
      <c r="AD84" s="195"/>
      <c r="AE84" s="195"/>
    </row>
    <row r="85" spans="11:31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  <c r="Y85" s="195"/>
      <c r="Z85" s="195"/>
      <c r="AA85" s="195"/>
      <c r="AB85" s="195"/>
      <c r="AC85" s="195"/>
      <c r="AD85" s="195"/>
      <c r="AE85" s="195"/>
    </row>
    <row r="86" spans="11:31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0</v>
      </c>
      <c r="W86" s="202">
        <f>SUM(W66:W85)</f>
        <v>0</v>
      </c>
      <c r="X86" s="202">
        <f>SUM(X66:X85)</f>
        <v>0</v>
      </c>
      <c r="Y86" s="195"/>
      <c r="Z86" s="195"/>
      <c r="AA86" s="195"/>
      <c r="AB86" s="195"/>
      <c r="AC86" s="195"/>
      <c r="AD86" s="195"/>
      <c r="AE86" s="195"/>
    </row>
    <row r="87" spans="11:31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</row>
    <row r="88" spans="11:31">
      <c r="K88" s="201">
        <v>3</v>
      </c>
      <c r="L88" s="195"/>
      <c r="M88" s="850" t="s">
        <v>783</v>
      </c>
      <c r="N88" s="195"/>
      <c r="O88" s="195"/>
      <c r="P88" s="195"/>
      <c r="Q88" s="195"/>
      <c r="R88" s="195"/>
      <c r="S88" s="195"/>
      <c r="T88" s="195"/>
      <c r="U88" s="195"/>
      <c r="V88" s="202"/>
      <c r="W88" s="195"/>
      <c r="X88" s="202">
        <f>X86</f>
        <v>0</v>
      </c>
      <c r="Y88" s="195"/>
      <c r="Z88" s="195"/>
      <c r="AA88" s="195"/>
      <c r="AB88" s="195"/>
      <c r="AC88" s="195"/>
      <c r="AD88" s="195"/>
      <c r="AE88" s="195"/>
    </row>
    <row r="89" spans="11:31"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</row>
    <row r="90" spans="11:31"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</row>
    <row r="91" spans="11:31">
      <c r="K91" s="106" t="s">
        <v>113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</row>
    <row r="92" spans="11:31" ht="15.75" thickBot="1">
      <c r="K92" s="203" t="s">
        <v>114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</row>
    <row r="93" spans="11:31">
      <c r="K93" s="204" t="s">
        <v>115</v>
      </c>
      <c r="L93" s="109"/>
      <c r="M93" s="1042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  <c r="Y93" s="195"/>
      <c r="Z93" s="195"/>
      <c r="AA93" s="195"/>
      <c r="AB93" s="195"/>
      <c r="AC93" s="195"/>
      <c r="AD93" s="195"/>
      <c r="AE93" s="195"/>
    </row>
    <row r="94" spans="11:31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  <c r="Y94" s="195"/>
      <c r="Z94" s="195"/>
      <c r="AA94" s="195"/>
      <c r="AB94" s="195"/>
      <c r="AC94" s="195"/>
      <c r="AD94" s="195"/>
      <c r="AE94" s="195"/>
    </row>
    <row r="95" spans="11:31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  <c r="Y95" s="195"/>
      <c r="Z95" s="195"/>
      <c r="AA95" s="195"/>
      <c r="AB95" s="195"/>
      <c r="AC95" s="195"/>
      <c r="AD95" s="195"/>
      <c r="AE95" s="195"/>
    </row>
    <row r="96" spans="11:31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  <c r="Y96" s="195"/>
      <c r="Z96" s="195"/>
      <c r="AA96" s="195"/>
      <c r="AB96" s="195"/>
      <c r="AC96" s="195"/>
      <c r="AD96" s="195"/>
      <c r="AE96" s="195"/>
    </row>
    <row r="97" spans="3:31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  <c r="Y97" s="195"/>
      <c r="Z97" s="195"/>
      <c r="AA97" s="195"/>
      <c r="AB97" s="195"/>
      <c r="AC97" s="195"/>
      <c r="AD97" s="195"/>
      <c r="AE97" s="195"/>
    </row>
    <row r="98" spans="3:31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  <c r="Y98" s="195"/>
      <c r="Z98" s="195"/>
      <c r="AA98" s="195"/>
      <c r="AB98" s="195"/>
      <c r="AC98" s="195"/>
      <c r="AD98" s="195"/>
      <c r="AE98" s="195"/>
    </row>
    <row r="99" spans="3:31">
      <c r="K99" s="204" t="s">
        <v>121</v>
      </c>
      <c r="L99" s="109"/>
      <c r="M99" s="1041" t="s">
        <v>782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  <c r="Y99" s="195"/>
      <c r="Z99" s="195"/>
      <c r="AA99" s="195"/>
      <c r="AB99" s="195"/>
      <c r="AC99" s="195"/>
      <c r="AD99" s="195"/>
      <c r="AE99" s="195"/>
    </row>
    <row r="100" spans="3:31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  <c r="Y100" s="195"/>
      <c r="Z100" s="195"/>
      <c r="AA100" s="195"/>
      <c r="AB100" s="195"/>
      <c r="AC100" s="195"/>
      <c r="AD100" s="195"/>
      <c r="AE100" s="195"/>
    </row>
    <row r="101" spans="3:31" ht="15.75">
      <c r="K101" s="169"/>
      <c r="L101" s="206"/>
      <c r="M101" s="207"/>
      <c r="N101" s="165"/>
      <c r="O101" s="113"/>
      <c r="P101" s="113"/>
      <c r="Q101" s="111"/>
      <c r="R101" s="106"/>
      <c r="S101" s="106"/>
      <c r="T101" s="155"/>
      <c r="U101" s="106"/>
      <c r="W101" s="111"/>
      <c r="X101" s="170"/>
      <c r="Y101" s="195"/>
      <c r="Z101" s="195"/>
      <c r="AA101" s="195"/>
      <c r="AB101" s="195"/>
      <c r="AC101" s="195"/>
      <c r="AD101" s="195"/>
      <c r="AE101" s="195"/>
    </row>
    <row r="102" spans="3:31" ht="15.75">
      <c r="K102" s="169"/>
      <c r="L102" s="206"/>
      <c r="M102" s="207"/>
      <c r="N102" s="165"/>
      <c r="O102" s="113"/>
      <c r="P102" s="113"/>
      <c r="Q102" s="111"/>
      <c r="R102" s="106"/>
      <c r="S102" s="106"/>
      <c r="T102" s="155"/>
      <c r="U102" s="106"/>
      <c r="W102" s="111"/>
      <c r="X102" s="157"/>
      <c r="Y102" s="195"/>
      <c r="Z102" s="195"/>
      <c r="AA102" s="195"/>
      <c r="AB102" s="195"/>
      <c r="AC102" s="195"/>
      <c r="AD102" s="195"/>
      <c r="AE102" s="195"/>
    </row>
    <row r="103" spans="3:31"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</row>
    <row r="104" spans="3:31"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</row>
    <row r="105" spans="3:31"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</row>
    <row r="106" spans="3:31"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</row>
    <row r="107" spans="3:31"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</row>
    <row r="108" spans="3:31">
      <c r="C108" s="195"/>
      <c r="D108" s="195"/>
      <c r="E108" s="195"/>
      <c r="F108" s="195"/>
      <c r="G108" s="195"/>
      <c r="H108" s="195"/>
      <c r="I108" s="195"/>
      <c r="J108" s="195"/>
    </row>
    <row r="109" spans="3:31">
      <c r="C109" s="195"/>
      <c r="D109" s="195"/>
      <c r="E109" s="195"/>
      <c r="F109" s="195"/>
      <c r="G109" s="195"/>
      <c r="H109" s="195"/>
      <c r="I109" s="195"/>
      <c r="J109" s="195"/>
    </row>
    <row r="110" spans="3:31">
      <c r="C110" s="195"/>
      <c r="D110" s="195"/>
      <c r="E110" s="195"/>
      <c r="F110" s="195"/>
      <c r="G110" s="195"/>
      <c r="H110" s="195"/>
      <c r="I110" s="195"/>
      <c r="J110" s="195"/>
    </row>
    <row r="111" spans="3:31">
      <c r="C111" s="195"/>
      <c r="D111" s="195"/>
      <c r="E111" s="195"/>
      <c r="F111" s="195"/>
      <c r="G111" s="195"/>
      <c r="H111" s="195"/>
      <c r="I111" s="195"/>
      <c r="J111" s="195"/>
    </row>
    <row r="112" spans="3:31">
      <c r="C112" s="195"/>
      <c r="D112" s="195"/>
      <c r="E112" s="195"/>
      <c r="F112" s="195"/>
      <c r="G112" s="195"/>
      <c r="H112" s="195"/>
      <c r="I112" s="195"/>
      <c r="J112" s="195"/>
    </row>
    <row r="113" spans="3:10">
      <c r="C113" s="195"/>
      <c r="D113" s="195"/>
      <c r="E113" s="195"/>
      <c r="F113" s="195"/>
      <c r="G113" s="195"/>
      <c r="H113" s="195"/>
      <c r="I113" s="195"/>
      <c r="J113" s="195"/>
    </row>
    <row r="114" spans="3:10">
      <c r="C114" s="195"/>
      <c r="D114" s="195"/>
      <c r="E114" s="195"/>
      <c r="F114" s="195"/>
      <c r="G114" s="195"/>
      <c r="H114" s="195"/>
      <c r="I114" s="195"/>
      <c r="J114" s="195"/>
    </row>
    <row r="115" spans="3:10">
      <c r="C115" s="195"/>
      <c r="D115" s="195"/>
      <c r="E115" s="195"/>
      <c r="F115" s="195"/>
      <c r="G115" s="195"/>
      <c r="H115" s="195"/>
      <c r="I115" s="195"/>
      <c r="J115" s="195"/>
    </row>
    <row r="116" spans="3:10">
      <c r="C116" s="195"/>
      <c r="D116" s="195"/>
      <c r="E116" s="195"/>
      <c r="F116" s="195"/>
      <c r="G116" s="195"/>
      <c r="H116" s="195"/>
      <c r="I116" s="195"/>
      <c r="J116" s="195"/>
    </row>
    <row r="117" spans="3:10">
      <c r="C117" s="195"/>
      <c r="D117" s="195"/>
      <c r="E117" s="195"/>
      <c r="F117" s="195"/>
      <c r="G117" s="195"/>
      <c r="H117" s="195"/>
      <c r="I117" s="195"/>
      <c r="J117" s="195"/>
    </row>
    <row r="118" spans="3:10">
      <c r="C118" s="195"/>
      <c r="D118" s="195"/>
      <c r="E118" s="195"/>
      <c r="F118" s="195"/>
      <c r="G118" s="195"/>
      <c r="H118" s="195"/>
      <c r="I118" s="195"/>
      <c r="J118" s="195"/>
    </row>
    <row r="119" spans="3:10">
      <c r="C119" s="195"/>
      <c r="D119" s="195"/>
      <c r="E119" s="195"/>
      <c r="F119" s="195"/>
      <c r="G119" s="195"/>
      <c r="H119" s="195"/>
      <c r="I119" s="195"/>
      <c r="J119" s="195"/>
    </row>
    <row r="120" spans="3:10">
      <c r="C120" s="195"/>
      <c r="D120" s="195"/>
      <c r="E120" s="195"/>
      <c r="F120" s="195"/>
      <c r="G120" s="195"/>
      <c r="H120" s="195"/>
      <c r="I120" s="195"/>
      <c r="J120" s="195"/>
    </row>
    <row r="121" spans="3:10">
      <c r="C121" s="195"/>
      <c r="D121" s="195"/>
      <c r="E121" s="195"/>
      <c r="F121" s="195"/>
      <c r="G121" s="195"/>
      <c r="H121" s="195"/>
      <c r="I121" s="195"/>
      <c r="J121" s="195"/>
    </row>
    <row r="122" spans="3:10">
      <c r="C122" s="195"/>
      <c r="D122" s="195"/>
      <c r="E122" s="195"/>
      <c r="F122" s="195"/>
      <c r="G122" s="195"/>
      <c r="H122" s="195"/>
      <c r="I122" s="195"/>
      <c r="J122" s="195"/>
    </row>
    <row r="123" spans="3:10">
      <c r="C123" s="195"/>
      <c r="D123" s="195"/>
      <c r="E123" s="195"/>
      <c r="F123" s="195"/>
      <c r="G123" s="195"/>
      <c r="H123" s="195"/>
      <c r="I123" s="195"/>
      <c r="J123" s="195"/>
    </row>
    <row r="124" spans="3:10">
      <c r="C124" s="195"/>
      <c r="D124" s="195"/>
      <c r="E124" s="195"/>
      <c r="F124" s="195"/>
      <c r="G124" s="195"/>
      <c r="H124" s="195"/>
      <c r="I124" s="195"/>
      <c r="J124" s="195"/>
    </row>
    <row r="125" spans="3:10">
      <c r="C125" s="195"/>
      <c r="D125" s="195"/>
      <c r="E125" s="195"/>
      <c r="F125" s="195"/>
      <c r="G125" s="195"/>
      <c r="H125" s="195"/>
      <c r="I125" s="195"/>
      <c r="J125" s="195"/>
    </row>
    <row r="126" spans="3:10">
      <c r="C126" s="195"/>
      <c r="D126" s="195"/>
      <c r="E126" s="195"/>
      <c r="F126" s="195"/>
      <c r="G126" s="195"/>
      <c r="H126" s="195"/>
      <c r="I126" s="195"/>
      <c r="J126" s="195"/>
    </row>
    <row r="127" spans="3:10">
      <c r="C127" s="195"/>
      <c r="D127" s="195"/>
      <c r="E127" s="195"/>
      <c r="F127" s="195"/>
      <c r="G127" s="195"/>
      <c r="H127" s="195"/>
      <c r="I127" s="195"/>
      <c r="J127" s="195"/>
    </row>
    <row r="128" spans="3:10">
      <c r="C128" s="195"/>
      <c r="D128" s="195"/>
      <c r="E128" s="195"/>
      <c r="F128" s="195"/>
      <c r="G128" s="195"/>
      <c r="H128" s="195"/>
      <c r="I128" s="195"/>
      <c r="J128" s="195"/>
    </row>
    <row r="129" spans="3:10">
      <c r="C129" s="195"/>
      <c r="D129" s="195"/>
      <c r="E129" s="195"/>
      <c r="F129" s="195"/>
      <c r="G129" s="195"/>
      <c r="H129" s="195"/>
      <c r="I129" s="195"/>
      <c r="J129" s="195"/>
    </row>
    <row r="130" spans="3:10">
      <c r="C130" s="195"/>
      <c r="D130" s="195"/>
      <c r="E130" s="195"/>
      <c r="F130" s="195"/>
      <c r="G130" s="195"/>
      <c r="H130" s="195"/>
      <c r="I130" s="195"/>
      <c r="J130" s="195"/>
    </row>
    <row r="131" spans="3:10">
      <c r="C131" s="195"/>
      <c r="D131" s="195"/>
      <c r="E131" s="195"/>
      <c r="F131" s="195"/>
      <c r="G131" s="195"/>
      <c r="H131" s="195"/>
      <c r="I131" s="195"/>
      <c r="J131" s="195"/>
    </row>
    <row r="132" spans="3:10">
      <c r="C132" s="195"/>
      <c r="D132" s="195"/>
      <c r="E132" s="195"/>
      <c r="F132" s="195"/>
      <c r="G132" s="195"/>
      <c r="H132" s="195"/>
      <c r="I132" s="195"/>
      <c r="J132" s="195"/>
    </row>
    <row r="133" spans="3:10">
      <c r="C133" s="195"/>
      <c r="D133" s="195"/>
      <c r="E133" s="195"/>
      <c r="F133" s="195"/>
      <c r="G133" s="195"/>
      <c r="H133" s="195"/>
      <c r="I133" s="195"/>
      <c r="J133" s="195"/>
    </row>
    <row r="134" spans="3:10">
      <c r="C134" s="195"/>
      <c r="D134" s="195"/>
      <c r="E134" s="195"/>
      <c r="F134" s="195"/>
      <c r="G134" s="195"/>
      <c r="H134" s="195"/>
      <c r="I134" s="195"/>
      <c r="J134" s="195"/>
    </row>
    <row r="135" spans="3:10">
      <c r="C135" s="195"/>
      <c r="D135" s="195"/>
      <c r="E135" s="195"/>
      <c r="F135" s="195"/>
      <c r="G135" s="195"/>
      <c r="H135" s="195"/>
      <c r="I135" s="195"/>
      <c r="J135" s="195"/>
    </row>
    <row r="136" spans="3:10">
      <c r="C136" s="195"/>
      <c r="D136" s="195"/>
      <c r="E136" s="195"/>
      <c r="F136" s="195"/>
      <c r="G136" s="195"/>
      <c r="H136" s="195"/>
      <c r="I136" s="195"/>
      <c r="J136" s="195"/>
    </row>
    <row r="137" spans="3:10">
      <c r="C137" s="195"/>
      <c r="D137" s="195"/>
      <c r="E137" s="195"/>
      <c r="F137" s="195"/>
      <c r="G137" s="195"/>
      <c r="H137" s="195"/>
      <c r="I137" s="195"/>
      <c r="J137" s="195"/>
    </row>
    <row r="138" spans="3:10">
      <c r="C138" s="195"/>
      <c r="D138" s="195"/>
      <c r="E138" s="195"/>
      <c r="F138" s="195"/>
      <c r="G138" s="195"/>
      <c r="H138" s="195"/>
      <c r="I138" s="195"/>
      <c r="J138" s="195"/>
    </row>
    <row r="139" spans="3:10">
      <c r="C139" s="195"/>
      <c r="D139" s="195"/>
      <c r="E139" s="195"/>
      <c r="F139" s="195"/>
      <c r="G139" s="195"/>
      <c r="H139" s="195"/>
      <c r="I139" s="195"/>
      <c r="J139" s="195"/>
    </row>
    <row r="140" spans="3:10">
      <c r="C140" s="195"/>
      <c r="D140" s="195"/>
      <c r="E140" s="195"/>
      <c r="F140" s="195"/>
      <c r="G140" s="195"/>
      <c r="H140" s="195"/>
      <c r="I140" s="195"/>
      <c r="J140" s="195"/>
    </row>
    <row r="141" spans="3:10">
      <c r="C141" s="195"/>
      <c r="D141" s="195"/>
      <c r="E141" s="195"/>
      <c r="F141" s="195"/>
      <c r="G141" s="195"/>
      <c r="H141" s="195"/>
      <c r="I141" s="195"/>
      <c r="J141" s="195"/>
    </row>
    <row r="142" spans="3:10">
      <c r="C142" s="195"/>
      <c r="D142" s="195"/>
      <c r="E142" s="195"/>
      <c r="F142" s="195"/>
      <c r="G142" s="195"/>
      <c r="H142" s="195"/>
      <c r="I142" s="195"/>
      <c r="J142" s="195"/>
    </row>
    <row r="143" spans="3:10">
      <c r="C143" s="195"/>
      <c r="D143" s="195"/>
      <c r="E143" s="195"/>
      <c r="F143" s="195"/>
      <c r="G143" s="195"/>
      <c r="H143" s="195"/>
      <c r="I143" s="195"/>
      <c r="J143" s="195"/>
    </row>
    <row r="144" spans="3:10">
      <c r="C144" s="195"/>
      <c r="D144" s="195"/>
      <c r="E144" s="195"/>
      <c r="F144" s="195"/>
      <c r="G144" s="195"/>
      <c r="H144" s="195"/>
      <c r="I144" s="195"/>
      <c r="J144" s="195"/>
    </row>
    <row r="145" spans="3:10">
      <c r="C145" s="195"/>
      <c r="D145" s="195"/>
      <c r="E145" s="195"/>
      <c r="F145" s="195"/>
      <c r="G145" s="195"/>
      <c r="H145" s="195"/>
      <c r="I145" s="195"/>
      <c r="J145" s="195"/>
    </row>
    <row r="146" spans="3:10">
      <c r="C146" s="195"/>
      <c r="D146" s="195"/>
      <c r="E146" s="195"/>
      <c r="F146" s="195"/>
      <c r="G146" s="195"/>
      <c r="H146" s="195"/>
      <c r="I146" s="195"/>
      <c r="J146" s="195"/>
    </row>
    <row r="147" spans="3:10">
      <c r="C147" s="195"/>
      <c r="D147" s="195"/>
      <c r="E147" s="195"/>
      <c r="F147" s="195"/>
      <c r="G147" s="195"/>
      <c r="H147" s="195"/>
      <c r="I147" s="195"/>
      <c r="J147" s="195"/>
    </row>
    <row r="148" spans="3:10">
      <c r="C148" s="195"/>
      <c r="D148" s="195"/>
      <c r="E148" s="195"/>
      <c r="F148" s="195"/>
      <c r="G148" s="195"/>
      <c r="H148" s="195"/>
      <c r="I148" s="195"/>
      <c r="J148" s="195"/>
    </row>
    <row r="149" spans="3:10">
      <c r="C149" s="195"/>
      <c r="D149" s="195"/>
      <c r="E149" s="195"/>
      <c r="F149" s="195"/>
      <c r="G149" s="195"/>
      <c r="H149" s="195"/>
      <c r="I149" s="195"/>
      <c r="J149" s="195"/>
    </row>
    <row r="150" spans="3:10">
      <c r="C150" s="195"/>
      <c r="D150" s="195"/>
      <c r="E150" s="195"/>
      <c r="F150" s="195"/>
      <c r="G150" s="195"/>
      <c r="H150" s="195"/>
      <c r="I150" s="195"/>
      <c r="J150" s="195"/>
    </row>
    <row r="151" spans="3:10">
      <c r="C151" s="195"/>
      <c r="D151" s="195"/>
      <c r="E151" s="195"/>
      <c r="F151" s="195"/>
      <c r="G151" s="195"/>
      <c r="H151" s="195"/>
      <c r="I151" s="195"/>
      <c r="J151" s="195"/>
    </row>
    <row r="152" spans="3:10">
      <c r="C152" s="195"/>
      <c r="D152" s="195"/>
      <c r="E152" s="195"/>
      <c r="F152" s="195"/>
      <c r="G152" s="195"/>
      <c r="H152" s="195"/>
      <c r="I152" s="195"/>
      <c r="J152" s="195"/>
    </row>
    <row r="153" spans="3:10">
      <c r="C153" s="195"/>
      <c r="D153" s="195"/>
      <c r="E153" s="195"/>
      <c r="F153" s="195"/>
      <c r="G153" s="195"/>
      <c r="H153" s="195"/>
      <c r="I153" s="195"/>
      <c r="J153" s="195"/>
    </row>
    <row r="154" spans="3:10">
      <c r="C154" s="195"/>
      <c r="D154" s="195"/>
      <c r="E154" s="195"/>
      <c r="F154" s="195"/>
      <c r="G154" s="195"/>
      <c r="H154" s="195"/>
      <c r="I154" s="195"/>
      <c r="J154" s="195"/>
    </row>
    <row r="155" spans="3:10">
      <c r="C155" s="195"/>
      <c r="D155" s="195"/>
      <c r="E155" s="195"/>
      <c r="F155" s="195"/>
      <c r="G155" s="195"/>
      <c r="H155" s="195"/>
      <c r="I155" s="195"/>
      <c r="J155" s="195"/>
    </row>
    <row r="156" spans="3:10">
      <c r="C156" s="195"/>
      <c r="D156" s="195"/>
      <c r="E156" s="195"/>
      <c r="F156" s="195"/>
      <c r="G156" s="195"/>
      <c r="H156" s="195"/>
      <c r="I156" s="195"/>
      <c r="J156" s="195"/>
    </row>
    <row r="157" spans="3:10">
      <c r="C157" s="195"/>
      <c r="D157" s="195"/>
      <c r="E157" s="195"/>
      <c r="F157" s="195"/>
      <c r="G157" s="195"/>
      <c r="H157" s="195"/>
      <c r="I157" s="195"/>
      <c r="J157" s="195"/>
    </row>
    <row r="158" spans="3:10">
      <c r="C158" s="195"/>
      <c r="D158" s="195"/>
      <c r="E158" s="195"/>
      <c r="F158" s="195"/>
      <c r="G158" s="195"/>
      <c r="H158" s="195"/>
      <c r="I158" s="195"/>
      <c r="J158" s="195"/>
    </row>
    <row r="159" spans="3:10">
      <c r="C159" s="195"/>
      <c r="D159" s="195"/>
      <c r="E159" s="195"/>
      <c r="F159" s="195"/>
      <c r="G159" s="195"/>
      <c r="H159" s="195"/>
      <c r="I159" s="195"/>
      <c r="J159" s="195"/>
    </row>
    <row r="160" spans="3:10">
      <c r="C160" s="195"/>
      <c r="D160" s="195"/>
      <c r="E160" s="195"/>
      <c r="F160" s="195"/>
      <c r="G160" s="195"/>
      <c r="H160" s="195"/>
      <c r="I160" s="195"/>
      <c r="J160" s="195"/>
    </row>
    <row r="161" spans="3:10">
      <c r="C161" s="195"/>
      <c r="D161" s="195"/>
      <c r="E161" s="195"/>
      <c r="F161" s="195"/>
      <c r="G161" s="195"/>
      <c r="H161" s="195"/>
      <c r="I161" s="195"/>
      <c r="J161" s="195"/>
    </row>
    <row r="162" spans="3:10">
      <c r="C162" s="195"/>
      <c r="D162" s="195"/>
      <c r="E162" s="195"/>
      <c r="F162" s="195"/>
      <c r="G162" s="195"/>
      <c r="H162" s="195"/>
      <c r="I162" s="195"/>
      <c r="J162" s="195"/>
    </row>
    <row r="163" spans="3:10">
      <c r="C163" s="195"/>
      <c r="D163" s="195"/>
      <c r="E163" s="195"/>
      <c r="F163" s="195"/>
      <c r="G163" s="195"/>
      <c r="H163" s="195"/>
      <c r="I163" s="195"/>
      <c r="J163" s="195"/>
    </row>
    <row r="164" spans="3:10">
      <c r="C164" s="195"/>
      <c r="D164" s="195"/>
      <c r="E164" s="195"/>
      <c r="F164" s="195"/>
      <c r="G164" s="195"/>
      <c r="H164" s="195"/>
      <c r="I164" s="195"/>
      <c r="J164" s="195"/>
    </row>
    <row r="165" spans="3:10">
      <c r="C165" s="195"/>
      <c r="D165" s="195"/>
      <c r="E165" s="195"/>
      <c r="F165" s="195"/>
      <c r="G165" s="195"/>
      <c r="H165" s="195"/>
      <c r="I165" s="195"/>
      <c r="J165" s="195"/>
    </row>
    <row r="166" spans="3:10">
      <c r="C166" s="195"/>
      <c r="D166" s="195"/>
      <c r="E166" s="195"/>
      <c r="F166" s="195"/>
      <c r="G166" s="195"/>
      <c r="H166" s="195"/>
      <c r="I166" s="195"/>
      <c r="J166" s="195"/>
    </row>
    <row r="167" spans="3:10">
      <c r="C167" s="195"/>
      <c r="D167" s="195"/>
      <c r="E167" s="195"/>
      <c r="F167" s="195"/>
      <c r="G167" s="195"/>
      <c r="H167" s="195"/>
      <c r="I167" s="195"/>
      <c r="J167" s="195"/>
    </row>
    <row r="168" spans="3:10">
      <c r="C168" s="195"/>
      <c r="D168" s="195"/>
      <c r="E168" s="195"/>
      <c r="F168" s="195"/>
      <c r="G168" s="195"/>
      <c r="H168" s="195"/>
      <c r="I168" s="195"/>
      <c r="J168" s="195"/>
    </row>
    <row r="169" spans="3:10">
      <c r="C169" s="195"/>
      <c r="D169" s="195"/>
      <c r="E169" s="195"/>
      <c r="F169" s="195"/>
      <c r="G169" s="195"/>
      <c r="H169" s="195"/>
      <c r="I169" s="195"/>
      <c r="J169" s="195"/>
    </row>
    <row r="170" spans="3:10">
      <c r="C170" s="195"/>
      <c r="D170" s="195"/>
      <c r="E170" s="195"/>
      <c r="F170" s="195"/>
      <c r="G170" s="195"/>
      <c r="H170" s="195"/>
      <c r="I170" s="195"/>
      <c r="J170" s="195"/>
    </row>
    <row r="171" spans="3:10">
      <c r="C171" s="195"/>
      <c r="D171" s="195"/>
      <c r="E171" s="195"/>
      <c r="F171" s="195"/>
      <c r="G171" s="195"/>
      <c r="H171" s="195"/>
      <c r="I171" s="195"/>
      <c r="J171" s="195"/>
    </row>
    <row r="172" spans="3:10">
      <c r="C172" s="195"/>
      <c r="D172" s="195"/>
      <c r="E172" s="195"/>
      <c r="F172" s="195"/>
      <c r="G172" s="195"/>
      <c r="H172" s="195"/>
      <c r="I172" s="195"/>
      <c r="J172" s="195"/>
    </row>
    <row r="173" spans="3:10">
      <c r="C173" s="195"/>
      <c r="D173" s="195"/>
      <c r="E173" s="195"/>
      <c r="F173" s="195"/>
      <c r="G173" s="195"/>
      <c r="H173" s="195"/>
      <c r="I173" s="195"/>
      <c r="J173" s="195"/>
    </row>
    <row r="174" spans="3:10">
      <c r="C174" s="195"/>
      <c r="D174" s="195"/>
      <c r="E174" s="195"/>
      <c r="F174" s="195"/>
      <c r="G174" s="195"/>
      <c r="H174" s="195"/>
      <c r="I174" s="195"/>
      <c r="J174" s="195"/>
    </row>
    <row r="175" spans="3:10">
      <c r="C175" s="195"/>
      <c r="D175" s="195"/>
      <c r="E175" s="195"/>
      <c r="F175" s="195"/>
      <c r="G175" s="195"/>
      <c r="H175" s="195"/>
      <c r="I175" s="195"/>
      <c r="J175" s="195"/>
    </row>
    <row r="176" spans="3:10">
      <c r="C176" s="195"/>
      <c r="D176" s="195"/>
      <c r="E176" s="195"/>
      <c r="F176" s="195"/>
      <c r="G176" s="195"/>
      <c r="H176" s="195"/>
      <c r="I176" s="195"/>
      <c r="J176" s="195"/>
    </row>
    <row r="177" spans="3:10">
      <c r="C177" s="195"/>
      <c r="D177" s="195"/>
      <c r="E177" s="195"/>
      <c r="F177" s="195"/>
      <c r="G177" s="195"/>
      <c r="H177" s="195"/>
      <c r="I177" s="195"/>
      <c r="J177" s="195"/>
    </row>
    <row r="178" spans="3:10">
      <c r="C178" s="195"/>
      <c r="D178" s="195"/>
      <c r="E178" s="195"/>
      <c r="F178" s="195"/>
      <c r="G178" s="195"/>
      <c r="H178" s="195"/>
      <c r="I178" s="195"/>
      <c r="J178" s="195"/>
    </row>
    <row r="179" spans="3:10">
      <c r="C179" s="195"/>
      <c r="D179" s="195"/>
      <c r="E179" s="195"/>
      <c r="F179" s="195"/>
      <c r="G179" s="195"/>
      <c r="H179" s="195"/>
      <c r="I179" s="195"/>
      <c r="J179" s="195"/>
    </row>
    <row r="180" spans="3:10">
      <c r="C180" s="195"/>
      <c r="D180" s="195"/>
      <c r="E180" s="195"/>
      <c r="F180" s="195"/>
      <c r="G180" s="195"/>
      <c r="H180" s="195"/>
      <c r="I180" s="195"/>
      <c r="J180" s="195"/>
    </row>
    <row r="181" spans="3:10">
      <c r="C181" s="195"/>
      <c r="D181" s="195"/>
      <c r="E181" s="195"/>
      <c r="F181" s="195"/>
      <c r="G181" s="195"/>
      <c r="H181" s="195"/>
      <c r="I181" s="195"/>
      <c r="J181" s="195"/>
    </row>
    <row r="182" spans="3:10">
      <c r="C182" s="195"/>
      <c r="D182" s="195"/>
      <c r="E182" s="195"/>
      <c r="F182" s="195"/>
      <c r="G182" s="195"/>
      <c r="H182" s="195"/>
      <c r="I182" s="195"/>
      <c r="J182" s="195"/>
    </row>
    <row r="183" spans="3:10">
      <c r="C183" s="195"/>
      <c r="D183" s="195"/>
      <c r="E183" s="195"/>
      <c r="F183" s="195"/>
      <c r="G183" s="195"/>
      <c r="H183" s="195"/>
      <c r="I183" s="195"/>
      <c r="J183" s="195"/>
    </row>
    <row r="184" spans="3:10">
      <c r="C184" s="195"/>
      <c r="D184" s="195"/>
      <c r="E184" s="195"/>
      <c r="F184" s="195"/>
      <c r="G184" s="195"/>
      <c r="H184" s="195"/>
      <c r="I184" s="195"/>
      <c r="J184" s="195"/>
    </row>
    <row r="185" spans="3:10">
      <c r="C185" s="195"/>
      <c r="D185" s="195"/>
      <c r="E185" s="195"/>
      <c r="F185" s="195"/>
      <c r="G185" s="195"/>
      <c r="H185" s="195"/>
      <c r="I185" s="195"/>
      <c r="J185" s="195"/>
    </row>
    <row r="186" spans="3:10">
      <c r="C186" s="195"/>
      <c r="D186" s="195"/>
      <c r="E186" s="195"/>
      <c r="F186" s="195"/>
      <c r="G186" s="195"/>
      <c r="H186" s="195"/>
      <c r="I186" s="195"/>
      <c r="J186" s="195"/>
    </row>
    <row r="187" spans="3:10">
      <c r="C187" s="195"/>
      <c r="D187" s="195"/>
      <c r="E187" s="195"/>
      <c r="F187" s="195"/>
      <c r="G187" s="195"/>
      <c r="H187" s="195"/>
      <c r="I187" s="195"/>
      <c r="J187" s="195"/>
    </row>
    <row r="188" spans="3:10">
      <c r="C188" s="195"/>
      <c r="D188" s="195"/>
      <c r="E188" s="195"/>
      <c r="F188" s="195"/>
      <c r="G188" s="195"/>
      <c r="H188" s="195"/>
      <c r="I188" s="195"/>
      <c r="J188" s="195"/>
    </row>
    <row r="189" spans="3:10">
      <c r="C189" s="195"/>
      <c r="D189" s="195"/>
      <c r="E189" s="195"/>
      <c r="F189" s="195"/>
      <c r="G189" s="195"/>
      <c r="H189" s="195"/>
      <c r="I189" s="195"/>
      <c r="J189" s="195"/>
    </row>
    <row r="190" spans="3:10">
      <c r="C190" s="195"/>
      <c r="D190" s="195"/>
      <c r="E190" s="195"/>
      <c r="F190" s="195"/>
      <c r="G190" s="195"/>
      <c r="H190" s="195"/>
      <c r="I190" s="195"/>
      <c r="J190" s="195"/>
    </row>
    <row r="191" spans="3:10">
      <c r="C191" s="195"/>
      <c r="D191" s="195"/>
      <c r="E191" s="195"/>
      <c r="F191" s="195"/>
      <c r="G191" s="195"/>
      <c r="H191" s="195"/>
      <c r="I191" s="195"/>
      <c r="J191" s="195"/>
    </row>
    <row r="192" spans="3:10">
      <c r="C192" s="195"/>
      <c r="D192" s="195"/>
      <c r="E192" s="195"/>
      <c r="F192" s="195"/>
      <c r="G192" s="195"/>
      <c r="H192" s="195"/>
      <c r="I192" s="195"/>
      <c r="J192" s="195"/>
    </row>
    <row r="193" spans="3:10">
      <c r="C193" s="195"/>
      <c r="D193" s="195"/>
      <c r="E193" s="195"/>
      <c r="F193" s="195"/>
      <c r="G193" s="195"/>
      <c r="H193" s="195"/>
      <c r="I193" s="195"/>
      <c r="J193" s="195"/>
    </row>
    <row r="194" spans="3:10">
      <c r="C194" s="195"/>
      <c r="D194" s="195"/>
      <c r="E194" s="195"/>
      <c r="F194" s="195"/>
      <c r="G194" s="195"/>
      <c r="H194" s="195"/>
      <c r="I194" s="195"/>
      <c r="J194" s="195"/>
    </row>
    <row r="195" spans="3:10">
      <c r="C195" s="195"/>
      <c r="D195" s="195"/>
      <c r="E195" s="195"/>
      <c r="F195" s="195"/>
      <c r="G195" s="195"/>
      <c r="H195" s="195"/>
      <c r="I195" s="195"/>
      <c r="J195" s="195"/>
    </row>
    <row r="196" spans="3:10">
      <c r="C196" s="195"/>
      <c r="D196" s="195"/>
      <c r="E196" s="195"/>
      <c r="F196" s="195"/>
      <c r="G196" s="195"/>
      <c r="H196" s="195"/>
      <c r="I196" s="195"/>
      <c r="J196" s="195"/>
    </row>
    <row r="197" spans="3:10">
      <c r="C197" s="195"/>
      <c r="D197" s="195"/>
      <c r="E197" s="195"/>
      <c r="F197" s="195"/>
      <c r="G197" s="195"/>
      <c r="H197" s="195"/>
      <c r="I197" s="195"/>
      <c r="J197" s="195"/>
    </row>
    <row r="198" spans="3:10">
      <c r="C198" s="195"/>
      <c r="D198" s="195"/>
      <c r="E198" s="195"/>
      <c r="F198" s="195"/>
      <c r="G198" s="195"/>
      <c r="H198" s="195"/>
      <c r="I198" s="195"/>
      <c r="J198" s="195"/>
    </row>
    <row r="199" spans="3:10">
      <c r="C199" s="195"/>
      <c r="D199" s="195"/>
      <c r="E199" s="195"/>
      <c r="F199" s="195"/>
      <c r="G199" s="195"/>
      <c r="H199" s="195"/>
      <c r="I199" s="195"/>
      <c r="J199" s="195"/>
    </row>
    <row r="200" spans="3:10">
      <c r="C200" s="195"/>
      <c r="D200" s="195"/>
      <c r="E200" s="195"/>
      <c r="F200" s="195"/>
      <c r="G200" s="195"/>
      <c r="H200" s="195"/>
      <c r="I200" s="195"/>
      <c r="J200" s="195"/>
    </row>
    <row r="201" spans="3:10">
      <c r="C201" s="195"/>
      <c r="D201" s="195"/>
      <c r="E201" s="195"/>
      <c r="F201" s="195"/>
      <c r="G201" s="195"/>
      <c r="H201" s="195"/>
      <c r="I201" s="195"/>
      <c r="J201" s="195"/>
    </row>
    <row r="202" spans="3:10">
      <c r="C202" s="195"/>
      <c r="D202" s="195"/>
      <c r="E202" s="195"/>
      <c r="F202" s="195"/>
      <c r="G202" s="195"/>
      <c r="H202" s="195"/>
      <c r="I202" s="195"/>
      <c r="J202" s="195"/>
    </row>
    <row r="203" spans="3:10">
      <c r="C203" s="195"/>
      <c r="D203" s="195"/>
      <c r="E203" s="195"/>
      <c r="F203" s="195"/>
      <c r="G203" s="195"/>
      <c r="H203" s="195"/>
      <c r="I203" s="195"/>
      <c r="J203" s="195"/>
    </row>
    <row r="204" spans="3:10">
      <c r="C204" s="195"/>
      <c r="D204" s="195"/>
      <c r="E204" s="195"/>
      <c r="F204" s="195"/>
      <c r="G204" s="195"/>
      <c r="H204" s="195"/>
      <c r="I204" s="195"/>
      <c r="J204" s="195"/>
    </row>
    <row r="205" spans="3:10">
      <c r="C205" s="195"/>
      <c r="D205" s="195"/>
      <c r="E205" s="195"/>
      <c r="F205" s="195"/>
      <c r="G205" s="195"/>
      <c r="H205" s="195"/>
      <c r="I205" s="195"/>
      <c r="J205" s="195"/>
    </row>
    <row r="206" spans="3:10">
      <c r="C206" s="195"/>
      <c r="D206" s="195"/>
      <c r="E206" s="195"/>
      <c r="F206" s="195"/>
      <c r="G206" s="195"/>
      <c r="H206" s="195"/>
      <c r="I206" s="195"/>
      <c r="J206" s="195"/>
    </row>
    <row r="207" spans="3:10">
      <c r="C207" s="195"/>
      <c r="D207" s="195"/>
      <c r="E207" s="195"/>
      <c r="F207" s="195"/>
      <c r="G207" s="195"/>
      <c r="H207" s="195"/>
      <c r="I207" s="195"/>
      <c r="J207" s="195"/>
    </row>
    <row r="208" spans="3:10">
      <c r="C208" s="195"/>
      <c r="D208" s="195"/>
      <c r="E208" s="195"/>
      <c r="F208" s="195"/>
      <c r="G208" s="195"/>
      <c r="H208" s="195"/>
      <c r="I208" s="195"/>
      <c r="J208" s="195"/>
    </row>
    <row r="209" spans="3:10">
      <c r="C209" s="195"/>
      <c r="D209" s="195"/>
      <c r="E209" s="195"/>
      <c r="F209" s="195"/>
      <c r="G209" s="195"/>
      <c r="H209" s="195"/>
      <c r="I209" s="195"/>
      <c r="J209" s="195"/>
    </row>
    <row r="210" spans="3:10">
      <c r="C210" s="195"/>
      <c r="D210" s="195"/>
      <c r="E210" s="195"/>
      <c r="F210" s="195"/>
      <c r="G210" s="195"/>
      <c r="H210" s="195"/>
      <c r="I210" s="195"/>
      <c r="J210" s="195"/>
    </row>
    <row r="211" spans="3:10">
      <c r="C211" s="195"/>
      <c r="D211" s="195"/>
      <c r="E211" s="195"/>
      <c r="F211" s="195"/>
      <c r="G211" s="195"/>
      <c r="H211" s="195"/>
      <c r="I211" s="195"/>
      <c r="J211" s="195"/>
    </row>
    <row r="212" spans="3:10">
      <c r="C212" s="195"/>
      <c r="D212" s="195"/>
      <c r="E212" s="195"/>
      <c r="F212" s="195"/>
      <c r="G212" s="195"/>
      <c r="H212" s="195"/>
      <c r="I212" s="195"/>
      <c r="J212" s="195"/>
    </row>
    <row r="213" spans="3:10">
      <c r="C213" s="195"/>
      <c r="D213" s="195"/>
      <c r="E213" s="195"/>
      <c r="F213" s="195"/>
      <c r="G213" s="195"/>
      <c r="H213" s="195"/>
      <c r="I213" s="195"/>
      <c r="J213" s="195"/>
    </row>
    <row r="214" spans="3:10">
      <c r="C214" s="195"/>
      <c r="D214" s="195"/>
      <c r="E214" s="195"/>
      <c r="F214" s="195"/>
      <c r="G214" s="195"/>
      <c r="H214" s="195"/>
      <c r="I214" s="195"/>
      <c r="J214" s="195"/>
    </row>
    <row r="215" spans="3:10">
      <c r="C215" s="195"/>
      <c r="D215" s="195"/>
      <c r="E215" s="195"/>
      <c r="F215" s="195"/>
      <c r="G215" s="195"/>
      <c r="H215" s="195"/>
      <c r="I215" s="195"/>
      <c r="J215" s="195"/>
    </row>
    <row r="216" spans="3:10">
      <c r="C216" s="195"/>
      <c r="D216" s="195"/>
      <c r="E216" s="195"/>
      <c r="F216" s="195"/>
      <c r="G216" s="195"/>
      <c r="H216" s="195"/>
      <c r="I216" s="195"/>
      <c r="J216" s="195"/>
    </row>
    <row r="217" spans="3:10">
      <c r="C217" s="195"/>
      <c r="D217" s="195"/>
      <c r="E217" s="195"/>
      <c r="F217" s="195"/>
      <c r="G217" s="195"/>
      <c r="H217" s="195"/>
      <c r="I217" s="195"/>
      <c r="J217" s="195"/>
    </row>
    <row r="218" spans="3:10">
      <c r="C218" s="195"/>
      <c r="D218" s="195"/>
      <c r="E218" s="195"/>
      <c r="F218" s="195"/>
      <c r="G218" s="195"/>
      <c r="H218" s="195"/>
      <c r="I218" s="195"/>
      <c r="J218" s="195"/>
    </row>
    <row r="219" spans="3:10">
      <c r="C219" s="195"/>
      <c r="D219" s="195"/>
      <c r="E219" s="195"/>
      <c r="F219" s="195"/>
      <c r="G219" s="195"/>
      <c r="H219" s="195"/>
      <c r="I219" s="195"/>
      <c r="J219" s="195"/>
    </row>
    <row r="220" spans="3:10">
      <c r="C220" s="195"/>
      <c r="D220" s="195"/>
      <c r="E220" s="195"/>
      <c r="F220" s="195"/>
      <c r="G220" s="195"/>
      <c r="H220" s="195"/>
      <c r="I220" s="195"/>
      <c r="J220" s="195"/>
    </row>
    <row r="221" spans="3:10">
      <c r="C221" s="195"/>
      <c r="D221" s="195"/>
      <c r="E221" s="195"/>
      <c r="F221" s="195"/>
      <c r="G221" s="195"/>
      <c r="H221" s="195"/>
      <c r="I221" s="195"/>
      <c r="J221" s="195"/>
    </row>
    <row r="222" spans="3:10">
      <c r="C222" s="195"/>
      <c r="D222" s="195"/>
      <c r="E222" s="195"/>
      <c r="F222" s="195"/>
      <c r="G222" s="195"/>
      <c r="H222" s="195"/>
      <c r="I222" s="195"/>
      <c r="J222" s="195"/>
    </row>
    <row r="223" spans="3:10">
      <c r="C223" s="195"/>
      <c r="D223" s="195"/>
      <c r="E223" s="195"/>
      <c r="F223" s="195"/>
      <c r="G223" s="195"/>
      <c r="H223" s="195"/>
      <c r="I223" s="195"/>
      <c r="J223" s="195"/>
    </row>
    <row r="224" spans="3:10">
      <c r="C224" s="195"/>
      <c r="D224" s="195"/>
      <c r="E224" s="195"/>
      <c r="F224" s="195"/>
      <c r="G224" s="195"/>
      <c r="H224" s="195"/>
      <c r="I224" s="195"/>
      <c r="J224" s="195"/>
    </row>
    <row r="225" spans="3:10">
      <c r="C225" s="195"/>
      <c r="D225" s="195"/>
      <c r="E225" s="195"/>
      <c r="F225" s="195"/>
      <c r="G225" s="195"/>
      <c r="H225" s="195"/>
      <c r="I225" s="195"/>
      <c r="J225" s="195"/>
    </row>
    <row r="226" spans="3:10">
      <c r="C226" s="195"/>
      <c r="D226" s="195"/>
      <c r="E226" s="195"/>
      <c r="F226" s="195"/>
      <c r="G226" s="195"/>
      <c r="H226" s="195"/>
      <c r="I226" s="195"/>
      <c r="J226" s="195"/>
    </row>
    <row r="227" spans="3:10">
      <c r="C227" s="195"/>
      <c r="D227" s="195"/>
      <c r="E227" s="195"/>
      <c r="F227" s="195"/>
      <c r="G227" s="195"/>
      <c r="H227" s="195"/>
      <c r="I227" s="195"/>
      <c r="J227" s="195"/>
    </row>
    <row r="228" spans="3:10">
      <c r="C228" s="195"/>
      <c r="D228" s="195"/>
      <c r="E228" s="195"/>
      <c r="F228" s="195"/>
      <c r="G228" s="195"/>
      <c r="H228" s="195"/>
      <c r="I228" s="195"/>
      <c r="J228" s="195"/>
    </row>
    <row r="229" spans="3:10">
      <c r="C229" s="195"/>
      <c r="D229" s="195"/>
      <c r="E229" s="195"/>
      <c r="F229" s="195"/>
      <c r="G229" s="195"/>
      <c r="H229" s="195"/>
      <c r="I229" s="195"/>
      <c r="J229" s="195"/>
    </row>
    <row r="230" spans="3:10">
      <c r="C230" s="195"/>
      <c r="D230" s="195"/>
      <c r="E230" s="195"/>
      <c r="F230" s="195"/>
      <c r="G230" s="195"/>
      <c r="H230" s="195"/>
      <c r="I230" s="195"/>
      <c r="J230" s="195"/>
    </row>
    <row r="231" spans="3:10">
      <c r="C231" s="195"/>
      <c r="D231" s="195"/>
      <c r="E231" s="195"/>
      <c r="F231" s="195"/>
      <c r="G231" s="195"/>
      <c r="H231" s="195"/>
      <c r="I231" s="195"/>
      <c r="J231" s="195"/>
    </row>
    <row r="232" spans="3:10">
      <c r="C232" s="195"/>
      <c r="D232" s="195"/>
      <c r="E232" s="195"/>
      <c r="F232" s="195"/>
      <c r="G232" s="195"/>
      <c r="H232" s="195"/>
      <c r="I232" s="195"/>
      <c r="J232" s="195"/>
    </row>
    <row r="233" spans="3:10">
      <c r="C233" s="195"/>
      <c r="D233" s="195"/>
      <c r="E233" s="195"/>
      <c r="F233" s="195"/>
      <c r="G233" s="195"/>
      <c r="H233" s="195"/>
      <c r="I233" s="195"/>
      <c r="J233" s="195"/>
    </row>
    <row r="234" spans="3:10">
      <c r="C234" s="195"/>
      <c r="D234" s="195"/>
      <c r="E234" s="195"/>
      <c r="F234" s="195"/>
      <c r="G234" s="195"/>
      <c r="H234" s="195"/>
      <c r="I234" s="195"/>
      <c r="J234" s="195"/>
    </row>
    <row r="235" spans="3:10">
      <c r="C235" s="195"/>
      <c r="D235" s="195"/>
      <c r="E235" s="195"/>
      <c r="F235" s="195"/>
      <c r="G235" s="195"/>
      <c r="H235" s="195"/>
      <c r="I235" s="195"/>
      <c r="J235" s="195"/>
    </row>
    <row r="236" spans="3:10">
      <c r="C236" s="195"/>
      <c r="D236" s="195"/>
      <c r="E236" s="195"/>
      <c r="F236" s="195"/>
      <c r="G236" s="195"/>
      <c r="H236" s="195"/>
      <c r="I236" s="195"/>
      <c r="J236" s="195"/>
    </row>
    <row r="237" spans="3:10">
      <c r="C237" s="195"/>
      <c r="D237" s="195"/>
      <c r="E237" s="195"/>
      <c r="F237" s="195"/>
      <c r="G237" s="195"/>
      <c r="H237" s="195"/>
      <c r="I237" s="195"/>
      <c r="J237" s="195"/>
    </row>
    <row r="238" spans="3:10">
      <c r="C238" s="195"/>
      <c r="D238" s="195"/>
      <c r="E238" s="195"/>
      <c r="F238" s="195"/>
      <c r="G238" s="195"/>
      <c r="H238" s="195"/>
      <c r="I238" s="195"/>
      <c r="J238" s="195"/>
    </row>
    <row r="239" spans="3:10">
      <c r="C239" s="195"/>
      <c r="D239" s="195"/>
      <c r="E239" s="195"/>
      <c r="F239" s="195"/>
      <c r="G239" s="195"/>
      <c r="H239" s="195"/>
      <c r="I239" s="195"/>
      <c r="J239" s="195"/>
    </row>
    <row r="240" spans="3:10">
      <c r="C240" s="195"/>
      <c r="D240" s="195"/>
      <c r="E240" s="195"/>
      <c r="F240" s="195"/>
      <c r="G240" s="195"/>
      <c r="H240" s="195"/>
      <c r="I240" s="195"/>
      <c r="J240" s="195"/>
    </row>
    <row r="241" spans="3:10">
      <c r="C241" s="195"/>
      <c r="D241" s="195"/>
      <c r="E241" s="195"/>
      <c r="F241" s="195"/>
      <c r="G241" s="195"/>
      <c r="H241" s="195"/>
      <c r="I241" s="195"/>
      <c r="J241" s="195"/>
    </row>
    <row r="242" spans="3:10">
      <c r="C242" s="195"/>
      <c r="D242" s="195"/>
      <c r="E242" s="195"/>
      <c r="F242" s="195"/>
      <c r="G242" s="195"/>
      <c r="H242" s="195"/>
      <c r="I242" s="195"/>
      <c r="J242" s="195"/>
    </row>
    <row r="243" spans="3:10">
      <c r="C243" s="195"/>
      <c r="D243" s="195"/>
      <c r="E243" s="195"/>
      <c r="F243" s="195"/>
      <c r="G243" s="195"/>
      <c r="H243" s="195"/>
      <c r="I243" s="195"/>
      <c r="J243" s="195"/>
    </row>
    <row r="244" spans="3:10">
      <c r="C244" s="195"/>
      <c r="D244" s="195"/>
      <c r="E244" s="195"/>
      <c r="F244" s="195"/>
      <c r="G244" s="195"/>
      <c r="H244" s="195"/>
      <c r="I244" s="195"/>
      <c r="J244" s="195"/>
    </row>
    <row r="245" spans="3:10">
      <c r="C245" s="195"/>
      <c r="D245" s="195"/>
      <c r="E245" s="195"/>
      <c r="F245" s="195"/>
      <c r="G245" s="195"/>
      <c r="H245" s="195"/>
      <c r="I245" s="195"/>
      <c r="J245" s="195"/>
    </row>
    <row r="246" spans="3:10">
      <c r="C246" s="195"/>
      <c r="D246" s="195"/>
      <c r="E246" s="195"/>
      <c r="F246" s="195"/>
      <c r="G246" s="195"/>
      <c r="H246" s="195"/>
      <c r="I246" s="195"/>
      <c r="J246" s="195"/>
    </row>
    <row r="247" spans="3:10">
      <c r="C247" s="195"/>
      <c r="D247" s="195"/>
      <c r="E247" s="195"/>
      <c r="F247" s="195"/>
      <c r="G247" s="195"/>
      <c r="H247" s="195"/>
      <c r="I247" s="195"/>
      <c r="J247" s="195"/>
    </row>
    <row r="248" spans="3:10">
      <c r="C248" s="195"/>
      <c r="D248" s="195"/>
      <c r="E248" s="195"/>
      <c r="F248" s="195"/>
      <c r="G248" s="195"/>
      <c r="H248" s="195"/>
      <c r="I248" s="195"/>
      <c r="J248" s="195"/>
    </row>
    <row r="249" spans="3:10">
      <c r="C249" s="195"/>
      <c r="D249" s="195"/>
      <c r="E249" s="195"/>
      <c r="F249" s="195"/>
      <c r="G249" s="195"/>
      <c r="H249" s="195"/>
      <c r="I249" s="195"/>
      <c r="J249" s="195"/>
    </row>
    <row r="250" spans="3:10">
      <c r="C250" s="195"/>
      <c r="D250" s="195"/>
      <c r="E250" s="195"/>
      <c r="F250" s="195"/>
      <c r="G250" s="195"/>
      <c r="H250" s="195"/>
      <c r="I250" s="195"/>
      <c r="J250" s="195"/>
    </row>
    <row r="251" spans="3:10">
      <c r="C251" s="195"/>
      <c r="D251" s="195"/>
      <c r="E251" s="195"/>
      <c r="F251" s="195"/>
      <c r="G251" s="195"/>
      <c r="H251" s="195"/>
      <c r="I251" s="195"/>
      <c r="J251" s="195"/>
    </row>
    <row r="252" spans="3:10">
      <c r="C252" s="195"/>
      <c r="D252" s="195"/>
      <c r="E252" s="195"/>
      <c r="F252" s="195"/>
      <c r="G252" s="195"/>
      <c r="H252" s="195"/>
      <c r="I252" s="195"/>
      <c r="J252" s="195"/>
    </row>
    <row r="253" spans="3:10">
      <c r="C253" s="195"/>
      <c r="D253" s="195"/>
      <c r="E253" s="195"/>
      <c r="F253" s="195"/>
      <c r="G253" s="195"/>
      <c r="H253" s="195"/>
      <c r="I253" s="195"/>
      <c r="J253" s="195"/>
    </row>
    <row r="254" spans="3:10">
      <c r="C254" s="195"/>
      <c r="D254" s="195"/>
      <c r="E254" s="195"/>
      <c r="F254" s="195"/>
      <c r="G254" s="195"/>
      <c r="H254" s="195"/>
      <c r="I254" s="195"/>
      <c r="J254" s="195"/>
    </row>
    <row r="255" spans="3:10">
      <c r="C255" s="195"/>
      <c r="D255" s="195"/>
      <c r="E255" s="195"/>
      <c r="F255" s="195"/>
      <c r="G255" s="195"/>
      <c r="H255" s="195"/>
      <c r="I255" s="195"/>
      <c r="J255" s="195"/>
    </row>
    <row r="256" spans="3:10">
      <c r="C256" s="195"/>
      <c r="D256" s="195"/>
      <c r="E256" s="195"/>
      <c r="F256" s="195"/>
      <c r="G256" s="195"/>
      <c r="H256" s="195"/>
      <c r="I256" s="195"/>
      <c r="J256" s="195"/>
    </row>
    <row r="257" spans="3:10">
      <c r="C257" s="195"/>
      <c r="D257" s="195"/>
      <c r="E257" s="195"/>
      <c r="F257" s="195"/>
      <c r="G257" s="195"/>
      <c r="H257" s="195"/>
      <c r="I257" s="195"/>
      <c r="J257" s="195"/>
    </row>
    <row r="258" spans="3:10">
      <c r="C258" s="195"/>
      <c r="D258" s="195"/>
      <c r="E258" s="195"/>
      <c r="F258" s="195"/>
      <c r="G258" s="195"/>
      <c r="H258" s="195"/>
      <c r="I258" s="195"/>
      <c r="J258" s="195"/>
    </row>
    <row r="259" spans="3:10">
      <c r="C259" s="195"/>
      <c r="D259" s="195"/>
      <c r="E259" s="195"/>
      <c r="F259" s="195"/>
      <c r="G259" s="195"/>
      <c r="H259" s="195"/>
      <c r="I259" s="195"/>
      <c r="J259" s="195"/>
    </row>
    <row r="260" spans="3:10">
      <c r="C260" s="195"/>
      <c r="D260" s="195"/>
      <c r="E260" s="195"/>
      <c r="F260" s="195"/>
      <c r="G260" s="195"/>
      <c r="H260" s="195"/>
      <c r="I260" s="195"/>
      <c r="J260" s="195"/>
    </row>
    <row r="261" spans="3:10">
      <c r="C261" s="195"/>
      <c r="D261" s="195"/>
      <c r="E261" s="195"/>
      <c r="F261" s="195"/>
      <c r="G261" s="195"/>
      <c r="H261" s="195"/>
      <c r="I261" s="195"/>
      <c r="J261" s="195"/>
    </row>
    <row r="262" spans="3:10">
      <c r="C262" s="195"/>
      <c r="D262" s="195"/>
      <c r="E262" s="195"/>
      <c r="F262" s="195"/>
      <c r="G262" s="195"/>
      <c r="H262" s="195"/>
      <c r="I262" s="195"/>
      <c r="J262" s="195"/>
    </row>
    <row r="263" spans="3:10">
      <c r="C263" s="195"/>
      <c r="D263" s="195"/>
      <c r="E263" s="195"/>
      <c r="F263" s="195"/>
      <c r="G263" s="195"/>
      <c r="H263" s="195"/>
      <c r="I263" s="195"/>
      <c r="J263" s="195"/>
    </row>
    <row r="264" spans="3:10">
      <c r="C264" s="195"/>
      <c r="D264" s="195"/>
      <c r="E264" s="195"/>
      <c r="F264" s="195"/>
      <c r="G264" s="195"/>
      <c r="H264" s="195"/>
      <c r="I264" s="195"/>
      <c r="J264" s="195"/>
    </row>
    <row r="265" spans="3:10">
      <c r="C265" s="195"/>
      <c r="D265" s="195"/>
      <c r="E265" s="195"/>
      <c r="F265" s="195"/>
      <c r="G265" s="195"/>
      <c r="H265" s="195"/>
      <c r="I265" s="195"/>
      <c r="J265" s="195"/>
    </row>
    <row r="266" spans="3:10">
      <c r="C266" s="195"/>
      <c r="D266" s="195"/>
      <c r="E266" s="195"/>
      <c r="F266" s="195"/>
      <c r="G266" s="195"/>
      <c r="H266" s="195"/>
      <c r="I266" s="195"/>
      <c r="J266" s="195"/>
    </row>
    <row r="267" spans="3:10">
      <c r="C267" s="195"/>
      <c r="D267" s="195"/>
      <c r="E267" s="195"/>
      <c r="F267" s="195"/>
      <c r="G267" s="195"/>
      <c r="H267" s="195"/>
      <c r="I267" s="195"/>
      <c r="J267" s="195"/>
    </row>
    <row r="268" spans="3:10">
      <c r="C268" s="195"/>
      <c r="D268" s="195"/>
      <c r="E268" s="195"/>
      <c r="F268" s="195"/>
      <c r="G268" s="195"/>
      <c r="H268" s="195"/>
      <c r="I268" s="195"/>
      <c r="J268" s="195"/>
    </row>
    <row r="269" spans="3:10">
      <c r="C269" s="195"/>
      <c r="D269" s="195"/>
      <c r="E269" s="195"/>
      <c r="F269" s="195"/>
      <c r="G269" s="195"/>
      <c r="H269" s="195"/>
      <c r="I269" s="195"/>
      <c r="J269" s="195"/>
    </row>
    <row r="270" spans="3:10">
      <c r="C270" s="195"/>
      <c r="D270" s="195"/>
      <c r="E270" s="195"/>
      <c r="F270" s="195"/>
      <c r="G270" s="195"/>
      <c r="H270" s="195"/>
      <c r="I270" s="195"/>
      <c r="J270" s="195"/>
    </row>
    <row r="271" spans="3:10">
      <c r="C271" s="195"/>
      <c r="D271" s="195"/>
      <c r="E271" s="195"/>
      <c r="F271" s="195"/>
      <c r="G271" s="195"/>
      <c r="H271" s="195"/>
      <c r="I271" s="195"/>
      <c r="J271" s="195"/>
    </row>
    <row r="272" spans="3:10">
      <c r="C272" s="195"/>
      <c r="D272" s="195"/>
      <c r="E272" s="195"/>
      <c r="F272" s="195"/>
      <c r="G272" s="195"/>
      <c r="H272" s="195"/>
      <c r="I272" s="195"/>
      <c r="J272" s="195"/>
    </row>
    <row r="273" spans="3:10">
      <c r="C273" s="195"/>
      <c r="D273" s="195"/>
      <c r="E273" s="195"/>
      <c r="F273" s="195"/>
      <c r="G273" s="195"/>
      <c r="H273" s="195"/>
      <c r="I273" s="195"/>
      <c r="J273" s="195"/>
    </row>
    <row r="274" spans="3:10">
      <c r="C274" s="195"/>
      <c r="D274" s="195"/>
      <c r="E274" s="195"/>
      <c r="F274" s="195"/>
      <c r="G274" s="195"/>
      <c r="H274" s="195"/>
      <c r="I274" s="195"/>
      <c r="J274" s="195"/>
    </row>
    <row r="275" spans="3:10">
      <c r="C275" s="195"/>
      <c r="D275" s="195"/>
      <c r="E275" s="195"/>
      <c r="F275" s="195"/>
      <c r="G275" s="195"/>
      <c r="H275" s="195"/>
      <c r="I275" s="195"/>
      <c r="J275" s="195"/>
    </row>
    <row r="276" spans="3:10">
      <c r="C276" s="195"/>
      <c r="D276" s="195"/>
      <c r="E276" s="195"/>
      <c r="F276" s="195"/>
      <c r="G276" s="195"/>
      <c r="H276" s="195"/>
      <c r="I276" s="195"/>
      <c r="J276" s="195"/>
    </row>
    <row r="277" spans="3:10">
      <c r="C277" s="195"/>
      <c r="D277" s="195"/>
      <c r="E277" s="195"/>
      <c r="F277" s="195"/>
      <c r="G277" s="195"/>
      <c r="H277" s="195"/>
      <c r="I277" s="195"/>
      <c r="J277" s="195"/>
    </row>
    <row r="278" spans="3:10">
      <c r="C278" s="195"/>
      <c r="D278" s="195"/>
      <c r="E278" s="195"/>
      <c r="F278" s="195"/>
      <c r="G278" s="195"/>
      <c r="H278" s="195"/>
      <c r="I278" s="195"/>
      <c r="J278" s="195"/>
    </row>
    <row r="279" spans="3:10">
      <c r="C279" s="195"/>
      <c r="D279" s="195"/>
      <c r="E279" s="195"/>
      <c r="F279" s="195"/>
      <c r="G279" s="195"/>
      <c r="H279" s="195"/>
      <c r="I279" s="195"/>
      <c r="J279" s="195"/>
    </row>
    <row r="280" spans="3:10">
      <c r="C280" s="195"/>
      <c r="D280" s="195"/>
      <c r="E280" s="195"/>
      <c r="F280" s="195"/>
      <c r="G280" s="195"/>
      <c r="H280" s="195"/>
      <c r="I280" s="195"/>
      <c r="J280" s="195"/>
    </row>
    <row r="281" spans="3:10">
      <c r="C281" s="195"/>
      <c r="D281" s="195"/>
      <c r="E281" s="195"/>
      <c r="F281" s="195"/>
      <c r="G281" s="195"/>
      <c r="H281" s="195"/>
      <c r="I281" s="195"/>
      <c r="J281" s="195"/>
    </row>
    <row r="282" spans="3:10">
      <c r="C282" s="195"/>
      <c r="D282" s="195"/>
      <c r="E282" s="195"/>
      <c r="F282" s="195"/>
      <c r="G282" s="195"/>
      <c r="H282" s="195"/>
      <c r="I282" s="195"/>
      <c r="J282" s="195"/>
    </row>
    <row r="283" spans="3:10">
      <c r="C283" s="195"/>
      <c r="D283" s="195"/>
      <c r="E283" s="195"/>
      <c r="F283" s="195"/>
      <c r="G283" s="195"/>
      <c r="H283" s="195"/>
      <c r="I283" s="195"/>
      <c r="J283" s="195"/>
    </row>
    <row r="284" spans="3:10">
      <c r="C284" s="195"/>
      <c r="D284" s="195"/>
      <c r="E284" s="195"/>
      <c r="F284" s="195"/>
      <c r="G284" s="195"/>
      <c r="H284" s="195"/>
      <c r="I284" s="195"/>
      <c r="J284" s="195"/>
    </row>
    <row r="285" spans="3:10">
      <c r="C285" s="195"/>
      <c r="D285" s="195"/>
      <c r="E285" s="195"/>
      <c r="F285" s="195"/>
      <c r="G285" s="195"/>
      <c r="H285" s="195"/>
      <c r="I285" s="195"/>
      <c r="J285" s="195"/>
    </row>
    <row r="286" spans="3:10">
      <c r="C286" s="195"/>
      <c r="D286" s="195"/>
      <c r="E286" s="195"/>
      <c r="F286" s="195"/>
      <c r="G286" s="195"/>
      <c r="H286" s="195"/>
      <c r="I286" s="195"/>
      <c r="J286" s="195"/>
    </row>
    <row r="287" spans="3:10">
      <c r="C287" s="195"/>
      <c r="D287" s="195"/>
      <c r="E287" s="195"/>
      <c r="F287" s="195"/>
      <c r="G287" s="195"/>
      <c r="H287" s="195"/>
      <c r="I287" s="195"/>
      <c r="J287" s="195"/>
    </row>
    <row r="288" spans="3:10">
      <c r="C288" s="195"/>
      <c r="D288" s="195"/>
      <c r="E288" s="195"/>
      <c r="F288" s="195"/>
      <c r="G288" s="195"/>
      <c r="H288" s="195"/>
      <c r="I288" s="195"/>
      <c r="J288" s="195"/>
    </row>
    <row r="289" spans="3:10">
      <c r="C289" s="195"/>
      <c r="D289" s="195"/>
      <c r="E289" s="195"/>
      <c r="F289" s="195"/>
      <c r="G289" s="195"/>
      <c r="H289" s="195"/>
      <c r="I289" s="195"/>
      <c r="J289" s="195"/>
    </row>
    <row r="290" spans="3:10">
      <c r="C290" s="195"/>
      <c r="D290" s="195"/>
      <c r="E290" s="195"/>
      <c r="F290" s="195"/>
      <c r="G290" s="195"/>
      <c r="H290" s="195"/>
      <c r="I290" s="195"/>
      <c r="J290" s="195"/>
    </row>
    <row r="291" spans="3:10">
      <c r="C291" s="195"/>
      <c r="D291" s="195"/>
      <c r="E291" s="195"/>
      <c r="F291" s="195"/>
      <c r="G291" s="195"/>
      <c r="H291" s="195"/>
      <c r="I291" s="195"/>
      <c r="J291" s="195"/>
    </row>
    <row r="292" spans="3:10">
      <c r="C292" s="195"/>
      <c r="D292" s="195"/>
      <c r="E292" s="195"/>
      <c r="F292" s="195"/>
      <c r="G292" s="195"/>
      <c r="H292" s="195"/>
      <c r="I292" s="195"/>
      <c r="J292" s="195"/>
    </row>
    <row r="293" spans="3:10">
      <c r="C293" s="195"/>
      <c r="D293" s="195"/>
      <c r="E293" s="195"/>
      <c r="F293" s="195"/>
      <c r="G293" s="195"/>
      <c r="H293" s="195"/>
      <c r="I293" s="195"/>
      <c r="J293" s="195"/>
    </row>
    <row r="294" spans="3:10">
      <c r="C294" s="195"/>
      <c r="D294" s="195"/>
      <c r="E294" s="195"/>
      <c r="F294" s="195"/>
      <c r="G294" s="195"/>
      <c r="H294" s="195"/>
      <c r="I294" s="195"/>
      <c r="J294" s="195"/>
    </row>
    <row r="295" spans="3:10">
      <c r="C295" s="195"/>
      <c r="D295" s="195"/>
      <c r="E295" s="195"/>
      <c r="F295" s="195"/>
      <c r="G295" s="195"/>
      <c r="H295" s="195"/>
      <c r="I295" s="195"/>
      <c r="J295" s="195"/>
    </row>
    <row r="296" spans="3:10">
      <c r="C296" s="195"/>
      <c r="D296" s="195"/>
      <c r="E296" s="195"/>
      <c r="F296" s="195"/>
      <c r="G296" s="195"/>
      <c r="H296" s="195"/>
      <c r="I296" s="195"/>
      <c r="J296" s="195"/>
    </row>
    <row r="297" spans="3:10">
      <c r="C297" s="195"/>
      <c r="D297" s="195"/>
      <c r="E297" s="195"/>
      <c r="F297" s="195"/>
      <c r="G297" s="195"/>
      <c r="H297" s="195"/>
      <c r="I297" s="195"/>
      <c r="J297" s="195"/>
    </row>
    <row r="298" spans="3:10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8" orientation="landscape" horizontalDpi="300" verticalDpi="300" r:id="rId1"/>
  <headerFooter alignWithMargins="0"/>
  <rowBreaks count="1" manualBreakCount="1">
    <brk id="48" min="10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3300"/>
    <pageSetUpPr fitToPage="1"/>
  </sheetPr>
  <dimension ref="A1:BC298"/>
  <sheetViews>
    <sheetView topLeftCell="J49" zoomScale="75" zoomScaleNormal="75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1.77734375" style="137" customWidth="1"/>
    <col min="4" max="4" width="1.21875" style="137" customWidth="1"/>
    <col min="5" max="5" width="37.109375" style="137" customWidth="1"/>
    <col min="6" max="6" width="1.6640625" style="137" customWidth="1"/>
    <col min="7" max="7" width="14.109375" style="137" customWidth="1"/>
    <col min="8" max="8" width="1.21875" style="137" customWidth="1"/>
    <col min="9" max="9" width="12.77734375" style="137" customWidth="1"/>
    <col min="10" max="10" width="4.77734375" style="137" customWidth="1"/>
    <col min="11" max="11" width="4.88671875" style="137" customWidth="1"/>
    <col min="12" max="12" width="1.21875" style="137" customWidth="1"/>
    <col min="13" max="13" width="24.6640625" style="137" customWidth="1"/>
    <col min="14" max="14" width="8.77734375" style="137"/>
    <col min="15" max="15" width="13.77734375" style="137" customWidth="1"/>
    <col min="16" max="16" width="17" style="137" bestFit="1" customWidth="1"/>
    <col min="17" max="17" width="12.77734375" style="137" customWidth="1"/>
    <col min="18" max="18" width="12.88671875" style="137" customWidth="1"/>
    <col min="19" max="19" width="15.6640625" style="137" customWidth="1"/>
    <col min="20" max="20" width="12.77734375" style="137" customWidth="1"/>
    <col min="21" max="21" width="11.77734375" style="137" customWidth="1"/>
    <col min="22" max="22" width="15.44140625" style="137" customWidth="1"/>
    <col min="23" max="23" width="12.6640625" style="137" customWidth="1"/>
    <col min="24" max="24" width="15.44140625" style="137" customWidth="1"/>
    <col min="25" max="246" width="8.77734375" style="137"/>
    <col min="247" max="247" width="6" style="137" customWidth="1"/>
    <col min="248" max="248" width="1.44140625" style="137" customWidth="1"/>
    <col min="249" max="249" width="39.109375" style="137" customWidth="1"/>
    <col min="250" max="250" width="12" style="137" customWidth="1"/>
    <col min="251" max="251" width="14.44140625" style="137" customWidth="1"/>
    <col min="252" max="252" width="11.88671875" style="137" customWidth="1"/>
    <col min="253" max="253" width="14.109375" style="137" customWidth="1"/>
    <col min="254" max="254" width="13.88671875" style="137" customWidth="1"/>
    <col min="255" max="256" width="12.77734375" style="137" customWidth="1"/>
    <col min="257" max="257" width="13.5546875" style="137" customWidth="1"/>
    <col min="258" max="258" width="15.33203125" style="137" customWidth="1"/>
    <col min="259" max="259" width="12.77734375" style="137" customWidth="1"/>
    <col min="260" max="260" width="13.88671875" style="137" customWidth="1"/>
    <col min="261" max="261" width="1.88671875" style="137" customWidth="1"/>
    <col min="262" max="262" width="13" style="137" customWidth="1"/>
    <col min="263" max="502" width="8.77734375" style="137"/>
    <col min="503" max="503" width="6" style="137" customWidth="1"/>
    <col min="504" max="504" width="1.44140625" style="137" customWidth="1"/>
    <col min="505" max="505" width="39.109375" style="137" customWidth="1"/>
    <col min="506" max="506" width="12" style="137" customWidth="1"/>
    <col min="507" max="507" width="14.44140625" style="137" customWidth="1"/>
    <col min="508" max="508" width="11.88671875" style="137" customWidth="1"/>
    <col min="509" max="509" width="14.109375" style="137" customWidth="1"/>
    <col min="510" max="510" width="13.88671875" style="137" customWidth="1"/>
    <col min="511" max="512" width="12.77734375" style="137" customWidth="1"/>
    <col min="513" max="513" width="13.5546875" style="137" customWidth="1"/>
    <col min="514" max="514" width="15.33203125" style="137" customWidth="1"/>
    <col min="515" max="515" width="12.77734375" style="137" customWidth="1"/>
    <col min="516" max="516" width="13.88671875" style="137" customWidth="1"/>
    <col min="517" max="517" width="1.88671875" style="137" customWidth="1"/>
    <col min="518" max="518" width="13" style="137" customWidth="1"/>
    <col min="519" max="758" width="8.77734375" style="137"/>
    <col min="759" max="759" width="6" style="137" customWidth="1"/>
    <col min="760" max="760" width="1.44140625" style="137" customWidth="1"/>
    <col min="761" max="761" width="39.109375" style="137" customWidth="1"/>
    <col min="762" max="762" width="12" style="137" customWidth="1"/>
    <col min="763" max="763" width="14.44140625" style="137" customWidth="1"/>
    <col min="764" max="764" width="11.88671875" style="137" customWidth="1"/>
    <col min="765" max="765" width="14.109375" style="137" customWidth="1"/>
    <col min="766" max="766" width="13.88671875" style="137" customWidth="1"/>
    <col min="767" max="768" width="12.77734375" style="137" customWidth="1"/>
    <col min="769" max="769" width="13.5546875" style="137" customWidth="1"/>
    <col min="770" max="770" width="15.33203125" style="137" customWidth="1"/>
    <col min="771" max="771" width="12.77734375" style="137" customWidth="1"/>
    <col min="772" max="772" width="13.88671875" style="137" customWidth="1"/>
    <col min="773" max="773" width="1.88671875" style="137" customWidth="1"/>
    <col min="774" max="774" width="13" style="137" customWidth="1"/>
    <col min="775" max="1014" width="8.77734375" style="137"/>
    <col min="1015" max="1015" width="6" style="137" customWidth="1"/>
    <col min="1016" max="1016" width="1.44140625" style="137" customWidth="1"/>
    <col min="1017" max="1017" width="39.109375" style="137" customWidth="1"/>
    <col min="1018" max="1018" width="12" style="137" customWidth="1"/>
    <col min="1019" max="1019" width="14.44140625" style="137" customWidth="1"/>
    <col min="1020" max="1020" width="11.88671875" style="137" customWidth="1"/>
    <col min="1021" max="1021" width="14.109375" style="137" customWidth="1"/>
    <col min="1022" max="1022" width="13.88671875" style="137" customWidth="1"/>
    <col min="1023" max="1024" width="12.77734375" style="137" customWidth="1"/>
    <col min="1025" max="1025" width="13.5546875" style="137" customWidth="1"/>
    <col min="1026" max="1026" width="15.33203125" style="137" customWidth="1"/>
    <col min="1027" max="1027" width="12.77734375" style="137" customWidth="1"/>
    <col min="1028" max="1028" width="13.88671875" style="137" customWidth="1"/>
    <col min="1029" max="1029" width="1.88671875" style="137" customWidth="1"/>
    <col min="1030" max="1030" width="13" style="137" customWidth="1"/>
    <col min="1031" max="1270" width="8.77734375" style="137"/>
    <col min="1271" max="1271" width="6" style="137" customWidth="1"/>
    <col min="1272" max="1272" width="1.44140625" style="137" customWidth="1"/>
    <col min="1273" max="1273" width="39.109375" style="137" customWidth="1"/>
    <col min="1274" max="1274" width="12" style="137" customWidth="1"/>
    <col min="1275" max="1275" width="14.44140625" style="137" customWidth="1"/>
    <col min="1276" max="1276" width="11.88671875" style="137" customWidth="1"/>
    <col min="1277" max="1277" width="14.109375" style="137" customWidth="1"/>
    <col min="1278" max="1278" width="13.88671875" style="137" customWidth="1"/>
    <col min="1279" max="1280" width="12.77734375" style="137" customWidth="1"/>
    <col min="1281" max="1281" width="13.5546875" style="137" customWidth="1"/>
    <col min="1282" max="1282" width="15.33203125" style="137" customWidth="1"/>
    <col min="1283" max="1283" width="12.77734375" style="137" customWidth="1"/>
    <col min="1284" max="1284" width="13.88671875" style="137" customWidth="1"/>
    <col min="1285" max="1285" width="1.88671875" style="137" customWidth="1"/>
    <col min="1286" max="1286" width="13" style="137" customWidth="1"/>
    <col min="1287" max="1526" width="8.77734375" style="137"/>
    <col min="1527" max="1527" width="6" style="137" customWidth="1"/>
    <col min="1528" max="1528" width="1.44140625" style="137" customWidth="1"/>
    <col min="1529" max="1529" width="39.109375" style="137" customWidth="1"/>
    <col min="1530" max="1530" width="12" style="137" customWidth="1"/>
    <col min="1531" max="1531" width="14.44140625" style="137" customWidth="1"/>
    <col min="1532" max="1532" width="11.88671875" style="137" customWidth="1"/>
    <col min="1533" max="1533" width="14.109375" style="137" customWidth="1"/>
    <col min="1534" max="1534" width="13.88671875" style="137" customWidth="1"/>
    <col min="1535" max="1536" width="12.77734375" style="137" customWidth="1"/>
    <col min="1537" max="1537" width="13.5546875" style="137" customWidth="1"/>
    <col min="1538" max="1538" width="15.33203125" style="137" customWidth="1"/>
    <col min="1539" max="1539" width="12.77734375" style="137" customWidth="1"/>
    <col min="1540" max="1540" width="13.88671875" style="137" customWidth="1"/>
    <col min="1541" max="1541" width="1.88671875" style="137" customWidth="1"/>
    <col min="1542" max="1542" width="13" style="137" customWidth="1"/>
    <col min="1543" max="1782" width="8.77734375" style="137"/>
    <col min="1783" max="1783" width="6" style="137" customWidth="1"/>
    <col min="1784" max="1784" width="1.44140625" style="137" customWidth="1"/>
    <col min="1785" max="1785" width="39.109375" style="137" customWidth="1"/>
    <col min="1786" max="1786" width="12" style="137" customWidth="1"/>
    <col min="1787" max="1787" width="14.44140625" style="137" customWidth="1"/>
    <col min="1788" max="1788" width="11.88671875" style="137" customWidth="1"/>
    <col min="1789" max="1789" width="14.109375" style="137" customWidth="1"/>
    <col min="1790" max="1790" width="13.88671875" style="137" customWidth="1"/>
    <col min="1791" max="1792" width="12.77734375" style="137" customWidth="1"/>
    <col min="1793" max="1793" width="13.5546875" style="137" customWidth="1"/>
    <col min="1794" max="1794" width="15.33203125" style="137" customWidth="1"/>
    <col min="1795" max="1795" width="12.77734375" style="137" customWidth="1"/>
    <col min="1796" max="1796" width="13.88671875" style="137" customWidth="1"/>
    <col min="1797" max="1797" width="1.88671875" style="137" customWidth="1"/>
    <col min="1798" max="1798" width="13" style="137" customWidth="1"/>
    <col min="1799" max="2038" width="8.77734375" style="137"/>
    <col min="2039" max="2039" width="6" style="137" customWidth="1"/>
    <col min="2040" max="2040" width="1.44140625" style="137" customWidth="1"/>
    <col min="2041" max="2041" width="39.109375" style="137" customWidth="1"/>
    <col min="2042" max="2042" width="12" style="137" customWidth="1"/>
    <col min="2043" max="2043" width="14.44140625" style="137" customWidth="1"/>
    <col min="2044" max="2044" width="11.88671875" style="137" customWidth="1"/>
    <col min="2045" max="2045" width="14.109375" style="137" customWidth="1"/>
    <col min="2046" max="2046" width="13.88671875" style="137" customWidth="1"/>
    <col min="2047" max="2048" width="12.77734375" style="137" customWidth="1"/>
    <col min="2049" max="2049" width="13.5546875" style="137" customWidth="1"/>
    <col min="2050" max="2050" width="15.33203125" style="137" customWidth="1"/>
    <col min="2051" max="2051" width="12.77734375" style="137" customWidth="1"/>
    <col min="2052" max="2052" width="13.88671875" style="137" customWidth="1"/>
    <col min="2053" max="2053" width="1.88671875" style="137" customWidth="1"/>
    <col min="2054" max="2054" width="13" style="137" customWidth="1"/>
    <col min="2055" max="2294" width="8.77734375" style="137"/>
    <col min="2295" max="2295" width="6" style="137" customWidth="1"/>
    <col min="2296" max="2296" width="1.44140625" style="137" customWidth="1"/>
    <col min="2297" max="2297" width="39.109375" style="137" customWidth="1"/>
    <col min="2298" max="2298" width="12" style="137" customWidth="1"/>
    <col min="2299" max="2299" width="14.44140625" style="137" customWidth="1"/>
    <col min="2300" max="2300" width="11.88671875" style="137" customWidth="1"/>
    <col min="2301" max="2301" width="14.109375" style="137" customWidth="1"/>
    <col min="2302" max="2302" width="13.88671875" style="137" customWidth="1"/>
    <col min="2303" max="2304" width="12.77734375" style="137" customWidth="1"/>
    <col min="2305" max="2305" width="13.5546875" style="137" customWidth="1"/>
    <col min="2306" max="2306" width="15.33203125" style="137" customWidth="1"/>
    <col min="2307" max="2307" width="12.77734375" style="137" customWidth="1"/>
    <col min="2308" max="2308" width="13.88671875" style="137" customWidth="1"/>
    <col min="2309" max="2309" width="1.88671875" style="137" customWidth="1"/>
    <col min="2310" max="2310" width="13" style="137" customWidth="1"/>
    <col min="2311" max="2550" width="8.77734375" style="137"/>
    <col min="2551" max="2551" width="6" style="137" customWidth="1"/>
    <col min="2552" max="2552" width="1.44140625" style="137" customWidth="1"/>
    <col min="2553" max="2553" width="39.109375" style="137" customWidth="1"/>
    <col min="2554" max="2554" width="12" style="137" customWidth="1"/>
    <col min="2555" max="2555" width="14.44140625" style="137" customWidth="1"/>
    <col min="2556" max="2556" width="11.88671875" style="137" customWidth="1"/>
    <col min="2557" max="2557" width="14.109375" style="137" customWidth="1"/>
    <col min="2558" max="2558" width="13.88671875" style="137" customWidth="1"/>
    <col min="2559" max="2560" width="12.77734375" style="137" customWidth="1"/>
    <col min="2561" max="2561" width="13.5546875" style="137" customWidth="1"/>
    <col min="2562" max="2562" width="15.33203125" style="137" customWidth="1"/>
    <col min="2563" max="2563" width="12.77734375" style="137" customWidth="1"/>
    <col min="2564" max="2564" width="13.88671875" style="137" customWidth="1"/>
    <col min="2565" max="2565" width="1.88671875" style="137" customWidth="1"/>
    <col min="2566" max="2566" width="13" style="137" customWidth="1"/>
    <col min="2567" max="2806" width="8.77734375" style="137"/>
    <col min="2807" max="2807" width="6" style="137" customWidth="1"/>
    <col min="2808" max="2808" width="1.44140625" style="137" customWidth="1"/>
    <col min="2809" max="2809" width="39.109375" style="137" customWidth="1"/>
    <col min="2810" max="2810" width="12" style="137" customWidth="1"/>
    <col min="2811" max="2811" width="14.44140625" style="137" customWidth="1"/>
    <col min="2812" max="2812" width="11.88671875" style="137" customWidth="1"/>
    <col min="2813" max="2813" width="14.109375" style="137" customWidth="1"/>
    <col min="2814" max="2814" width="13.88671875" style="137" customWidth="1"/>
    <col min="2815" max="2816" width="12.77734375" style="137" customWidth="1"/>
    <col min="2817" max="2817" width="13.5546875" style="137" customWidth="1"/>
    <col min="2818" max="2818" width="15.33203125" style="137" customWidth="1"/>
    <col min="2819" max="2819" width="12.77734375" style="137" customWidth="1"/>
    <col min="2820" max="2820" width="13.88671875" style="137" customWidth="1"/>
    <col min="2821" max="2821" width="1.88671875" style="137" customWidth="1"/>
    <col min="2822" max="2822" width="13" style="137" customWidth="1"/>
    <col min="2823" max="3062" width="8.77734375" style="137"/>
    <col min="3063" max="3063" width="6" style="137" customWidth="1"/>
    <col min="3064" max="3064" width="1.44140625" style="137" customWidth="1"/>
    <col min="3065" max="3065" width="39.109375" style="137" customWidth="1"/>
    <col min="3066" max="3066" width="12" style="137" customWidth="1"/>
    <col min="3067" max="3067" width="14.44140625" style="137" customWidth="1"/>
    <col min="3068" max="3068" width="11.88671875" style="137" customWidth="1"/>
    <col min="3069" max="3069" width="14.109375" style="137" customWidth="1"/>
    <col min="3070" max="3070" width="13.88671875" style="137" customWidth="1"/>
    <col min="3071" max="3072" width="12.77734375" style="137" customWidth="1"/>
    <col min="3073" max="3073" width="13.5546875" style="137" customWidth="1"/>
    <col min="3074" max="3074" width="15.33203125" style="137" customWidth="1"/>
    <col min="3075" max="3075" width="12.77734375" style="137" customWidth="1"/>
    <col min="3076" max="3076" width="13.88671875" style="137" customWidth="1"/>
    <col min="3077" max="3077" width="1.88671875" style="137" customWidth="1"/>
    <col min="3078" max="3078" width="13" style="137" customWidth="1"/>
    <col min="3079" max="3318" width="8.77734375" style="137"/>
    <col min="3319" max="3319" width="6" style="137" customWidth="1"/>
    <col min="3320" max="3320" width="1.44140625" style="137" customWidth="1"/>
    <col min="3321" max="3321" width="39.109375" style="137" customWidth="1"/>
    <col min="3322" max="3322" width="12" style="137" customWidth="1"/>
    <col min="3323" max="3323" width="14.44140625" style="137" customWidth="1"/>
    <col min="3324" max="3324" width="11.88671875" style="137" customWidth="1"/>
    <col min="3325" max="3325" width="14.109375" style="137" customWidth="1"/>
    <col min="3326" max="3326" width="13.88671875" style="137" customWidth="1"/>
    <col min="3327" max="3328" width="12.77734375" style="137" customWidth="1"/>
    <col min="3329" max="3329" width="13.5546875" style="137" customWidth="1"/>
    <col min="3330" max="3330" width="15.33203125" style="137" customWidth="1"/>
    <col min="3331" max="3331" width="12.77734375" style="137" customWidth="1"/>
    <col min="3332" max="3332" width="13.88671875" style="137" customWidth="1"/>
    <col min="3333" max="3333" width="1.88671875" style="137" customWidth="1"/>
    <col min="3334" max="3334" width="13" style="137" customWidth="1"/>
    <col min="3335" max="3574" width="8.77734375" style="137"/>
    <col min="3575" max="3575" width="6" style="137" customWidth="1"/>
    <col min="3576" max="3576" width="1.44140625" style="137" customWidth="1"/>
    <col min="3577" max="3577" width="39.109375" style="137" customWidth="1"/>
    <col min="3578" max="3578" width="12" style="137" customWidth="1"/>
    <col min="3579" max="3579" width="14.44140625" style="137" customWidth="1"/>
    <col min="3580" max="3580" width="11.88671875" style="137" customWidth="1"/>
    <col min="3581" max="3581" width="14.109375" style="137" customWidth="1"/>
    <col min="3582" max="3582" width="13.88671875" style="137" customWidth="1"/>
    <col min="3583" max="3584" width="12.77734375" style="137" customWidth="1"/>
    <col min="3585" max="3585" width="13.5546875" style="137" customWidth="1"/>
    <col min="3586" max="3586" width="15.33203125" style="137" customWidth="1"/>
    <col min="3587" max="3587" width="12.77734375" style="137" customWidth="1"/>
    <col min="3588" max="3588" width="13.88671875" style="137" customWidth="1"/>
    <col min="3589" max="3589" width="1.88671875" style="137" customWidth="1"/>
    <col min="3590" max="3590" width="13" style="137" customWidth="1"/>
    <col min="3591" max="3830" width="8.77734375" style="137"/>
    <col min="3831" max="3831" width="6" style="137" customWidth="1"/>
    <col min="3832" max="3832" width="1.44140625" style="137" customWidth="1"/>
    <col min="3833" max="3833" width="39.109375" style="137" customWidth="1"/>
    <col min="3834" max="3834" width="12" style="137" customWidth="1"/>
    <col min="3835" max="3835" width="14.44140625" style="137" customWidth="1"/>
    <col min="3836" max="3836" width="11.88671875" style="137" customWidth="1"/>
    <col min="3837" max="3837" width="14.109375" style="137" customWidth="1"/>
    <col min="3838" max="3838" width="13.88671875" style="137" customWidth="1"/>
    <col min="3839" max="3840" width="12.77734375" style="137" customWidth="1"/>
    <col min="3841" max="3841" width="13.5546875" style="137" customWidth="1"/>
    <col min="3842" max="3842" width="15.33203125" style="137" customWidth="1"/>
    <col min="3843" max="3843" width="12.77734375" style="137" customWidth="1"/>
    <col min="3844" max="3844" width="13.88671875" style="137" customWidth="1"/>
    <col min="3845" max="3845" width="1.88671875" style="137" customWidth="1"/>
    <col min="3846" max="3846" width="13" style="137" customWidth="1"/>
    <col min="3847" max="4086" width="8.77734375" style="137"/>
    <col min="4087" max="4087" width="6" style="137" customWidth="1"/>
    <col min="4088" max="4088" width="1.44140625" style="137" customWidth="1"/>
    <col min="4089" max="4089" width="39.109375" style="137" customWidth="1"/>
    <col min="4090" max="4090" width="12" style="137" customWidth="1"/>
    <col min="4091" max="4091" width="14.44140625" style="137" customWidth="1"/>
    <col min="4092" max="4092" width="11.88671875" style="137" customWidth="1"/>
    <col min="4093" max="4093" width="14.109375" style="137" customWidth="1"/>
    <col min="4094" max="4094" width="13.88671875" style="137" customWidth="1"/>
    <col min="4095" max="4096" width="12.77734375" style="137" customWidth="1"/>
    <col min="4097" max="4097" width="13.5546875" style="137" customWidth="1"/>
    <col min="4098" max="4098" width="15.33203125" style="137" customWidth="1"/>
    <col min="4099" max="4099" width="12.77734375" style="137" customWidth="1"/>
    <col min="4100" max="4100" width="13.88671875" style="137" customWidth="1"/>
    <col min="4101" max="4101" width="1.88671875" style="137" customWidth="1"/>
    <col min="4102" max="4102" width="13" style="137" customWidth="1"/>
    <col min="4103" max="4342" width="8.77734375" style="137"/>
    <col min="4343" max="4343" width="6" style="137" customWidth="1"/>
    <col min="4344" max="4344" width="1.44140625" style="137" customWidth="1"/>
    <col min="4345" max="4345" width="39.109375" style="137" customWidth="1"/>
    <col min="4346" max="4346" width="12" style="137" customWidth="1"/>
    <col min="4347" max="4347" width="14.44140625" style="137" customWidth="1"/>
    <col min="4348" max="4348" width="11.88671875" style="137" customWidth="1"/>
    <col min="4349" max="4349" width="14.109375" style="137" customWidth="1"/>
    <col min="4350" max="4350" width="13.88671875" style="137" customWidth="1"/>
    <col min="4351" max="4352" width="12.77734375" style="137" customWidth="1"/>
    <col min="4353" max="4353" width="13.5546875" style="137" customWidth="1"/>
    <col min="4354" max="4354" width="15.33203125" style="137" customWidth="1"/>
    <col min="4355" max="4355" width="12.77734375" style="137" customWidth="1"/>
    <col min="4356" max="4356" width="13.88671875" style="137" customWidth="1"/>
    <col min="4357" max="4357" width="1.88671875" style="137" customWidth="1"/>
    <col min="4358" max="4358" width="13" style="137" customWidth="1"/>
    <col min="4359" max="4598" width="8.77734375" style="137"/>
    <col min="4599" max="4599" width="6" style="137" customWidth="1"/>
    <col min="4600" max="4600" width="1.44140625" style="137" customWidth="1"/>
    <col min="4601" max="4601" width="39.109375" style="137" customWidth="1"/>
    <col min="4602" max="4602" width="12" style="137" customWidth="1"/>
    <col min="4603" max="4603" width="14.44140625" style="137" customWidth="1"/>
    <col min="4604" max="4604" width="11.88671875" style="137" customWidth="1"/>
    <col min="4605" max="4605" width="14.109375" style="137" customWidth="1"/>
    <col min="4606" max="4606" width="13.88671875" style="137" customWidth="1"/>
    <col min="4607" max="4608" width="12.77734375" style="137" customWidth="1"/>
    <col min="4609" max="4609" width="13.5546875" style="137" customWidth="1"/>
    <col min="4610" max="4610" width="15.33203125" style="137" customWidth="1"/>
    <col min="4611" max="4611" width="12.77734375" style="137" customWidth="1"/>
    <col min="4612" max="4612" width="13.88671875" style="137" customWidth="1"/>
    <col min="4613" max="4613" width="1.88671875" style="137" customWidth="1"/>
    <col min="4614" max="4614" width="13" style="137" customWidth="1"/>
    <col min="4615" max="4854" width="8.77734375" style="137"/>
    <col min="4855" max="4855" width="6" style="137" customWidth="1"/>
    <col min="4856" max="4856" width="1.44140625" style="137" customWidth="1"/>
    <col min="4857" max="4857" width="39.109375" style="137" customWidth="1"/>
    <col min="4858" max="4858" width="12" style="137" customWidth="1"/>
    <col min="4859" max="4859" width="14.44140625" style="137" customWidth="1"/>
    <col min="4860" max="4860" width="11.88671875" style="137" customWidth="1"/>
    <col min="4861" max="4861" width="14.109375" style="137" customWidth="1"/>
    <col min="4862" max="4862" width="13.88671875" style="137" customWidth="1"/>
    <col min="4863" max="4864" width="12.77734375" style="137" customWidth="1"/>
    <col min="4865" max="4865" width="13.5546875" style="137" customWidth="1"/>
    <col min="4866" max="4866" width="15.33203125" style="137" customWidth="1"/>
    <col min="4867" max="4867" width="12.77734375" style="137" customWidth="1"/>
    <col min="4868" max="4868" width="13.88671875" style="137" customWidth="1"/>
    <col min="4869" max="4869" width="1.88671875" style="137" customWidth="1"/>
    <col min="4870" max="4870" width="13" style="137" customWidth="1"/>
    <col min="4871" max="5110" width="8.77734375" style="137"/>
    <col min="5111" max="5111" width="6" style="137" customWidth="1"/>
    <col min="5112" max="5112" width="1.44140625" style="137" customWidth="1"/>
    <col min="5113" max="5113" width="39.109375" style="137" customWidth="1"/>
    <col min="5114" max="5114" width="12" style="137" customWidth="1"/>
    <col min="5115" max="5115" width="14.44140625" style="137" customWidth="1"/>
    <col min="5116" max="5116" width="11.88671875" style="137" customWidth="1"/>
    <col min="5117" max="5117" width="14.109375" style="137" customWidth="1"/>
    <col min="5118" max="5118" width="13.88671875" style="137" customWidth="1"/>
    <col min="5119" max="5120" width="12.77734375" style="137" customWidth="1"/>
    <col min="5121" max="5121" width="13.5546875" style="137" customWidth="1"/>
    <col min="5122" max="5122" width="15.33203125" style="137" customWidth="1"/>
    <col min="5123" max="5123" width="12.77734375" style="137" customWidth="1"/>
    <col min="5124" max="5124" width="13.88671875" style="137" customWidth="1"/>
    <col min="5125" max="5125" width="1.88671875" style="137" customWidth="1"/>
    <col min="5126" max="5126" width="13" style="137" customWidth="1"/>
    <col min="5127" max="5366" width="8.77734375" style="137"/>
    <col min="5367" max="5367" width="6" style="137" customWidth="1"/>
    <col min="5368" max="5368" width="1.44140625" style="137" customWidth="1"/>
    <col min="5369" max="5369" width="39.109375" style="137" customWidth="1"/>
    <col min="5370" max="5370" width="12" style="137" customWidth="1"/>
    <col min="5371" max="5371" width="14.44140625" style="137" customWidth="1"/>
    <col min="5372" max="5372" width="11.88671875" style="137" customWidth="1"/>
    <col min="5373" max="5373" width="14.109375" style="137" customWidth="1"/>
    <col min="5374" max="5374" width="13.88671875" style="137" customWidth="1"/>
    <col min="5375" max="5376" width="12.77734375" style="137" customWidth="1"/>
    <col min="5377" max="5377" width="13.5546875" style="137" customWidth="1"/>
    <col min="5378" max="5378" width="15.33203125" style="137" customWidth="1"/>
    <col min="5379" max="5379" width="12.77734375" style="137" customWidth="1"/>
    <col min="5380" max="5380" width="13.88671875" style="137" customWidth="1"/>
    <col min="5381" max="5381" width="1.88671875" style="137" customWidth="1"/>
    <col min="5382" max="5382" width="13" style="137" customWidth="1"/>
    <col min="5383" max="5622" width="8.77734375" style="137"/>
    <col min="5623" max="5623" width="6" style="137" customWidth="1"/>
    <col min="5624" max="5624" width="1.44140625" style="137" customWidth="1"/>
    <col min="5625" max="5625" width="39.109375" style="137" customWidth="1"/>
    <col min="5626" max="5626" width="12" style="137" customWidth="1"/>
    <col min="5627" max="5627" width="14.44140625" style="137" customWidth="1"/>
    <col min="5628" max="5628" width="11.88671875" style="137" customWidth="1"/>
    <col min="5629" max="5629" width="14.109375" style="137" customWidth="1"/>
    <col min="5630" max="5630" width="13.88671875" style="137" customWidth="1"/>
    <col min="5631" max="5632" width="12.77734375" style="137" customWidth="1"/>
    <col min="5633" max="5633" width="13.5546875" style="137" customWidth="1"/>
    <col min="5634" max="5634" width="15.33203125" style="137" customWidth="1"/>
    <col min="5635" max="5635" width="12.77734375" style="137" customWidth="1"/>
    <col min="5636" max="5636" width="13.88671875" style="137" customWidth="1"/>
    <col min="5637" max="5637" width="1.88671875" style="137" customWidth="1"/>
    <col min="5638" max="5638" width="13" style="137" customWidth="1"/>
    <col min="5639" max="5878" width="8.77734375" style="137"/>
    <col min="5879" max="5879" width="6" style="137" customWidth="1"/>
    <col min="5880" max="5880" width="1.44140625" style="137" customWidth="1"/>
    <col min="5881" max="5881" width="39.109375" style="137" customWidth="1"/>
    <col min="5882" max="5882" width="12" style="137" customWidth="1"/>
    <col min="5883" max="5883" width="14.44140625" style="137" customWidth="1"/>
    <col min="5884" max="5884" width="11.88671875" style="137" customWidth="1"/>
    <col min="5885" max="5885" width="14.109375" style="137" customWidth="1"/>
    <col min="5886" max="5886" width="13.88671875" style="137" customWidth="1"/>
    <col min="5887" max="5888" width="12.77734375" style="137" customWidth="1"/>
    <col min="5889" max="5889" width="13.5546875" style="137" customWidth="1"/>
    <col min="5890" max="5890" width="15.33203125" style="137" customWidth="1"/>
    <col min="5891" max="5891" width="12.77734375" style="137" customWidth="1"/>
    <col min="5892" max="5892" width="13.88671875" style="137" customWidth="1"/>
    <col min="5893" max="5893" width="1.88671875" style="137" customWidth="1"/>
    <col min="5894" max="5894" width="13" style="137" customWidth="1"/>
    <col min="5895" max="6134" width="8.77734375" style="137"/>
    <col min="6135" max="6135" width="6" style="137" customWidth="1"/>
    <col min="6136" max="6136" width="1.44140625" style="137" customWidth="1"/>
    <col min="6137" max="6137" width="39.109375" style="137" customWidth="1"/>
    <col min="6138" max="6138" width="12" style="137" customWidth="1"/>
    <col min="6139" max="6139" width="14.44140625" style="137" customWidth="1"/>
    <col min="6140" max="6140" width="11.88671875" style="137" customWidth="1"/>
    <col min="6141" max="6141" width="14.109375" style="137" customWidth="1"/>
    <col min="6142" max="6142" width="13.88671875" style="137" customWidth="1"/>
    <col min="6143" max="6144" width="12.77734375" style="137" customWidth="1"/>
    <col min="6145" max="6145" width="13.5546875" style="137" customWidth="1"/>
    <col min="6146" max="6146" width="15.33203125" style="137" customWidth="1"/>
    <col min="6147" max="6147" width="12.77734375" style="137" customWidth="1"/>
    <col min="6148" max="6148" width="13.88671875" style="137" customWidth="1"/>
    <col min="6149" max="6149" width="1.88671875" style="137" customWidth="1"/>
    <col min="6150" max="6150" width="13" style="137" customWidth="1"/>
    <col min="6151" max="6390" width="8.77734375" style="137"/>
    <col min="6391" max="6391" width="6" style="137" customWidth="1"/>
    <col min="6392" max="6392" width="1.44140625" style="137" customWidth="1"/>
    <col min="6393" max="6393" width="39.109375" style="137" customWidth="1"/>
    <col min="6394" max="6394" width="12" style="137" customWidth="1"/>
    <col min="6395" max="6395" width="14.44140625" style="137" customWidth="1"/>
    <col min="6396" max="6396" width="11.88671875" style="137" customWidth="1"/>
    <col min="6397" max="6397" width="14.109375" style="137" customWidth="1"/>
    <col min="6398" max="6398" width="13.88671875" style="137" customWidth="1"/>
    <col min="6399" max="6400" width="12.77734375" style="137" customWidth="1"/>
    <col min="6401" max="6401" width="13.5546875" style="137" customWidth="1"/>
    <col min="6402" max="6402" width="15.33203125" style="137" customWidth="1"/>
    <col min="6403" max="6403" width="12.77734375" style="137" customWidth="1"/>
    <col min="6404" max="6404" width="13.88671875" style="137" customWidth="1"/>
    <col min="6405" max="6405" width="1.88671875" style="137" customWidth="1"/>
    <col min="6406" max="6406" width="13" style="137" customWidth="1"/>
    <col min="6407" max="6646" width="8.77734375" style="137"/>
    <col min="6647" max="6647" width="6" style="137" customWidth="1"/>
    <col min="6648" max="6648" width="1.44140625" style="137" customWidth="1"/>
    <col min="6649" max="6649" width="39.109375" style="137" customWidth="1"/>
    <col min="6650" max="6650" width="12" style="137" customWidth="1"/>
    <col min="6651" max="6651" width="14.44140625" style="137" customWidth="1"/>
    <col min="6652" max="6652" width="11.88671875" style="137" customWidth="1"/>
    <col min="6653" max="6653" width="14.109375" style="137" customWidth="1"/>
    <col min="6654" max="6654" width="13.88671875" style="137" customWidth="1"/>
    <col min="6655" max="6656" width="12.77734375" style="137" customWidth="1"/>
    <col min="6657" max="6657" width="13.5546875" style="137" customWidth="1"/>
    <col min="6658" max="6658" width="15.33203125" style="137" customWidth="1"/>
    <col min="6659" max="6659" width="12.77734375" style="137" customWidth="1"/>
    <col min="6660" max="6660" width="13.88671875" style="137" customWidth="1"/>
    <col min="6661" max="6661" width="1.88671875" style="137" customWidth="1"/>
    <col min="6662" max="6662" width="13" style="137" customWidth="1"/>
    <col min="6663" max="6902" width="8.77734375" style="137"/>
    <col min="6903" max="6903" width="6" style="137" customWidth="1"/>
    <col min="6904" max="6904" width="1.44140625" style="137" customWidth="1"/>
    <col min="6905" max="6905" width="39.109375" style="137" customWidth="1"/>
    <col min="6906" max="6906" width="12" style="137" customWidth="1"/>
    <col min="6907" max="6907" width="14.44140625" style="137" customWidth="1"/>
    <col min="6908" max="6908" width="11.88671875" style="137" customWidth="1"/>
    <col min="6909" max="6909" width="14.109375" style="137" customWidth="1"/>
    <col min="6910" max="6910" width="13.88671875" style="137" customWidth="1"/>
    <col min="6911" max="6912" width="12.77734375" style="137" customWidth="1"/>
    <col min="6913" max="6913" width="13.5546875" style="137" customWidth="1"/>
    <col min="6914" max="6914" width="15.33203125" style="137" customWidth="1"/>
    <col min="6915" max="6915" width="12.77734375" style="137" customWidth="1"/>
    <col min="6916" max="6916" width="13.88671875" style="137" customWidth="1"/>
    <col min="6917" max="6917" width="1.88671875" style="137" customWidth="1"/>
    <col min="6918" max="6918" width="13" style="137" customWidth="1"/>
    <col min="6919" max="7158" width="8.77734375" style="137"/>
    <col min="7159" max="7159" width="6" style="137" customWidth="1"/>
    <col min="7160" max="7160" width="1.44140625" style="137" customWidth="1"/>
    <col min="7161" max="7161" width="39.109375" style="137" customWidth="1"/>
    <col min="7162" max="7162" width="12" style="137" customWidth="1"/>
    <col min="7163" max="7163" width="14.44140625" style="137" customWidth="1"/>
    <col min="7164" max="7164" width="11.88671875" style="137" customWidth="1"/>
    <col min="7165" max="7165" width="14.109375" style="137" customWidth="1"/>
    <col min="7166" max="7166" width="13.88671875" style="137" customWidth="1"/>
    <col min="7167" max="7168" width="12.77734375" style="137" customWidth="1"/>
    <col min="7169" max="7169" width="13.5546875" style="137" customWidth="1"/>
    <col min="7170" max="7170" width="15.33203125" style="137" customWidth="1"/>
    <col min="7171" max="7171" width="12.77734375" style="137" customWidth="1"/>
    <col min="7172" max="7172" width="13.88671875" style="137" customWidth="1"/>
    <col min="7173" max="7173" width="1.88671875" style="137" customWidth="1"/>
    <col min="7174" max="7174" width="13" style="137" customWidth="1"/>
    <col min="7175" max="7414" width="8.77734375" style="137"/>
    <col min="7415" max="7415" width="6" style="137" customWidth="1"/>
    <col min="7416" max="7416" width="1.44140625" style="137" customWidth="1"/>
    <col min="7417" max="7417" width="39.109375" style="137" customWidth="1"/>
    <col min="7418" max="7418" width="12" style="137" customWidth="1"/>
    <col min="7419" max="7419" width="14.44140625" style="137" customWidth="1"/>
    <col min="7420" max="7420" width="11.88671875" style="137" customWidth="1"/>
    <col min="7421" max="7421" width="14.109375" style="137" customWidth="1"/>
    <col min="7422" max="7422" width="13.88671875" style="137" customWidth="1"/>
    <col min="7423" max="7424" width="12.77734375" style="137" customWidth="1"/>
    <col min="7425" max="7425" width="13.5546875" style="137" customWidth="1"/>
    <col min="7426" max="7426" width="15.33203125" style="137" customWidth="1"/>
    <col min="7427" max="7427" width="12.77734375" style="137" customWidth="1"/>
    <col min="7428" max="7428" width="13.88671875" style="137" customWidth="1"/>
    <col min="7429" max="7429" width="1.88671875" style="137" customWidth="1"/>
    <col min="7430" max="7430" width="13" style="137" customWidth="1"/>
    <col min="7431" max="7670" width="8.77734375" style="137"/>
    <col min="7671" max="7671" width="6" style="137" customWidth="1"/>
    <col min="7672" max="7672" width="1.44140625" style="137" customWidth="1"/>
    <col min="7673" max="7673" width="39.109375" style="137" customWidth="1"/>
    <col min="7674" max="7674" width="12" style="137" customWidth="1"/>
    <col min="7675" max="7675" width="14.44140625" style="137" customWidth="1"/>
    <col min="7676" max="7676" width="11.88671875" style="137" customWidth="1"/>
    <col min="7677" max="7677" width="14.109375" style="137" customWidth="1"/>
    <col min="7678" max="7678" width="13.88671875" style="137" customWidth="1"/>
    <col min="7679" max="7680" width="12.77734375" style="137" customWidth="1"/>
    <col min="7681" max="7681" width="13.5546875" style="137" customWidth="1"/>
    <col min="7682" max="7682" width="15.33203125" style="137" customWidth="1"/>
    <col min="7683" max="7683" width="12.77734375" style="137" customWidth="1"/>
    <col min="7684" max="7684" width="13.88671875" style="137" customWidth="1"/>
    <col min="7685" max="7685" width="1.88671875" style="137" customWidth="1"/>
    <col min="7686" max="7686" width="13" style="137" customWidth="1"/>
    <col min="7687" max="7926" width="8.77734375" style="137"/>
    <col min="7927" max="7927" width="6" style="137" customWidth="1"/>
    <col min="7928" max="7928" width="1.44140625" style="137" customWidth="1"/>
    <col min="7929" max="7929" width="39.109375" style="137" customWidth="1"/>
    <col min="7930" max="7930" width="12" style="137" customWidth="1"/>
    <col min="7931" max="7931" width="14.44140625" style="137" customWidth="1"/>
    <col min="7932" max="7932" width="11.88671875" style="137" customWidth="1"/>
    <col min="7933" max="7933" width="14.109375" style="137" customWidth="1"/>
    <col min="7934" max="7934" width="13.88671875" style="137" customWidth="1"/>
    <col min="7935" max="7936" width="12.77734375" style="137" customWidth="1"/>
    <col min="7937" max="7937" width="13.5546875" style="137" customWidth="1"/>
    <col min="7938" max="7938" width="15.33203125" style="137" customWidth="1"/>
    <col min="7939" max="7939" width="12.77734375" style="137" customWidth="1"/>
    <col min="7940" max="7940" width="13.88671875" style="137" customWidth="1"/>
    <col min="7941" max="7941" width="1.88671875" style="137" customWidth="1"/>
    <col min="7942" max="7942" width="13" style="137" customWidth="1"/>
    <col min="7943" max="8182" width="8.77734375" style="137"/>
    <col min="8183" max="8183" width="6" style="137" customWidth="1"/>
    <col min="8184" max="8184" width="1.44140625" style="137" customWidth="1"/>
    <col min="8185" max="8185" width="39.109375" style="137" customWidth="1"/>
    <col min="8186" max="8186" width="12" style="137" customWidth="1"/>
    <col min="8187" max="8187" width="14.44140625" style="137" customWidth="1"/>
    <col min="8188" max="8188" width="11.88671875" style="137" customWidth="1"/>
    <col min="8189" max="8189" width="14.109375" style="137" customWidth="1"/>
    <col min="8190" max="8190" width="13.88671875" style="137" customWidth="1"/>
    <col min="8191" max="8192" width="12.77734375" style="137" customWidth="1"/>
    <col min="8193" max="8193" width="13.5546875" style="137" customWidth="1"/>
    <col min="8194" max="8194" width="15.33203125" style="137" customWidth="1"/>
    <col min="8195" max="8195" width="12.77734375" style="137" customWidth="1"/>
    <col min="8196" max="8196" width="13.88671875" style="137" customWidth="1"/>
    <col min="8197" max="8197" width="1.88671875" style="137" customWidth="1"/>
    <col min="8198" max="8198" width="13" style="137" customWidth="1"/>
    <col min="8199" max="8438" width="8.77734375" style="137"/>
    <col min="8439" max="8439" width="6" style="137" customWidth="1"/>
    <col min="8440" max="8440" width="1.44140625" style="137" customWidth="1"/>
    <col min="8441" max="8441" width="39.109375" style="137" customWidth="1"/>
    <col min="8442" max="8442" width="12" style="137" customWidth="1"/>
    <col min="8443" max="8443" width="14.44140625" style="137" customWidth="1"/>
    <col min="8444" max="8444" width="11.88671875" style="137" customWidth="1"/>
    <col min="8445" max="8445" width="14.109375" style="137" customWidth="1"/>
    <col min="8446" max="8446" width="13.88671875" style="137" customWidth="1"/>
    <col min="8447" max="8448" width="12.77734375" style="137" customWidth="1"/>
    <col min="8449" max="8449" width="13.5546875" style="137" customWidth="1"/>
    <col min="8450" max="8450" width="15.33203125" style="137" customWidth="1"/>
    <col min="8451" max="8451" width="12.77734375" style="137" customWidth="1"/>
    <col min="8452" max="8452" width="13.88671875" style="137" customWidth="1"/>
    <col min="8453" max="8453" width="1.88671875" style="137" customWidth="1"/>
    <col min="8454" max="8454" width="13" style="137" customWidth="1"/>
    <col min="8455" max="8694" width="8.77734375" style="137"/>
    <col min="8695" max="8695" width="6" style="137" customWidth="1"/>
    <col min="8696" max="8696" width="1.44140625" style="137" customWidth="1"/>
    <col min="8697" max="8697" width="39.109375" style="137" customWidth="1"/>
    <col min="8698" max="8698" width="12" style="137" customWidth="1"/>
    <col min="8699" max="8699" width="14.44140625" style="137" customWidth="1"/>
    <col min="8700" max="8700" width="11.88671875" style="137" customWidth="1"/>
    <col min="8701" max="8701" width="14.109375" style="137" customWidth="1"/>
    <col min="8702" max="8702" width="13.88671875" style="137" customWidth="1"/>
    <col min="8703" max="8704" width="12.77734375" style="137" customWidth="1"/>
    <col min="8705" max="8705" width="13.5546875" style="137" customWidth="1"/>
    <col min="8706" max="8706" width="15.33203125" style="137" customWidth="1"/>
    <col min="8707" max="8707" width="12.77734375" style="137" customWidth="1"/>
    <col min="8708" max="8708" width="13.88671875" style="137" customWidth="1"/>
    <col min="8709" max="8709" width="1.88671875" style="137" customWidth="1"/>
    <col min="8710" max="8710" width="13" style="137" customWidth="1"/>
    <col min="8711" max="8950" width="8.77734375" style="137"/>
    <col min="8951" max="8951" width="6" style="137" customWidth="1"/>
    <col min="8952" max="8952" width="1.44140625" style="137" customWidth="1"/>
    <col min="8953" max="8953" width="39.109375" style="137" customWidth="1"/>
    <col min="8954" max="8954" width="12" style="137" customWidth="1"/>
    <col min="8955" max="8955" width="14.44140625" style="137" customWidth="1"/>
    <col min="8956" max="8956" width="11.88671875" style="137" customWidth="1"/>
    <col min="8957" max="8957" width="14.109375" style="137" customWidth="1"/>
    <col min="8958" max="8958" width="13.88671875" style="137" customWidth="1"/>
    <col min="8959" max="8960" width="12.77734375" style="137" customWidth="1"/>
    <col min="8961" max="8961" width="13.5546875" style="137" customWidth="1"/>
    <col min="8962" max="8962" width="15.33203125" style="137" customWidth="1"/>
    <col min="8963" max="8963" width="12.77734375" style="137" customWidth="1"/>
    <col min="8964" max="8964" width="13.88671875" style="137" customWidth="1"/>
    <col min="8965" max="8965" width="1.88671875" style="137" customWidth="1"/>
    <col min="8966" max="8966" width="13" style="137" customWidth="1"/>
    <col min="8967" max="9206" width="8.77734375" style="137"/>
    <col min="9207" max="9207" width="6" style="137" customWidth="1"/>
    <col min="9208" max="9208" width="1.44140625" style="137" customWidth="1"/>
    <col min="9209" max="9209" width="39.109375" style="137" customWidth="1"/>
    <col min="9210" max="9210" width="12" style="137" customWidth="1"/>
    <col min="9211" max="9211" width="14.44140625" style="137" customWidth="1"/>
    <col min="9212" max="9212" width="11.88671875" style="137" customWidth="1"/>
    <col min="9213" max="9213" width="14.109375" style="137" customWidth="1"/>
    <col min="9214" max="9214" width="13.88671875" style="137" customWidth="1"/>
    <col min="9215" max="9216" width="12.77734375" style="137" customWidth="1"/>
    <col min="9217" max="9217" width="13.5546875" style="137" customWidth="1"/>
    <col min="9218" max="9218" width="15.33203125" style="137" customWidth="1"/>
    <col min="9219" max="9219" width="12.77734375" style="137" customWidth="1"/>
    <col min="9220" max="9220" width="13.88671875" style="137" customWidth="1"/>
    <col min="9221" max="9221" width="1.88671875" style="137" customWidth="1"/>
    <col min="9222" max="9222" width="13" style="137" customWidth="1"/>
    <col min="9223" max="9462" width="8.77734375" style="137"/>
    <col min="9463" max="9463" width="6" style="137" customWidth="1"/>
    <col min="9464" max="9464" width="1.44140625" style="137" customWidth="1"/>
    <col min="9465" max="9465" width="39.109375" style="137" customWidth="1"/>
    <col min="9466" max="9466" width="12" style="137" customWidth="1"/>
    <col min="9467" max="9467" width="14.44140625" style="137" customWidth="1"/>
    <col min="9468" max="9468" width="11.88671875" style="137" customWidth="1"/>
    <col min="9469" max="9469" width="14.109375" style="137" customWidth="1"/>
    <col min="9470" max="9470" width="13.88671875" style="137" customWidth="1"/>
    <col min="9471" max="9472" width="12.77734375" style="137" customWidth="1"/>
    <col min="9473" max="9473" width="13.5546875" style="137" customWidth="1"/>
    <col min="9474" max="9474" width="15.33203125" style="137" customWidth="1"/>
    <col min="9475" max="9475" width="12.77734375" style="137" customWidth="1"/>
    <col min="9476" max="9476" width="13.88671875" style="137" customWidth="1"/>
    <col min="9477" max="9477" width="1.88671875" style="137" customWidth="1"/>
    <col min="9478" max="9478" width="13" style="137" customWidth="1"/>
    <col min="9479" max="9718" width="8.77734375" style="137"/>
    <col min="9719" max="9719" width="6" style="137" customWidth="1"/>
    <col min="9720" max="9720" width="1.44140625" style="137" customWidth="1"/>
    <col min="9721" max="9721" width="39.109375" style="137" customWidth="1"/>
    <col min="9722" max="9722" width="12" style="137" customWidth="1"/>
    <col min="9723" max="9723" width="14.44140625" style="137" customWidth="1"/>
    <col min="9724" max="9724" width="11.88671875" style="137" customWidth="1"/>
    <col min="9725" max="9725" width="14.109375" style="137" customWidth="1"/>
    <col min="9726" max="9726" width="13.88671875" style="137" customWidth="1"/>
    <col min="9727" max="9728" width="12.77734375" style="137" customWidth="1"/>
    <col min="9729" max="9729" width="13.5546875" style="137" customWidth="1"/>
    <col min="9730" max="9730" width="15.33203125" style="137" customWidth="1"/>
    <col min="9731" max="9731" width="12.77734375" style="137" customWidth="1"/>
    <col min="9732" max="9732" width="13.88671875" style="137" customWidth="1"/>
    <col min="9733" max="9733" width="1.88671875" style="137" customWidth="1"/>
    <col min="9734" max="9734" width="13" style="137" customWidth="1"/>
    <col min="9735" max="9974" width="8.77734375" style="137"/>
    <col min="9975" max="9975" width="6" style="137" customWidth="1"/>
    <col min="9976" max="9976" width="1.44140625" style="137" customWidth="1"/>
    <col min="9977" max="9977" width="39.109375" style="137" customWidth="1"/>
    <col min="9978" max="9978" width="12" style="137" customWidth="1"/>
    <col min="9979" max="9979" width="14.44140625" style="137" customWidth="1"/>
    <col min="9980" max="9980" width="11.88671875" style="137" customWidth="1"/>
    <col min="9981" max="9981" width="14.109375" style="137" customWidth="1"/>
    <col min="9982" max="9982" width="13.88671875" style="137" customWidth="1"/>
    <col min="9983" max="9984" width="12.77734375" style="137" customWidth="1"/>
    <col min="9985" max="9985" width="13.5546875" style="137" customWidth="1"/>
    <col min="9986" max="9986" width="15.33203125" style="137" customWidth="1"/>
    <col min="9987" max="9987" width="12.77734375" style="137" customWidth="1"/>
    <col min="9988" max="9988" width="13.88671875" style="137" customWidth="1"/>
    <col min="9989" max="9989" width="1.88671875" style="137" customWidth="1"/>
    <col min="9990" max="9990" width="13" style="137" customWidth="1"/>
    <col min="9991" max="10230" width="8.77734375" style="137"/>
    <col min="10231" max="10231" width="6" style="137" customWidth="1"/>
    <col min="10232" max="10232" width="1.44140625" style="137" customWidth="1"/>
    <col min="10233" max="10233" width="39.109375" style="137" customWidth="1"/>
    <col min="10234" max="10234" width="12" style="137" customWidth="1"/>
    <col min="10235" max="10235" width="14.44140625" style="137" customWidth="1"/>
    <col min="10236" max="10236" width="11.88671875" style="137" customWidth="1"/>
    <col min="10237" max="10237" width="14.109375" style="137" customWidth="1"/>
    <col min="10238" max="10238" width="13.88671875" style="137" customWidth="1"/>
    <col min="10239" max="10240" width="12.77734375" style="137" customWidth="1"/>
    <col min="10241" max="10241" width="13.5546875" style="137" customWidth="1"/>
    <col min="10242" max="10242" width="15.33203125" style="137" customWidth="1"/>
    <col min="10243" max="10243" width="12.77734375" style="137" customWidth="1"/>
    <col min="10244" max="10244" width="13.88671875" style="137" customWidth="1"/>
    <col min="10245" max="10245" width="1.88671875" style="137" customWidth="1"/>
    <col min="10246" max="10246" width="13" style="137" customWidth="1"/>
    <col min="10247" max="10486" width="8.77734375" style="137"/>
    <col min="10487" max="10487" width="6" style="137" customWidth="1"/>
    <col min="10488" max="10488" width="1.44140625" style="137" customWidth="1"/>
    <col min="10489" max="10489" width="39.109375" style="137" customWidth="1"/>
    <col min="10490" max="10490" width="12" style="137" customWidth="1"/>
    <col min="10491" max="10491" width="14.44140625" style="137" customWidth="1"/>
    <col min="10492" max="10492" width="11.88671875" style="137" customWidth="1"/>
    <col min="10493" max="10493" width="14.109375" style="137" customWidth="1"/>
    <col min="10494" max="10494" width="13.88671875" style="137" customWidth="1"/>
    <col min="10495" max="10496" width="12.77734375" style="137" customWidth="1"/>
    <col min="10497" max="10497" width="13.5546875" style="137" customWidth="1"/>
    <col min="10498" max="10498" width="15.33203125" style="137" customWidth="1"/>
    <col min="10499" max="10499" width="12.77734375" style="137" customWidth="1"/>
    <col min="10500" max="10500" width="13.88671875" style="137" customWidth="1"/>
    <col min="10501" max="10501" width="1.88671875" style="137" customWidth="1"/>
    <col min="10502" max="10502" width="13" style="137" customWidth="1"/>
    <col min="10503" max="10742" width="8.77734375" style="137"/>
    <col min="10743" max="10743" width="6" style="137" customWidth="1"/>
    <col min="10744" max="10744" width="1.44140625" style="137" customWidth="1"/>
    <col min="10745" max="10745" width="39.109375" style="137" customWidth="1"/>
    <col min="10746" max="10746" width="12" style="137" customWidth="1"/>
    <col min="10747" max="10747" width="14.44140625" style="137" customWidth="1"/>
    <col min="10748" max="10748" width="11.88671875" style="137" customWidth="1"/>
    <col min="10749" max="10749" width="14.109375" style="137" customWidth="1"/>
    <col min="10750" max="10750" width="13.88671875" style="137" customWidth="1"/>
    <col min="10751" max="10752" width="12.77734375" style="137" customWidth="1"/>
    <col min="10753" max="10753" width="13.5546875" style="137" customWidth="1"/>
    <col min="10754" max="10754" width="15.33203125" style="137" customWidth="1"/>
    <col min="10755" max="10755" width="12.77734375" style="137" customWidth="1"/>
    <col min="10756" max="10756" width="13.88671875" style="137" customWidth="1"/>
    <col min="10757" max="10757" width="1.88671875" style="137" customWidth="1"/>
    <col min="10758" max="10758" width="13" style="137" customWidth="1"/>
    <col min="10759" max="10998" width="8.77734375" style="137"/>
    <col min="10999" max="10999" width="6" style="137" customWidth="1"/>
    <col min="11000" max="11000" width="1.44140625" style="137" customWidth="1"/>
    <col min="11001" max="11001" width="39.109375" style="137" customWidth="1"/>
    <col min="11002" max="11002" width="12" style="137" customWidth="1"/>
    <col min="11003" max="11003" width="14.44140625" style="137" customWidth="1"/>
    <col min="11004" max="11004" width="11.88671875" style="137" customWidth="1"/>
    <col min="11005" max="11005" width="14.109375" style="137" customWidth="1"/>
    <col min="11006" max="11006" width="13.88671875" style="137" customWidth="1"/>
    <col min="11007" max="11008" width="12.77734375" style="137" customWidth="1"/>
    <col min="11009" max="11009" width="13.5546875" style="137" customWidth="1"/>
    <col min="11010" max="11010" width="15.33203125" style="137" customWidth="1"/>
    <col min="11011" max="11011" width="12.77734375" style="137" customWidth="1"/>
    <col min="11012" max="11012" width="13.88671875" style="137" customWidth="1"/>
    <col min="11013" max="11013" width="1.88671875" style="137" customWidth="1"/>
    <col min="11014" max="11014" width="13" style="137" customWidth="1"/>
    <col min="11015" max="11254" width="8.77734375" style="137"/>
    <col min="11255" max="11255" width="6" style="137" customWidth="1"/>
    <col min="11256" max="11256" width="1.44140625" style="137" customWidth="1"/>
    <col min="11257" max="11257" width="39.109375" style="137" customWidth="1"/>
    <col min="11258" max="11258" width="12" style="137" customWidth="1"/>
    <col min="11259" max="11259" width="14.44140625" style="137" customWidth="1"/>
    <col min="11260" max="11260" width="11.88671875" style="137" customWidth="1"/>
    <col min="11261" max="11261" width="14.109375" style="137" customWidth="1"/>
    <col min="11262" max="11262" width="13.88671875" style="137" customWidth="1"/>
    <col min="11263" max="11264" width="12.77734375" style="137" customWidth="1"/>
    <col min="11265" max="11265" width="13.5546875" style="137" customWidth="1"/>
    <col min="11266" max="11266" width="15.33203125" style="137" customWidth="1"/>
    <col min="11267" max="11267" width="12.77734375" style="137" customWidth="1"/>
    <col min="11268" max="11268" width="13.88671875" style="137" customWidth="1"/>
    <col min="11269" max="11269" width="1.88671875" style="137" customWidth="1"/>
    <col min="11270" max="11270" width="13" style="137" customWidth="1"/>
    <col min="11271" max="11510" width="8.77734375" style="137"/>
    <col min="11511" max="11511" width="6" style="137" customWidth="1"/>
    <col min="11512" max="11512" width="1.44140625" style="137" customWidth="1"/>
    <col min="11513" max="11513" width="39.109375" style="137" customWidth="1"/>
    <col min="11514" max="11514" width="12" style="137" customWidth="1"/>
    <col min="11515" max="11515" width="14.44140625" style="137" customWidth="1"/>
    <col min="11516" max="11516" width="11.88671875" style="137" customWidth="1"/>
    <col min="11517" max="11517" width="14.109375" style="137" customWidth="1"/>
    <col min="11518" max="11518" width="13.88671875" style="137" customWidth="1"/>
    <col min="11519" max="11520" width="12.77734375" style="137" customWidth="1"/>
    <col min="11521" max="11521" width="13.5546875" style="137" customWidth="1"/>
    <col min="11522" max="11522" width="15.33203125" style="137" customWidth="1"/>
    <col min="11523" max="11523" width="12.77734375" style="137" customWidth="1"/>
    <col min="11524" max="11524" width="13.88671875" style="137" customWidth="1"/>
    <col min="11525" max="11525" width="1.88671875" style="137" customWidth="1"/>
    <col min="11526" max="11526" width="13" style="137" customWidth="1"/>
    <col min="11527" max="11766" width="8.77734375" style="137"/>
    <col min="11767" max="11767" width="6" style="137" customWidth="1"/>
    <col min="11768" max="11768" width="1.44140625" style="137" customWidth="1"/>
    <col min="11769" max="11769" width="39.109375" style="137" customWidth="1"/>
    <col min="11770" max="11770" width="12" style="137" customWidth="1"/>
    <col min="11771" max="11771" width="14.44140625" style="137" customWidth="1"/>
    <col min="11772" max="11772" width="11.88671875" style="137" customWidth="1"/>
    <col min="11773" max="11773" width="14.109375" style="137" customWidth="1"/>
    <col min="11774" max="11774" width="13.88671875" style="137" customWidth="1"/>
    <col min="11775" max="11776" width="12.77734375" style="137" customWidth="1"/>
    <col min="11777" max="11777" width="13.5546875" style="137" customWidth="1"/>
    <col min="11778" max="11778" width="15.33203125" style="137" customWidth="1"/>
    <col min="11779" max="11779" width="12.77734375" style="137" customWidth="1"/>
    <col min="11780" max="11780" width="13.88671875" style="137" customWidth="1"/>
    <col min="11781" max="11781" width="1.88671875" style="137" customWidth="1"/>
    <col min="11782" max="11782" width="13" style="137" customWidth="1"/>
    <col min="11783" max="12022" width="8.77734375" style="137"/>
    <col min="12023" max="12023" width="6" style="137" customWidth="1"/>
    <col min="12024" max="12024" width="1.44140625" style="137" customWidth="1"/>
    <col min="12025" max="12025" width="39.109375" style="137" customWidth="1"/>
    <col min="12026" max="12026" width="12" style="137" customWidth="1"/>
    <col min="12027" max="12027" width="14.44140625" style="137" customWidth="1"/>
    <col min="12028" max="12028" width="11.88671875" style="137" customWidth="1"/>
    <col min="12029" max="12029" width="14.109375" style="137" customWidth="1"/>
    <col min="12030" max="12030" width="13.88671875" style="137" customWidth="1"/>
    <col min="12031" max="12032" width="12.77734375" style="137" customWidth="1"/>
    <col min="12033" max="12033" width="13.5546875" style="137" customWidth="1"/>
    <col min="12034" max="12034" width="15.33203125" style="137" customWidth="1"/>
    <col min="12035" max="12035" width="12.77734375" style="137" customWidth="1"/>
    <col min="12036" max="12036" width="13.88671875" style="137" customWidth="1"/>
    <col min="12037" max="12037" width="1.88671875" style="137" customWidth="1"/>
    <col min="12038" max="12038" width="13" style="137" customWidth="1"/>
    <col min="12039" max="12278" width="8.77734375" style="137"/>
    <col min="12279" max="12279" width="6" style="137" customWidth="1"/>
    <col min="12280" max="12280" width="1.44140625" style="137" customWidth="1"/>
    <col min="12281" max="12281" width="39.109375" style="137" customWidth="1"/>
    <col min="12282" max="12282" width="12" style="137" customWidth="1"/>
    <col min="12283" max="12283" width="14.44140625" style="137" customWidth="1"/>
    <col min="12284" max="12284" width="11.88671875" style="137" customWidth="1"/>
    <col min="12285" max="12285" width="14.109375" style="137" customWidth="1"/>
    <col min="12286" max="12286" width="13.88671875" style="137" customWidth="1"/>
    <col min="12287" max="12288" width="12.77734375" style="137" customWidth="1"/>
    <col min="12289" max="12289" width="13.5546875" style="137" customWidth="1"/>
    <col min="12290" max="12290" width="15.33203125" style="137" customWidth="1"/>
    <col min="12291" max="12291" width="12.77734375" style="137" customWidth="1"/>
    <col min="12292" max="12292" width="13.88671875" style="137" customWidth="1"/>
    <col min="12293" max="12293" width="1.88671875" style="137" customWidth="1"/>
    <col min="12294" max="12294" width="13" style="137" customWidth="1"/>
    <col min="12295" max="12534" width="8.77734375" style="137"/>
    <col min="12535" max="12535" width="6" style="137" customWidth="1"/>
    <col min="12536" max="12536" width="1.44140625" style="137" customWidth="1"/>
    <col min="12537" max="12537" width="39.109375" style="137" customWidth="1"/>
    <col min="12538" max="12538" width="12" style="137" customWidth="1"/>
    <col min="12539" max="12539" width="14.44140625" style="137" customWidth="1"/>
    <col min="12540" max="12540" width="11.88671875" style="137" customWidth="1"/>
    <col min="12541" max="12541" width="14.109375" style="137" customWidth="1"/>
    <col min="12542" max="12542" width="13.88671875" style="137" customWidth="1"/>
    <col min="12543" max="12544" width="12.77734375" style="137" customWidth="1"/>
    <col min="12545" max="12545" width="13.5546875" style="137" customWidth="1"/>
    <col min="12546" max="12546" width="15.33203125" style="137" customWidth="1"/>
    <col min="12547" max="12547" width="12.77734375" style="137" customWidth="1"/>
    <col min="12548" max="12548" width="13.88671875" style="137" customWidth="1"/>
    <col min="12549" max="12549" width="1.88671875" style="137" customWidth="1"/>
    <col min="12550" max="12550" width="13" style="137" customWidth="1"/>
    <col min="12551" max="12790" width="8.77734375" style="137"/>
    <col min="12791" max="12791" width="6" style="137" customWidth="1"/>
    <col min="12792" max="12792" width="1.44140625" style="137" customWidth="1"/>
    <col min="12793" max="12793" width="39.109375" style="137" customWidth="1"/>
    <col min="12794" max="12794" width="12" style="137" customWidth="1"/>
    <col min="12795" max="12795" width="14.44140625" style="137" customWidth="1"/>
    <col min="12796" max="12796" width="11.88671875" style="137" customWidth="1"/>
    <col min="12797" max="12797" width="14.109375" style="137" customWidth="1"/>
    <col min="12798" max="12798" width="13.88671875" style="137" customWidth="1"/>
    <col min="12799" max="12800" width="12.77734375" style="137" customWidth="1"/>
    <col min="12801" max="12801" width="13.5546875" style="137" customWidth="1"/>
    <col min="12802" max="12802" width="15.33203125" style="137" customWidth="1"/>
    <col min="12803" max="12803" width="12.77734375" style="137" customWidth="1"/>
    <col min="12804" max="12804" width="13.88671875" style="137" customWidth="1"/>
    <col min="12805" max="12805" width="1.88671875" style="137" customWidth="1"/>
    <col min="12806" max="12806" width="13" style="137" customWidth="1"/>
    <col min="12807" max="13046" width="8.77734375" style="137"/>
    <col min="13047" max="13047" width="6" style="137" customWidth="1"/>
    <col min="13048" max="13048" width="1.44140625" style="137" customWidth="1"/>
    <col min="13049" max="13049" width="39.109375" style="137" customWidth="1"/>
    <col min="13050" max="13050" width="12" style="137" customWidth="1"/>
    <col min="13051" max="13051" width="14.44140625" style="137" customWidth="1"/>
    <col min="13052" max="13052" width="11.88671875" style="137" customWidth="1"/>
    <col min="13053" max="13053" width="14.109375" style="137" customWidth="1"/>
    <col min="13054" max="13054" width="13.88671875" style="137" customWidth="1"/>
    <col min="13055" max="13056" width="12.77734375" style="137" customWidth="1"/>
    <col min="13057" max="13057" width="13.5546875" style="137" customWidth="1"/>
    <col min="13058" max="13058" width="15.33203125" style="137" customWidth="1"/>
    <col min="13059" max="13059" width="12.77734375" style="137" customWidth="1"/>
    <col min="13060" max="13060" width="13.88671875" style="137" customWidth="1"/>
    <col min="13061" max="13061" width="1.88671875" style="137" customWidth="1"/>
    <col min="13062" max="13062" width="13" style="137" customWidth="1"/>
    <col min="13063" max="13302" width="8.77734375" style="137"/>
    <col min="13303" max="13303" width="6" style="137" customWidth="1"/>
    <col min="13304" max="13304" width="1.44140625" style="137" customWidth="1"/>
    <col min="13305" max="13305" width="39.109375" style="137" customWidth="1"/>
    <col min="13306" max="13306" width="12" style="137" customWidth="1"/>
    <col min="13307" max="13307" width="14.44140625" style="137" customWidth="1"/>
    <col min="13308" max="13308" width="11.88671875" style="137" customWidth="1"/>
    <col min="13309" max="13309" width="14.109375" style="137" customWidth="1"/>
    <col min="13310" max="13310" width="13.88671875" style="137" customWidth="1"/>
    <col min="13311" max="13312" width="12.77734375" style="137" customWidth="1"/>
    <col min="13313" max="13313" width="13.5546875" style="137" customWidth="1"/>
    <col min="13314" max="13314" width="15.33203125" style="137" customWidth="1"/>
    <col min="13315" max="13315" width="12.77734375" style="137" customWidth="1"/>
    <col min="13316" max="13316" width="13.88671875" style="137" customWidth="1"/>
    <col min="13317" max="13317" width="1.88671875" style="137" customWidth="1"/>
    <col min="13318" max="13318" width="13" style="137" customWidth="1"/>
    <col min="13319" max="13558" width="8.77734375" style="137"/>
    <col min="13559" max="13559" width="6" style="137" customWidth="1"/>
    <col min="13560" max="13560" width="1.44140625" style="137" customWidth="1"/>
    <col min="13561" max="13561" width="39.109375" style="137" customWidth="1"/>
    <col min="13562" max="13562" width="12" style="137" customWidth="1"/>
    <col min="13563" max="13563" width="14.44140625" style="137" customWidth="1"/>
    <col min="13564" max="13564" width="11.88671875" style="137" customWidth="1"/>
    <col min="13565" max="13565" width="14.109375" style="137" customWidth="1"/>
    <col min="13566" max="13566" width="13.88671875" style="137" customWidth="1"/>
    <col min="13567" max="13568" width="12.77734375" style="137" customWidth="1"/>
    <col min="13569" max="13569" width="13.5546875" style="137" customWidth="1"/>
    <col min="13570" max="13570" width="15.33203125" style="137" customWidth="1"/>
    <col min="13571" max="13571" width="12.77734375" style="137" customWidth="1"/>
    <col min="13572" max="13572" width="13.88671875" style="137" customWidth="1"/>
    <col min="13573" max="13573" width="1.88671875" style="137" customWidth="1"/>
    <col min="13574" max="13574" width="13" style="137" customWidth="1"/>
    <col min="13575" max="13814" width="8.77734375" style="137"/>
    <col min="13815" max="13815" width="6" style="137" customWidth="1"/>
    <col min="13816" max="13816" width="1.44140625" style="137" customWidth="1"/>
    <col min="13817" max="13817" width="39.109375" style="137" customWidth="1"/>
    <col min="13818" max="13818" width="12" style="137" customWidth="1"/>
    <col min="13819" max="13819" width="14.44140625" style="137" customWidth="1"/>
    <col min="13820" max="13820" width="11.88671875" style="137" customWidth="1"/>
    <col min="13821" max="13821" width="14.109375" style="137" customWidth="1"/>
    <col min="13822" max="13822" width="13.88671875" style="137" customWidth="1"/>
    <col min="13823" max="13824" width="12.77734375" style="137" customWidth="1"/>
    <col min="13825" max="13825" width="13.5546875" style="137" customWidth="1"/>
    <col min="13826" max="13826" width="15.33203125" style="137" customWidth="1"/>
    <col min="13827" max="13827" width="12.77734375" style="137" customWidth="1"/>
    <col min="13828" max="13828" width="13.88671875" style="137" customWidth="1"/>
    <col min="13829" max="13829" width="1.88671875" style="137" customWidth="1"/>
    <col min="13830" max="13830" width="13" style="137" customWidth="1"/>
    <col min="13831" max="14070" width="8.77734375" style="137"/>
    <col min="14071" max="14071" width="6" style="137" customWidth="1"/>
    <col min="14072" max="14072" width="1.44140625" style="137" customWidth="1"/>
    <col min="14073" max="14073" width="39.109375" style="137" customWidth="1"/>
    <col min="14074" max="14074" width="12" style="137" customWidth="1"/>
    <col min="14075" max="14075" width="14.44140625" style="137" customWidth="1"/>
    <col min="14076" max="14076" width="11.88671875" style="137" customWidth="1"/>
    <col min="14077" max="14077" width="14.109375" style="137" customWidth="1"/>
    <col min="14078" max="14078" width="13.88671875" style="137" customWidth="1"/>
    <col min="14079" max="14080" width="12.77734375" style="137" customWidth="1"/>
    <col min="14081" max="14081" width="13.5546875" style="137" customWidth="1"/>
    <col min="14082" max="14082" width="15.33203125" style="137" customWidth="1"/>
    <col min="14083" max="14083" width="12.77734375" style="137" customWidth="1"/>
    <col min="14084" max="14084" width="13.88671875" style="137" customWidth="1"/>
    <col min="14085" max="14085" width="1.88671875" style="137" customWidth="1"/>
    <col min="14086" max="14086" width="13" style="137" customWidth="1"/>
    <col min="14087" max="14326" width="8.77734375" style="137"/>
    <col min="14327" max="14327" width="6" style="137" customWidth="1"/>
    <col min="14328" max="14328" width="1.44140625" style="137" customWidth="1"/>
    <col min="14329" max="14329" width="39.109375" style="137" customWidth="1"/>
    <col min="14330" max="14330" width="12" style="137" customWidth="1"/>
    <col min="14331" max="14331" width="14.44140625" style="137" customWidth="1"/>
    <col min="14332" max="14332" width="11.88671875" style="137" customWidth="1"/>
    <col min="14333" max="14333" width="14.109375" style="137" customWidth="1"/>
    <col min="14334" max="14334" width="13.88671875" style="137" customWidth="1"/>
    <col min="14335" max="14336" width="12.77734375" style="137" customWidth="1"/>
    <col min="14337" max="14337" width="13.5546875" style="137" customWidth="1"/>
    <col min="14338" max="14338" width="15.33203125" style="137" customWidth="1"/>
    <col min="14339" max="14339" width="12.77734375" style="137" customWidth="1"/>
    <col min="14340" max="14340" width="13.88671875" style="137" customWidth="1"/>
    <col min="14341" max="14341" width="1.88671875" style="137" customWidth="1"/>
    <col min="14342" max="14342" width="13" style="137" customWidth="1"/>
    <col min="14343" max="14582" width="8.77734375" style="137"/>
    <col min="14583" max="14583" width="6" style="137" customWidth="1"/>
    <col min="14584" max="14584" width="1.44140625" style="137" customWidth="1"/>
    <col min="14585" max="14585" width="39.109375" style="137" customWidth="1"/>
    <col min="14586" max="14586" width="12" style="137" customWidth="1"/>
    <col min="14587" max="14587" width="14.44140625" style="137" customWidth="1"/>
    <col min="14588" max="14588" width="11.88671875" style="137" customWidth="1"/>
    <col min="14589" max="14589" width="14.109375" style="137" customWidth="1"/>
    <col min="14590" max="14590" width="13.88671875" style="137" customWidth="1"/>
    <col min="14591" max="14592" width="12.77734375" style="137" customWidth="1"/>
    <col min="14593" max="14593" width="13.5546875" style="137" customWidth="1"/>
    <col min="14594" max="14594" width="15.33203125" style="137" customWidth="1"/>
    <col min="14595" max="14595" width="12.77734375" style="137" customWidth="1"/>
    <col min="14596" max="14596" width="13.88671875" style="137" customWidth="1"/>
    <col min="14597" max="14597" width="1.88671875" style="137" customWidth="1"/>
    <col min="14598" max="14598" width="13" style="137" customWidth="1"/>
    <col min="14599" max="14838" width="8.77734375" style="137"/>
    <col min="14839" max="14839" width="6" style="137" customWidth="1"/>
    <col min="14840" max="14840" width="1.44140625" style="137" customWidth="1"/>
    <col min="14841" max="14841" width="39.109375" style="137" customWidth="1"/>
    <col min="14842" max="14842" width="12" style="137" customWidth="1"/>
    <col min="14843" max="14843" width="14.44140625" style="137" customWidth="1"/>
    <col min="14844" max="14844" width="11.88671875" style="137" customWidth="1"/>
    <col min="14845" max="14845" width="14.109375" style="137" customWidth="1"/>
    <col min="14846" max="14846" width="13.88671875" style="137" customWidth="1"/>
    <col min="14847" max="14848" width="12.77734375" style="137" customWidth="1"/>
    <col min="14849" max="14849" width="13.5546875" style="137" customWidth="1"/>
    <col min="14850" max="14850" width="15.33203125" style="137" customWidth="1"/>
    <col min="14851" max="14851" width="12.77734375" style="137" customWidth="1"/>
    <col min="14852" max="14852" width="13.88671875" style="137" customWidth="1"/>
    <col min="14853" max="14853" width="1.88671875" style="137" customWidth="1"/>
    <col min="14854" max="14854" width="13" style="137" customWidth="1"/>
    <col min="14855" max="15094" width="8.77734375" style="137"/>
    <col min="15095" max="15095" width="6" style="137" customWidth="1"/>
    <col min="15096" max="15096" width="1.44140625" style="137" customWidth="1"/>
    <col min="15097" max="15097" width="39.109375" style="137" customWidth="1"/>
    <col min="15098" max="15098" width="12" style="137" customWidth="1"/>
    <col min="15099" max="15099" width="14.44140625" style="137" customWidth="1"/>
    <col min="15100" max="15100" width="11.88671875" style="137" customWidth="1"/>
    <col min="15101" max="15101" width="14.109375" style="137" customWidth="1"/>
    <col min="15102" max="15102" width="13.88671875" style="137" customWidth="1"/>
    <col min="15103" max="15104" width="12.77734375" style="137" customWidth="1"/>
    <col min="15105" max="15105" width="13.5546875" style="137" customWidth="1"/>
    <col min="15106" max="15106" width="15.33203125" style="137" customWidth="1"/>
    <col min="15107" max="15107" width="12.77734375" style="137" customWidth="1"/>
    <col min="15108" max="15108" width="13.88671875" style="137" customWidth="1"/>
    <col min="15109" max="15109" width="1.88671875" style="137" customWidth="1"/>
    <col min="15110" max="15110" width="13" style="137" customWidth="1"/>
    <col min="15111" max="15350" width="8.77734375" style="137"/>
    <col min="15351" max="15351" width="6" style="137" customWidth="1"/>
    <col min="15352" max="15352" width="1.44140625" style="137" customWidth="1"/>
    <col min="15353" max="15353" width="39.109375" style="137" customWidth="1"/>
    <col min="15354" max="15354" width="12" style="137" customWidth="1"/>
    <col min="15355" max="15355" width="14.44140625" style="137" customWidth="1"/>
    <col min="15356" max="15356" width="11.88671875" style="137" customWidth="1"/>
    <col min="15357" max="15357" width="14.109375" style="137" customWidth="1"/>
    <col min="15358" max="15358" width="13.88671875" style="137" customWidth="1"/>
    <col min="15359" max="15360" width="12.77734375" style="137" customWidth="1"/>
    <col min="15361" max="15361" width="13.5546875" style="137" customWidth="1"/>
    <col min="15362" max="15362" width="15.33203125" style="137" customWidth="1"/>
    <col min="15363" max="15363" width="12.77734375" style="137" customWidth="1"/>
    <col min="15364" max="15364" width="13.88671875" style="137" customWidth="1"/>
    <col min="15365" max="15365" width="1.88671875" style="137" customWidth="1"/>
    <col min="15366" max="15366" width="13" style="137" customWidth="1"/>
    <col min="15367" max="15606" width="8.77734375" style="137"/>
    <col min="15607" max="15607" width="6" style="137" customWidth="1"/>
    <col min="15608" max="15608" width="1.44140625" style="137" customWidth="1"/>
    <col min="15609" max="15609" width="39.109375" style="137" customWidth="1"/>
    <col min="15610" max="15610" width="12" style="137" customWidth="1"/>
    <col min="15611" max="15611" width="14.44140625" style="137" customWidth="1"/>
    <col min="15612" max="15612" width="11.88671875" style="137" customWidth="1"/>
    <col min="15613" max="15613" width="14.109375" style="137" customWidth="1"/>
    <col min="15614" max="15614" width="13.88671875" style="137" customWidth="1"/>
    <col min="15615" max="15616" width="12.77734375" style="137" customWidth="1"/>
    <col min="15617" max="15617" width="13.5546875" style="137" customWidth="1"/>
    <col min="15618" max="15618" width="15.33203125" style="137" customWidth="1"/>
    <col min="15619" max="15619" width="12.77734375" style="137" customWidth="1"/>
    <col min="15620" max="15620" width="13.88671875" style="137" customWidth="1"/>
    <col min="15621" max="15621" width="1.88671875" style="137" customWidth="1"/>
    <col min="15622" max="15622" width="13" style="137" customWidth="1"/>
    <col min="15623" max="15862" width="8.77734375" style="137"/>
    <col min="15863" max="15863" width="6" style="137" customWidth="1"/>
    <col min="15864" max="15864" width="1.44140625" style="137" customWidth="1"/>
    <col min="15865" max="15865" width="39.109375" style="137" customWidth="1"/>
    <col min="15866" max="15866" width="12" style="137" customWidth="1"/>
    <col min="15867" max="15867" width="14.44140625" style="137" customWidth="1"/>
    <col min="15868" max="15868" width="11.88671875" style="137" customWidth="1"/>
    <col min="15869" max="15869" width="14.109375" style="137" customWidth="1"/>
    <col min="15870" max="15870" width="13.88671875" style="137" customWidth="1"/>
    <col min="15871" max="15872" width="12.77734375" style="137" customWidth="1"/>
    <col min="15873" max="15873" width="13.5546875" style="137" customWidth="1"/>
    <col min="15874" max="15874" width="15.33203125" style="137" customWidth="1"/>
    <col min="15875" max="15875" width="12.77734375" style="137" customWidth="1"/>
    <col min="15876" max="15876" width="13.88671875" style="137" customWidth="1"/>
    <col min="15877" max="15877" width="1.88671875" style="137" customWidth="1"/>
    <col min="15878" max="15878" width="13" style="137" customWidth="1"/>
    <col min="15879" max="16118" width="8.77734375" style="137"/>
    <col min="16119" max="16119" width="6" style="137" customWidth="1"/>
    <col min="16120" max="16120" width="1.44140625" style="137" customWidth="1"/>
    <col min="16121" max="16121" width="39.109375" style="137" customWidth="1"/>
    <col min="16122" max="16122" width="12" style="137" customWidth="1"/>
    <col min="16123" max="16123" width="14.44140625" style="137" customWidth="1"/>
    <col min="16124" max="16124" width="11.88671875" style="137" customWidth="1"/>
    <col min="16125" max="16125" width="14.109375" style="137" customWidth="1"/>
    <col min="16126" max="16126" width="13.88671875" style="137" customWidth="1"/>
    <col min="16127" max="16128" width="12.77734375" style="137" customWidth="1"/>
    <col min="16129" max="16129" width="13.5546875" style="137" customWidth="1"/>
    <col min="16130" max="16130" width="15.33203125" style="137" customWidth="1"/>
    <col min="16131" max="16131" width="12.77734375" style="137" customWidth="1"/>
    <col min="16132" max="16132" width="13.88671875" style="137" customWidth="1"/>
    <col min="16133" max="16133" width="1.88671875" style="137" customWidth="1"/>
    <col min="16134" max="16134" width="13" style="137" customWidth="1"/>
    <col min="16135" max="16374" width="8.77734375" style="137"/>
    <col min="16375" max="16384" width="8.77734375" style="137" customWidth="1"/>
  </cols>
  <sheetData>
    <row r="1" spans="1:55">
      <c r="I1" s="443" t="s">
        <v>365</v>
      </c>
    </row>
    <row r="2" spans="1:55">
      <c r="I2" s="443" t="s">
        <v>362</v>
      </c>
    </row>
    <row r="3" spans="1:55">
      <c r="I3" s="422" t="s">
        <v>231</v>
      </c>
    </row>
    <row r="4" spans="1:55">
      <c r="I4" s="138" t="str">
        <f>'DE Ohio &amp; Kentucky'!J7</f>
        <v>For the 12 months ended: 12/31/2016</v>
      </c>
    </row>
    <row r="5" spans="1:55">
      <c r="C5" s="112"/>
    </row>
    <row r="6" spans="1:55">
      <c r="A6" s="219" t="s">
        <v>309</v>
      </c>
      <c r="B6" s="281"/>
      <c r="C6" s="281"/>
      <c r="D6" s="219"/>
      <c r="E6" s="219"/>
      <c r="F6" s="219"/>
      <c r="G6" s="281"/>
      <c r="H6" s="219"/>
      <c r="I6" s="219"/>
      <c r="J6" s="110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</row>
    <row r="7" spans="1:55">
      <c r="A7" s="220" t="s">
        <v>366</v>
      </c>
      <c r="B7" s="281"/>
      <c r="C7" s="219"/>
      <c r="D7" s="219"/>
      <c r="E7" s="219"/>
      <c r="F7" s="219"/>
      <c r="G7" s="281"/>
      <c r="H7" s="219"/>
      <c r="I7" s="219"/>
      <c r="J7" s="110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</row>
    <row r="8" spans="1:55">
      <c r="A8" s="221"/>
      <c r="B8" s="281"/>
      <c r="C8" s="221"/>
      <c r="D8" s="221"/>
      <c r="E8" s="221"/>
      <c r="F8" s="221"/>
      <c r="G8" s="281"/>
      <c r="H8" s="221"/>
      <c r="I8" s="221"/>
      <c r="J8" s="110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</row>
    <row r="9" spans="1:55">
      <c r="A9" s="283" t="s">
        <v>524</v>
      </c>
      <c r="B9" s="281"/>
      <c r="C9" s="221"/>
      <c r="D9" s="221"/>
      <c r="E9" s="221"/>
      <c r="F9" s="221"/>
      <c r="G9" s="281"/>
      <c r="H9" s="284"/>
      <c r="I9" s="221"/>
      <c r="J9" s="110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</row>
    <row r="10" spans="1:55">
      <c r="A10" s="283" t="s">
        <v>364</v>
      </c>
      <c r="B10" s="281"/>
      <c r="C10" s="221"/>
      <c r="D10" s="221"/>
      <c r="E10" s="221"/>
      <c r="F10" s="221"/>
      <c r="G10" s="281"/>
      <c r="H10" s="284"/>
      <c r="I10" s="221"/>
      <c r="J10" s="110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</row>
    <row r="11" spans="1:55">
      <c r="A11" s="421"/>
      <c r="B11" s="281"/>
      <c r="C11" s="221"/>
      <c r="D11" s="221"/>
      <c r="E11" s="221"/>
      <c r="F11" s="221"/>
      <c r="G11" s="284"/>
      <c r="H11" s="221"/>
      <c r="I11" s="221"/>
      <c r="J11" s="110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</row>
    <row r="12" spans="1:55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J12" s="110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</row>
    <row r="13" spans="1:55">
      <c r="A13" s="142"/>
      <c r="C13" s="110"/>
      <c r="D13" s="110"/>
      <c r="E13" s="110"/>
      <c r="F13" s="110"/>
      <c r="G13" s="143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</row>
    <row r="14" spans="1:55">
      <c r="A14" s="142"/>
      <c r="C14" s="110"/>
      <c r="D14" s="110"/>
      <c r="E14" s="110"/>
      <c r="F14" s="110"/>
      <c r="G14" s="110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</row>
    <row r="15" spans="1:55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</row>
    <row r="16" spans="1:55">
      <c r="C16" s="107"/>
      <c r="D16" s="107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</row>
    <row r="17" spans="1:55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</row>
    <row r="18" spans="1:55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</row>
    <row r="19" spans="1:55" ht="15.75">
      <c r="A19" s="151"/>
      <c r="C19" s="107" t="s">
        <v>413</v>
      </c>
      <c r="D19" s="107"/>
      <c r="E19" s="111"/>
      <c r="F19" s="111"/>
      <c r="G19" s="111"/>
      <c r="I19" s="11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</row>
    <row r="20" spans="1:55">
      <c r="A20" s="152">
        <v>1</v>
      </c>
      <c r="C20" s="107" t="s">
        <v>266</v>
      </c>
      <c r="D20" s="107"/>
      <c r="E20" s="844" t="s">
        <v>788</v>
      </c>
      <c r="F20" s="153"/>
      <c r="G20" s="442">
        <f>'DE Ohio &amp; Kentucky'!J78</f>
        <v>812040325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</row>
    <row r="21" spans="1:55">
      <c r="A21" s="152">
        <v>2</v>
      </c>
      <c r="C21" s="107" t="s">
        <v>267</v>
      </c>
      <c r="D21" s="107"/>
      <c r="E21" s="844" t="s">
        <v>789</v>
      </c>
      <c r="F21" s="153"/>
      <c r="G21" s="442">
        <f>'DE Ohio &amp; Kentucky'!J94</f>
        <v>554953709.26242137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</row>
    <row r="22" spans="1:55">
      <c r="A22" s="152"/>
      <c r="E22" s="844"/>
      <c r="F22" s="153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</row>
    <row r="23" spans="1:55">
      <c r="A23" s="152"/>
      <c r="C23" s="107" t="s">
        <v>232</v>
      </c>
      <c r="D23" s="107"/>
      <c r="E23" s="844"/>
      <c r="F23" s="153"/>
      <c r="G23" s="111"/>
      <c r="I23" s="11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</row>
    <row r="24" spans="1:55">
      <c r="A24" s="152">
        <v>3</v>
      </c>
      <c r="C24" s="107" t="s">
        <v>268</v>
      </c>
      <c r="D24" s="107"/>
      <c r="E24" s="844" t="s">
        <v>790</v>
      </c>
      <c r="F24" s="153"/>
      <c r="G24" s="442">
        <f>'DE Ohio &amp; Kentucky'!J151</f>
        <v>26777760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</row>
    <row r="25" spans="1:55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3.2975899318793064E-2</v>
      </c>
      <c r="I25" s="156">
        <f>G25</f>
        <v>3.2975899318793064E-2</v>
      </c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</row>
    <row r="26" spans="1:55">
      <c r="A26" s="152"/>
      <c r="E26" s="844"/>
      <c r="F26" s="153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</row>
    <row r="27" spans="1:55">
      <c r="A27" s="152"/>
      <c r="C27" s="107" t="s">
        <v>316</v>
      </c>
      <c r="D27" s="107"/>
      <c r="E27" s="842"/>
      <c r="F27" s="153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</row>
    <row r="28" spans="1:55">
      <c r="A28" s="165" t="s">
        <v>270</v>
      </c>
      <c r="C28" s="107" t="s">
        <v>317</v>
      </c>
      <c r="D28" s="107"/>
      <c r="E28" s="844" t="s">
        <v>791</v>
      </c>
      <c r="F28" s="153"/>
      <c r="G28" s="442">
        <f>'DE Ohio &amp; Kentucky'!J155+'DE Ohio &amp; Kentucky'!J156</f>
        <v>2839878</v>
      </c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</row>
    <row r="29" spans="1:55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3.4972130232571886E-3</v>
      </c>
      <c r="I29" s="156">
        <f>G29</f>
        <v>3.4972130232571886E-3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</row>
    <row r="30" spans="1:55">
      <c r="A30" s="152"/>
      <c r="E30" s="844"/>
      <c r="F30" s="153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</row>
    <row r="31" spans="1:55">
      <c r="A31" s="159"/>
      <c r="C31" s="107" t="s">
        <v>235</v>
      </c>
      <c r="D31" s="107"/>
      <c r="E31" s="842"/>
      <c r="F31" s="113"/>
      <c r="G31" s="111"/>
      <c r="I31" s="11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</row>
    <row r="32" spans="1:55">
      <c r="A32" s="159" t="s">
        <v>273</v>
      </c>
      <c r="C32" s="107" t="s">
        <v>237</v>
      </c>
      <c r="D32" s="107"/>
      <c r="E32" s="844" t="s">
        <v>792</v>
      </c>
      <c r="F32" s="153"/>
      <c r="G32" s="442">
        <f>'DE Ohio &amp; Kentucky'!J168</f>
        <v>20223532</v>
      </c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</row>
    <row r="33" spans="1:55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2.4904590791103878E-2</v>
      </c>
      <c r="I33" s="156">
        <f>G33</f>
        <v>2.4904590791103878E-2</v>
      </c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</row>
    <row r="34" spans="1:55">
      <c r="A34" s="159"/>
      <c r="C34" s="107"/>
      <c r="D34" s="107"/>
      <c r="E34" s="844"/>
      <c r="F34" s="153"/>
      <c r="G34" s="111"/>
      <c r="I34" s="11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</row>
    <row r="35" spans="1:55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6.1377703133154132E-2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</row>
    <row r="36" spans="1:55">
      <c r="A36" s="369"/>
      <c r="C36" s="107"/>
      <c r="D36" s="107"/>
      <c r="E36" s="844"/>
      <c r="F36" s="153"/>
      <c r="G36" s="111"/>
      <c r="I36" s="11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</row>
    <row r="37" spans="1:55">
      <c r="A37" s="165"/>
      <c r="B37" s="166"/>
      <c r="C37" s="111" t="s">
        <v>239</v>
      </c>
      <c r="D37" s="111"/>
      <c r="E37" s="844"/>
      <c r="F37" s="153"/>
      <c r="G37" s="111"/>
      <c r="I37" s="11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</row>
    <row r="38" spans="1:55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442">
        <f>'DE Ohio &amp; Kentucky'!J181</f>
        <v>13444872.882289305</v>
      </c>
      <c r="I38" s="11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</row>
    <row r="39" spans="1:55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2.4227016880666741E-2</v>
      </c>
      <c r="I39" s="156">
        <f>G39</f>
        <v>2.4227016880666741E-2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</row>
    <row r="40" spans="1:55">
      <c r="A40" s="159"/>
      <c r="C40" s="111"/>
      <c r="D40" s="111"/>
      <c r="E40" s="844"/>
      <c r="F40" s="153"/>
      <c r="G40" s="111"/>
      <c r="I40" s="11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</row>
    <row r="41" spans="1:55">
      <c r="A41" s="159"/>
      <c r="C41" s="107" t="s">
        <v>73</v>
      </c>
      <c r="D41" s="107"/>
      <c r="E41" s="845"/>
      <c r="F41" s="167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</row>
    <row r="42" spans="1:55">
      <c r="A42" s="159" t="s">
        <v>238</v>
      </c>
      <c r="C42" s="107" t="s">
        <v>240</v>
      </c>
      <c r="D42" s="107"/>
      <c r="E42" s="844" t="s">
        <v>794</v>
      </c>
      <c r="F42" s="153"/>
      <c r="G42" s="442">
        <f>'DE Ohio &amp; Kentucky'!J183</f>
        <v>35481848</v>
      </c>
      <c r="I42" s="11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</row>
    <row r="43" spans="1:55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6.3936590399870041E-2</v>
      </c>
      <c r="I43" s="156">
        <f>G43</f>
        <v>6.3936590399870041E-2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</row>
    <row r="44" spans="1:55">
      <c r="A44" s="159"/>
      <c r="C44" s="107"/>
      <c r="D44" s="107"/>
      <c r="E44" s="844"/>
      <c r="F44" s="153"/>
      <c r="G44" s="111"/>
      <c r="I44" s="11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</row>
    <row r="45" spans="1:55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8.8163607280536779E-2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</row>
    <row r="46" spans="1:55"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</row>
    <row r="47" spans="1:55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</row>
    <row r="48" spans="1:55">
      <c r="A48" s="142"/>
      <c r="C48" s="106"/>
      <c r="D48" s="106"/>
      <c r="E48" s="106"/>
      <c r="F48" s="106"/>
      <c r="G48" s="111"/>
      <c r="H48" s="106"/>
      <c r="I48" s="106"/>
      <c r="J48" s="106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</row>
    <row r="49" spans="11:55">
      <c r="X49" s="443" t="s">
        <v>365</v>
      </c>
    </row>
    <row r="50" spans="11:55">
      <c r="X50" s="443" t="s">
        <v>362</v>
      </c>
    </row>
    <row r="51" spans="11:55">
      <c r="X51" s="172" t="s">
        <v>241</v>
      </c>
    </row>
    <row r="52" spans="11:55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</row>
    <row r="53" spans="11:55">
      <c r="K53" s="142"/>
      <c r="M53" s="106"/>
      <c r="N53" s="106"/>
      <c r="O53" s="106"/>
      <c r="P53" s="106"/>
      <c r="Q53" s="111"/>
      <c r="R53" s="106"/>
      <c r="S53" s="106"/>
      <c r="T53" s="106"/>
      <c r="U53" s="106"/>
      <c r="W53" s="11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</row>
    <row r="54" spans="11:55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</row>
    <row r="55" spans="11:55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</row>
    <row r="56" spans="11:55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</row>
    <row r="57" spans="11:55">
      <c r="K57" s="222" t="str">
        <f>A9</f>
        <v>Duke Energy Ohio and Duke Energy Kentucky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</row>
    <row r="58" spans="11:55">
      <c r="K58" s="222" t="str">
        <f>A10</f>
        <v>Legacy MTEP Credit</v>
      </c>
      <c r="L58" s="281"/>
      <c r="M58" s="281"/>
      <c r="N58" s="28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</row>
    <row r="59" spans="11:55">
      <c r="K59" s="142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</row>
    <row r="60" spans="11:55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</row>
    <row r="61" spans="11:55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</row>
    <row r="62" spans="11:55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</row>
    <row r="63" spans="11:55" ht="47.25">
      <c r="K63" s="174" t="s">
        <v>279</v>
      </c>
      <c r="L63" s="175"/>
      <c r="M63" s="175" t="s">
        <v>249</v>
      </c>
      <c r="N63" s="176" t="s">
        <v>280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1:55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183" t="s">
        <v>23</v>
      </c>
      <c r="S64" s="846" t="s">
        <v>781</v>
      </c>
      <c r="T64" s="184" t="s">
        <v>290</v>
      </c>
      <c r="U64" s="183" t="s">
        <v>291</v>
      </c>
      <c r="V64" s="184" t="s">
        <v>292</v>
      </c>
      <c r="W64" s="185" t="s">
        <v>242</v>
      </c>
      <c r="X64" s="186" t="s">
        <v>293</v>
      </c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</row>
    <row r="65" spans="11:55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</row>
    <row r="66" spans="11:55">
      <c r="K66" s="499" t="s">
        <v>3</v>
      </c>
      <c r="L66" s="433"/>
      <c r="M66" s="433" t="str">
        <f>'Appx C - DEO(MTEP)'!M66</f>
        <v>Hillcrest 345 kV</v>
      </c>
      <c r="N66" s="497">
        <f>'Appx C - DEO(MTEP)'!N66</f>
        <v>91</v>
      </c>
      <c r="O66" s="498">
        <f>'Appx C - DEO(MTEP)'!O66</f>
        <v>17538318</v>
      </c>
      <c r="P66" s="156">
        <f>$I$35</f>
        <v>6.1377703133154132E-2</v>
      </c>
      <c r="Q66" s="192">
        <f>O66*P66</f>
        <v>1076461.6756588535</v>
      </c>
      <c r="R66" s="445">
        <f>'Appx C - DEO(MTEP)'!R66</f>
        <v>14941885</v>
      </c>
      <c r="S66" s="156">
        <f>$I$45</f>
        <v>8.8163607280536779E-2</v>
      </c>
      <c r="T66" s="192">
        <f>R66*S66</f>
        <v>1317330.4811709432</v>
      </c>
      <c r="U66" s="446">
        <f>'Appx C - DEO(MTEP)'!U66</f>
        <v>304527</v>
      </c>
      <c r="V66" s="192">
        <f>Q66+T66+U66</f>
        <v>2698319.1568297967</v>
      </c>
      <c r="W66" s="445">
        <f>'Appx C - DEO(MTEP)'!W66</f>
        <v>0</v>
      </c>
      <c r="X66" s="192">
        <f>V66+W66</f>
        <v>2698319.1568297967</v>
      </c>
    </row>
    <row r="67" spans="11:55">
      <c r="K67" s="499" t="s">
        <v>296</v>
      </c>
      <c r="L67" s="433"/>
      <c r="M67" s="500" t="s">
        <v>297</v>
      </c>
      <c r="N67" s="433" t="s">
        <v>301</v>
      </c>
      <c r="O67" s="498">
        <v>0</v>
      </c>
      <c r="P67" s="156">
        <f>$I$35</f>
        <v>6.1377703133154132E-2</v>
      </c>
      <c r="Q67" s="192">
        <f>O67*P67</f>
        <v>0</v>
      </c>
      <c r="R67" s="445">
        <v>0</v>
      </c>
      <c r="S67" s="156">
        <f>$I$45</f>
        <v>8.8163607280536779E-2</v>
      </c>
      <c r="T67" s="192">
        <f>R67*S67</f>
        <v>0</v>
      </c>
      <c r="U67" s="446">
        <v>0</v>
      </c>
      <c r="V67" s="192">
        <f>Q67+T67+U67</f>
        <v>0</v>
      </c>
      <c r="W67" s="445">
        <v>0</v>
      </c>
      <c r="X67" s="192">
        <f>V67+W67</f>
        <v>0</v>
      </c>
    </row>
    <row r="68" spans="11:55">
      <c r="K68" s="496" t="s">
        <v>299</v>
      </c>
      <c r="L68" s="433"/>
      <c r="M68" s="433" t="s">
        <v>300</v>
      </c>
      <c r="N68" s="433" t="s">
        <v>301</v>
      </c>
      <c r="O68" s="498">
        <v>0</v>
      </c>
      <c r="P68" s="156">
        <f>$I$35</f>
        <v>6.1377703133154132E-2</v>
      </c>
      <c r="Q68" s="192">
        <f>O68*P68</f>
        <v>0</v>
      </c>
      <c r="R68" s="445">
        <v>0</v>
      </c>
      <c r="S68" s="156">
        <f>$I$45</f>
        <v>8.8163607280536779E-2</v>
      </c>
      <c r="T68" s="192">
        <f>R68*S68</f>
        <v>0</v>
      </c>
      <c r="U68" s="446">
        <v>0</v>
      </c>
      <c r="V68" s="192">
        <f>Q68+T68+U68</f>
        <v>0</v>
      </c>
      <c r="W68" s="445">
        <v>0</v>
      </c>
      <c r="X68" s="192">
        <f>V68+W68</f>
        <v>0</v>
      </c>
    </row>
    <row r="69" spans="11:55">
      <c r="K69" s="190"/>
      <c r="Q69" s="192"/>
      <c r="T69" s="192"/>
      <c r="V69" s="192"/>
      <c r="X69" s="192"/>
    </row>
    <row r="70" spans="11:55">
      <c r="K70" s="190"/>
      <c r="Q70" s="192"/>
      <c r="T70" s="192"/>
      <c r="V70" s="192"/>
      <c r="X70" s="192"/>
    </row>
    <row r="71" spans="11:55">
      <c r="K71" s="190"/>
      <c r="Q71" s="192"/>
      <c r="T71" s="192"/>
      <c r="V71" s="192"/>
      <c r="X71" s="192"/>
    </row>
    <row r="72" spans="11:55">
      <c r="K72" s="190"/>
      <c r="Q72" s="192"/>
      <c r="T72" s="192"/>
      <c r="V72" s="192"/>
      <c r="X72" s="192"/>
    </row>
    <row r="73" spans="11:55">
      <c r="K73" s="190"/>
      <c r="Q73" s="192"/>
      <c r="T73" s="192"/>
      <c r="V73" s="192"/>
      <c r="X73" s="192"/>
    </row>
    <row r="74" spans="11:55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</row>
    <row r="75" spans="11:55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</row>
    <row r="76" spans="11:55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</row>
    <row r="77" spans="11:55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</row>
    <row r="78" spans="11:55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</row>
    <row r="79" spans="11:55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</row>
    <row r="80" spans="11:55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</row>
    <row r="81" spans="11:24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</row>
    <row r="82" spans="11:24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</row>
    <row r="83" spans="11:24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</row>
    <row r="84" spans="11:24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</row>
    <row r="85" spans="11:24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</row>
    <row r="86" spans="11:24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2698319.1568297967</v>
      </c>
      <c r="W86" s="202">
        <f>SUM(W66:W85)</f>
        <v>0</v>
      </c>
      <c r="X86" s="202">
        <f>SUM(X66:X85)</f>
        <v>2698319.1568297967</v>
      </c>
    </row>
    <row r="87" spans="11:24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</row>
    <row r="88" spans="11:24">
      <c r="K88" s="201">
        <v>3</v>
      </c>
      <c r="L88" s="195"/>
      <c r="M88" s="848" t="s">
        <v>706</v>
      </c>
      <c r="N88" s="195"/>
      <c r="O88" s="195"/>
      <c r="P88" s="195"/>
      <c r="Q88" s="195"/>
      <c r="R88" s="195"/>
      <c r="S88" s="195"/>
      <c r="T88" s="195"/>
      <c r="U88" s="195"/>
      <c r="V88" s="202"/>
      <c r="W88" s="195"/>
      <c r="X88" s="202">
        <f>X86</f>
        <v>2698319.1568297967</v>
      </c>
    </row>
    <row r="89" spans="11:24"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</row>
    <row r="90" spans="11:24"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11:24">
      <c r="K91" s="106" t="s">
        <v>113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11:24" ht="15.75" thickBot="1">
      <c r="K92" s="203" t="s">
        <v>114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11:24">
      <c r="K93" s="204" t="s">
        <v>115</v>
      </c>
      <c r="L93" s="109"/>
      <c r="M93" s="1044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</row>
    <row r="94" spans="11:24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</row>
    <row r="95" spans="11:24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</row>
    <row r="96" spans="11:24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</row>
    <row r="97" spans="11:24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</row>
    <row r="98" spans="11:24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</row>
    <row r="99" spans="11:24">
      <c r="K99" s="204" t="s">
        <v>121</v>
      </c>
      <c r="L99" s="109"/>
      <c r="M99" s="1042" t="s">
        <v>307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</row>
    <row r="100" spans="11:24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</row>
    <row r="101" spans="11:24" ht="15.75">
      <c r="K101" s="169"/>
      <c r="L101" s="206"/>
      <c r="M101" s="207"/>
      <c r="N101" s="165"/>
      <c r="O101" s="113"/>
      <c r="P101" s="113"/>
      <c r="Q101" s="111"/>
      <c r="R101" s="106"/>
      <c r="S101" s="106"/>
      <c r="T101" s="155"/>
      <c r="U101" s="106"/>
      <c r="W101" s="111"/>
      <c r="X101" s="170"/>
    </row>
    <row r="102" spans="11:24" ht="15.75">
      <c r="K102" s="169"/>
      <c r="L102" s="206"/>
      <c r="M102" s="207"/>
      <c r="N102" s="165"/>
      <c r="O102" s="113"/>
      <c r="P102" s="113"/>
      <c r="Q102" s="111"/>
      <c r="R102" s="106"/>
      <c r="S102" s="106"/>
      <c r="T102" s="155"/>
      <c r="U102" s="106"/>
      <c r="W102" s="111"/>
      <c r="X102" s="157"/>
    </row>
    <row r="103" spans="11:24"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11:24"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11:24"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11:24"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11:24"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11:24"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11:24"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11:24"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11:24"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11:24"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13:24"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13:24"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13:24"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13:24"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13:24"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13:24"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13:24"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13:24"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13:24"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13:24"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13:24"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13:24"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13:24"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13:24"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13:24"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13:24"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3:24"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3:24"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</row>
    <row r="131" spans="3:24"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</row>
    <row r="132" spans="3:24"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</row>
    <row r="133" spans="3:24"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</row>
    <row r="134" spans="3:24"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</row>
    <row r="135" spans="3:24"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</row>
    <row r="136" spans="3:24"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</row>
    <row r="137" spans="3:24"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</row>
    <row r="138" spans="3:24"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</row>
    <row r="139" spans="3:24"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</row>
    <row r="140" spans="3:24">
      <c r="C140" s="195"/>
      <c r="D140" s="195"/>
      <c r="E140" s="195"/>
      <c r="F140" s="195"/>
      <c r="G140" s="195"/>
      <c r="H140" s="195"/>
      <c r="I140" s="195"/>
      <c r="J140" s="195"/>
      <c r="K140" s="195"/>
    </row>
    <row r="141" spans="3:24">
      <c r="C141" s="195"/>
      <c r="D141" s="195"/>
      <c r="E141" s="195"/>
      <c r="F141" s="195"/>
      <c r="G141" s="195"/>
      <c r="H141" s="195"/>
      <c r="I141" s="195"/>
      <c r="J141" s="195"/>
      <c r="K141" s="195"/>
    </row>
    <row r="142" spans="3:24">
      <c r="C142" s="195"/>
      <c r="D142" s="195"/>
      <c r="E142" s="195"/>
      <c r="F142" s="195"/>
      <c r="G142" s="195"/>
      <c r="H142" s="195"/>
      <c r="I142" s="195"/>
      <c r="J142" s="195"/>
      <c r="K142" s="195"/>
    </row>
    <row r="143" spans="3:24">
      <c r="C143" s="195"/>
      <c r="D143" s="195"/>
      <c r="E143" s="195"/>
      <c r="F143" s="195"/>
      <c r="G143" s="195"/>
      <c r="H143" s="195"/>
      <c r="I143" s="195"/>
      <c r="J143" s="195"/>
      <c r="K143" s="195"/>
    </row>
    <row r="144" spans="3:24">
      <c r="C144" s="195"/>
      <c r="D144" s="195"/>
      <c r="E144" s="195"/>
      <c r="F144" s="195"/>
      <c r="G144" s="195"/>
      <c r="H144" s="195"/>
      <c r="I144" s="195"/>
      <c r="J144" s="195"/>
      <c r="K144" s="195"/>
    </row>
    <row r="145" spans="3:11">
      <c r="C145" s="195"/>
      <c r="D145" s="195"/>
      <c r="E145" s="195"/>
      <c r="F145" s="195"/>
      <c r="G145" s="195"/>
      <c r="H145" s="195"/>
      <c r="I145" s="195"/>
      <c r="J145" s="195"/>
      <c r="K145" s="195"/>
    </row>
    <row r="146" spans="3:11">
      <c r="C146" s="195"/>
      <c r="D146" s="195"/>
      <c r="E146" s="195"/>
      <c r="F146" s="195"/>
      <c r="G146" s="195"/>
      <c r="H146" s="195"/>
      <c r="I146" s="195"/>
      <c r="J146" s="195"/>
      <c r="K146" s="195"/>
    </row>
    <row r="147" spans="3:11">
      <c r="C147" s="195"/>
      <c r="D147" s="195"/>
      <c r="E147" s="195"/>
      <c r="F147" s="195"/>
      <c r="G147" s="195"/>
      <c r="H147" s="195"/>
      <c r="I147" s="195"/>
      <c r="J147" s="195"/>
      <c r="K147" s="195"/>
    </row>
    <row r="148" spans="3:11">
      <c r="C148" s="195"/>
      <c r="D148" s="195"/>
      <c r="E148" s="195"/>
      <c r="F148" s="195"/>
      <c r="G148" s="195"/>
      <c r="H148" s="195"/>
      <c r="I148" s="195"/>
      <c r="J148" s="195"/>
      <c r="K148" s="195"/>
    </row>
    <row r="149" spans="3:11">
      <c r="C149" s="195"/>
      <c r="D149" s="195"/>
      <c r="E149" s="195"/>
      <c r="F149" s="195"/>
      <c r="G149" s="195"/>
      <c r="H149" s="195"/>
      <c r="I149" s="195"/>
      <c r="J149" s="195"/>
      <c r="K149" s="195"/>
    </row>
    <row r="150" spans="3:11">
      <c r="C150" s="195"/>
      <c r="D150" s="195"/>
      <c r="E150" s="195"/>
      <c r="F150" s="195"/>
      <c r="G150" s="195"/>
      <c r="H150" s="195"/>
      <c r="I150" s="195"/>
      <c r="J150" s="195"/>
      <c r="K150" s="195"/>
    </row>
    <row r="151" spans="3:11">
      <c r="C151" s="195"/>
      <c r="D151" s="195"/>
      <c r="E151" s="195"/>
      <c r="F151" s="195"/>
      <c r="G151" s="195"/>
      <c r="H151" s="195"/>
      <c r="I151" s="195"/>
      <c r="J151" s="195"/>
      <c r="K151" s="195"/>
    </row>
    <row r="152" spans="3:11">
      <c r="C152" s="195"/>
      <c r="D152" s="195"/>
      <c r="E152" s="195"/>
      <c r="F152" s="195"/>
      <c r="G152" s="195"/>
      <c r="H152" s="195"/>
      <c r="I152" s="195"/>
      <c r="J152" s="195"/>
      <c r="K152" s="195"/>
    </row>
    <row r="153" spans="3:11">
      <c r="C153" s="195"/>
      <c r="D153" s="195"/>
      <c r="E153" s="195"/>
      <c r="F153" s="195"/>
      <c r="G153" s="195"/>
      <c r="H153" s="195"/>
      <c r="I153" s="195"/>
      <c r="J153" s="195"/>
      <c r="K153" s="195"/>
    </row>
    <row r="154" spans="3:11">
      <c r="C154" s="195"/>
      <c r="D154" s="195"/>
      <c r="E154" s="195"/>
      <c r="F154" s="195"/>
      <c r="G154" s="195"/>
      <c r="H154" s="195"/>
      <c r="I154" s="195"/>
      <c r="J154" s="195"/>
      <c r="K154" s="195"/>
    </row>
    <row r="155" spans="3:11">
      <c r="C155" s="195"/>
      <c r="D155" s="195"/>
      <c r="E155" s="195"/>
      <c r="F155" s="195"/>
      <c r="G155" s="195"/>
      <c r="H155" s="195"/>
      <c r="I155" s="195"/>
      <c r="J155" s="195"/>
      <c r="K155" s="195"/>
    </row>
    <row r="156" spans="3:11">
      <c r="C156" s="195"/>
      <c r="D156" s="195"/>
      <c r="E156" s="195"/>
      <c r="F156" s="195"/>
      <c r="G156" s="195"/>
      <c r="H156" s="195"/>
      <c r="I156" s="195"/>
      <c r="J156" s="195"/>
      <c r="K156" s="195"/>
    </row>
    <row r="157" spans="3:11">
      <c r="C157" s="195"/>
      <c r="D157" s="195"/>
      <c r="E157" s="195"/>
      <c r="F157" s="195"/>
      <c r="G157" s="195"/>
      <c r="H157" s="195"/>
      <c r="I157" s="195"/>
      <c r="J157" s="195"/>
      <c r="K157" s="195"/>
    </row>
    <row r="158" spans="3:11">
      <c r="C158" s="195"/>
      <c r="D158" s="195"/>
      <c r="E158" s="195"/>
      <c r="F158" s="195"/>
      <c r="G158" s="195"/>
      <c r="H158" s="195"/>
      <c r="I158" s="195"/>
      <c r="J158" s="195"/>
      <c r="K158" s="195"/>
    </row>
    <row r="159" spans="3:11">
      <c r="C159" s="195"/>
      <c r="D159" s="195"/>
      <c r="E159" s="195"/>
      <c r="F159" s="195"/>
      <c r="G159" s="195"/>
      <c r="H159" s="195"/>
      <c r="I159" s="195"/>
      <c r="J159" s="195"/>
      <c r="K159" s="195"/>
    </row>
    <row r="160" spans="3:11">
      <c r="C160" s="195"/>
      <c r="D160" s="195"/>
      <c r="E160" s="195"/>
      <c r="F160" s="195"/>
      <c r="G160" s="195"/>
      <c r="H160" s="195"/>
      <c r="I160" s="195"/>
      <c r="J160" s="195"/>
      <c r="K160" s="195"/>
    </row>
    <row r="161" spans="3:11">
      <c r="C161" s="195"/>
      <c r="D161" s="195"/>
      <c r="E161" s="195"/>
      <c r="F161" s="195"/>
      <c r="G161" s="195"/>
      <c r="H161" s="195"/>
      <c r="I161" s="195"/>
      <c r="J161" s="195"/>
      <c r="K161" s="195"/>
    </row>
    <row r="162" spans="3:11">
      <c r="C162" s="195"/>
      <c r="D162" s="195"/>
      <c r="E162" s="195"/>
      <c r="F162" s="195"/>
      <c r="G162" s="195"/>
      <c r="H162" s="195"/>
      <c r="I162" s="195"/>
      <c r="J162" s="195"/>
      <c r="K162" s="195"/>
    </row>
    <row r="163" spans="3:11">
      <c r="C163" s="195"/>
      <c r="D163" s="195"/>
      <c r="E163" s="195"/>
      <c r="F163" s="195"/>
      <c r="G163" s="195"/>
      <c r="H163" s="195"/>
      <c r="I163" s="195"/>
      <c r="J163" s="195"/>
      <c r="K163" s="195"/>
    </row>
    <row r="164" spans="3:11">
      <c r="C164" s="195"/>
      <c r="D164" s="195"/>
      <c r="E164" s="195"/>
      <c r="F164" s="195"/>
      <c r="G164" s="195"/>
      <c r="H164" s="195"/>
      <c r="I164" s="195"/>
      <c r="J164" s="195"/>
      <c r="K164" s="195"/>
    </row>
    <row r="165" spans="3:11">
      <c r="C165" s="195"/>
      <c r="D165" s="195"/>
      <c r="E165" s="195"/>
      <c r="F165" s="195"/>
      <c r="G165" s="195"/>
      <c r="H165" s="195"/>
      <c r="I165" s="195"/>
      <c r="J165" s="195"/>
      <c r="K165" s="195"/>
    </row>
    <row r="166" spans="3:11">
      <c r="C166" s="195"/>
      <c r="D166" s="195"/>
      <c r="E166" s="195"/>
      <c r="F166" s="195"/>
      <c r="G166" s="195"/>
      <c r="H166" s="195"/>
      <c r="I166" s="195"/>
      <c r="J166" s="195"/>
      <c r="K166" s="195"/>
    </row>
    <row r="167" spans="3:11">
      <c r="C167" s="195"/>
      <c r="D167" s="195"/>
      <c r="E167" s="195"/>
      <c r="F167" s="195"/>
      <c r="G167" s="195"/>
      <c r="H167" s="195"/>
      <c r="I167" s="195"/>
      <c r="J167" s="195"/>
      <c r="K167" s="195"/>
    </row>
    <row r="168" spans="3:11">
      <c r="C168" s="195"/>
      <c r="D168" s="195"/>
      <c r="E168" s="195"/>
      <c r="F168" s="195"/>
      <c r="G168" s="195"/>
      <c r="H168" s="195"/>
      <c r="I168" s="195"/>
      <c r="J168" s="195"/>
      <c r="K168" s="195"/>
    </row>
    <row r="169" spans="3:11">
      <c r="C169" s="195"/>
      <c r="D169" s="195"/>
      <c r="E169" s="195"/>
      <c r="F169" s="195"/>
      <c r="G169" s="195"/>
      <c r="H169" s="195"/>
      <c r="I169" s="195"/>
      <c r="J169" s="195"/>
      <c r="K169" s="195"/>
    </row>
    <row r="170" spans="3:11">
      <c r="C170" s="195"/>
      <c r="D170" s="195"/>
      <c r="E170" s="195"/>
      <c r="F170" s="195"/>
      <c r="G170" s="195"/>
      <c r="H170" s="195"/>
      <c r="I170" s="195"/>
      <c r="J170" s="195"/>
      <c r="K170" s="195"/>
    </row>
    <row r="171" spans="3:11">
      <c r="C171" s="195"/>
      <c r="D171" s="195"/>
      <c r="E171" s="195"/>
      <c r="F171" s="195"/>
      <c r="G171" s="195"/>
      <c r="H171" s="195"/>
      <c r="I171" s="195"/>
      <c r="J171" s="195"/>
      <c r="K171" s="195"/>
    </row>
    <row r="172" spans="3:11">
      <c r="C172" s="195"/>
      <c r="D172" s="195"/>
      <c r="E172" s="195"/>
      <c r="F172" s="195"/>
      <c r="G172" s="195"/>
      <c r="H172" s="195"/>
      <c r="I172" s="195"/>
      <c r="J172" s="195"/>
      <c r="K172" s="195"/>
    </row>
    <row r="173" spans="3:11">
      <c r="C173" s="195"/>
      <c r="D173" s="195"/>
      <c r="E173" s="195"/>
      <c r="F173" s="195"/>
      <c r="G173" s="195"/>
      <c r="H173" s="195"/>
      <c r="I173" s="195"/>
      <c r="J173" s="195"/>
      <c r="K173" s="195"/>
    </row>
    <row r="174" spans="3:11">
      <c r="C174" s="195"/>
      <c r="D174" s="195"/>
      <c r="E174" s="195"/>
      <c r="F174" s="195"/>
      <c r="G174" s="195"/>
      <c r="H174" s="195"/>
      <c r="I174" s="195"/>
      <c r="J174" s="195"/>
      <c r="K174" s="195"/>
    </row>
    <row r="175" spans="3:11">
      <c r="C175" s="195"/>
      <c r="D175" s="195"/>
      <c r="E175" s="195"/>
      <c r="F175" s="195"/>
      <c r="G175" s="195"/>
      <c r="H175" s="195"/>
      <c r="I175" s="195"/>
      <c r="J175" s="195"/>
      <c r="K175" s="195"/>
    </row>
    <row r="176" spans="3:11">
      <c r="C176" s="195"/>
      <c r="D176" s="195"/>
      <c r="E176" s="195"/>
      <c r="F176" s="195"/>
      <c r="G176" s="195"/>
      <c r="H176" s="195"/>
      <c r="I176" s="195"/>
      <c r="J176" s="195"/>
      <c r="K176" s="195"/>
    </row>
    <row r="177" spans="3:11">
      <c r="C177" s="195"/>
      <c r="D177" s="195"/>
      <c r="E177" s="195"/>
      <c r="F177" s="195"/>
      <c r="G177" s="195"/>
      <c r="H177" s="195"/>
      <c r="I177" s="195"/>
      <c r="J177" s="195"/>
      <c r="K177" s="195"/>
    </row>
    <row r="178" spans="3:11">
      <c r="C178" s="195"/>
      <c r="D178" s="195"/>
      <c r="E178" s="195"/>
      <c r="F178" s="195"/>
      <c r="G178" s="195"/>
      <c r="H178" s="195"/>
      <c r="I178" s="195"/>
      <c r="J178" s="195"/>
      <c r="K178" s="195"/>
    </row>
    <row r="179" spans="3:11">
      <c r="C179" s="195"/>
      <c r="D179" s="195"/>
      <c r="E179" s="195"/>
      <c r="F179" s="195"/>
      <c r="G179" s="195"/>
      <c r="H179" s="195"/>
      <c r="I179" s="195"/>
      <c r="J179" s="195"/>
      <c r="K179" s="195"/>
    </row>
    <row r="180" spans="3:11">
      <c r="C180" s="195"/>
      <c r="D180" s="195"/>
      <c r="E180" s="195"/>
      <c r="F180" s="195"/>
      <c r="G180" s="195"/>
      <c r="H180" s="195"/>
      <c r="I180" s="195"/>
      <c r="J180" s="195"/>
      <c r="K180" s="195"/>
    </row>
    <row r="181" spans="3:11">
      <c r="C181" s="195"/>
      <c r="D181" s="195"/>
      <c r="E181" s="195"/>
      <c r="F181" s="195"/>
      <c r="G181" s="195"/>
      <c r="H181" s="195"/>
      <c r="I181" s="195"/>
      <c r="J181" s="195"/>
      <c r="K181" s="195"/>
    </row>
    <row r="182" spans="3:11">
      <c r="C182" s="195"/>
      <c r="D182" s="195"/>
      <c r="E182" s="195"/>
      <c r="F182" s="195"/>
      <c r="G182" s="195"/>
      <c r="H182" s="195"/>
      <c r="I182" s="195"/>
      <c r="J182" s="195"/>
      <c r="K182" s="195"/>
    </row>
    <row r="183" spans="3:11">
      <c r="C183" s="195"/>
      <c r="D183" s="195"/>
      <c r="E183" s="195"/>
      <c r="F183" s="195"/>
      <c r="G183" s="195"/>
      <c r="H183" s="195"/>
      <c r="I183" s="195"/>
      <c r="J183" s="195"/>
      <c r="K183" s="195"/>
    </row>
    <row r="184" spans="3:11">
      <c r="C184" s="195"/>
      <c r="D184" s="195"/>
      <c r="E184" s="195"/>
      <c r="F184" s="195"/>
      <c r="G184" s="195"/>
      <c r="H184" s="195"/>
      <c r="I184" s="195"/>
      <c r="J184" s="195"/>
      <c r="K184" s="195"/>
    </row>
    <row r="185" spans="3:11">
      <c r="C185" s="195"/>
      <c r="D185" s="195"/>
      <c r="E185" s="195"/>
      <c r="F185" s="195"/>
      <c r="G185" s="195"/>
      <c r="H185" s="195"/>
      <c r="I185" s="195"/>
      <c r="J185" s="195"/>
      <c r="K185" s="195"/>
    </row>
    <row r="186" spans="3:11">
      <c r="C186" s="195"/>
      <c r="D186" s="195"/>
      <c r="E186" s="195"/>
      <c r="F186" s="195"/>
      <c r="G186" s="195"/>
      <c r="H186" s="195"/>
      <c r="I186" s="195"/>
      <c r="J186" s="195"/>
      <c r="K186" s="195"/>
    </row>
    <row r="187" spans="3:11">
      <c r="C187" s="195"/>
      <c r="D187" s="195"/>
      <c r="E187" s="195"/>
      <c r="F187" s="195"/>
      <c r="G187" s="195"/>
      <c r="H187" s="195"/>
      <c r="I187" s="195"/>
      <c r="J187" s="195"/>
      <c r="K187" s="195"/>
    </row>
    <row r="188" spans="3:11">
      <c r="C188" s="195"/>
      <c r="D188" s="195"/>
      <c r="E188" s="195"/>
      <c r="F188" s="195"/>
      <c r="G188" s="195"/>
      <c r="H188" s="195"/>
      <c r="I188" s="195"/>
      <c r="J188" s="195"/>
      <c r="K188" s="195"/>
    </row>
    <row r="189" spans="3:11">
      <c r="C189" s="195"/>
      <c r="D189" s="195"/>
      <c r="E189" s="195"/>
      <c r="F189" s="195"/>
      <c r="G189" s="195"/>
      <c r="H189" s="195"/>
      <c r="I189" s="195"/>
      <c r="J189" s="195"/>
      <c r="K189" s="195"/>
    </row>
    <row r="190" spans="3:11">
      <c r="C190" s="195"/>
      <c r="D190" s="195"/>
      <c r="E190" s="195"/>
      <c r="F190" s="195"/>
      <c r="G190" s="195"/>
      <c r="H190" s="195"/>
      <c r="I190" s="195"/>
      <c r="J190" s="195"/>
      <c r="K190" s="195"/>
    </row>
    <row r="191" spans="3:11">
      <c r="C191" s="195"/>
      <c r="D191" s="195"/>
      <c r="E191" s="195"/>
      <c r="F191" s="195"/>
      <c r="G191" s="195"/>
      <c r="H191" s="195"/>
      <c r="I191" s="195"/>
      <c r="J191" s="195"/>
      <c r="K191" s="195"/>
    </row>
    <row r="192" spans="3:11">
      <c r="C192" s="195"/>
      <c r="D192" s="195"/>
      <c r="E192" s="195"/>
      <c r="F192" s="195"/>
      <c r="G192" s="195"/>
      <c r="H192" s="195"/>
      <c r="I192" s="195"/>
      <c r="J192" s="195"/>
      <c r="K192" s="195"/>
    </row>
    <row r="193" spans="3:11">
      <c r="C193" s="195"/>
      <c r="D193" s="195"/>
      <c r="E193" s="195"/>
      <c r="F193" s="195"/>
      <c r="G193" s="195"/>
      <c r="H193" s="195"/>
      <c r="I193" s="195"/>
      <c r="J193" s="195"/>
      <c r="K193" s="195"/>
    </row>
    <row r="194" spans="3:11">
      <c r="C194" s="195"/>
      <c r="D194" s="195"/>
      <c r="E194" s="195"/>
      <c r="F194" s="195"/>
      <c r="G194" s="195"/>
      <c r="H194" s="195"/>
      <c r="I194" s="195"/>
      <c r="J194" s="195"/>
      <c r="K194" s="195"/>
    </row>
    <row r="195" spans="3:11">
      <c r="C195" s="195"/>
      <c r="D195" s="195"/>
      <c r="E195" s="195"/>
      <c r="F195" s="195"/>
      <c r="G195" s="195"/>
      <c r="H195" s="195"/>
      <c r="I195" s="195"/>
      <c r="J195" s="195"/>
      <c r="K195" s="195"/>
    </row>
    <row r="196" spans="3:11">
      <c r="C196" s="195"/>
      <c r="D196" s="195"/>
      <c r="E196" s="195"/>
      <c r="F196" s="195"/>
      <c r="G196" s="195"/>
      <c r="H196" s="195"/>
      <c r="I196" s="195"/>
      <c r="J196" s="195"/>
      <c r="K196" s="195"/>
    </row>
    <row r="197" spans="3:11">
      <c r="C197" s="195"/>
      <c r="D197" s="195"/>
      <c r="E197" s="195"/>
      <c r="F197" s="195"/>
      <c r="G197" s="195"/>
      <c r="H197" s="195"/>
      <c r="I197" s="195"/>
      <c r="J197" s="195"/>
      <c r="K197" s="195"/>
    </row>
    <row r="198" spans="3:11">
      <c r="C198" s="195"/>
      <c r="D198" s="195"/>
      <c r="E198" s="195"/>
      <c r="F198" s="195"/>
      <c r="G198" s="195"/>
      <c r="H198" s="195"/>
      <c r="I198" s="195"/>
      <c r="J198" s="195"/>
      <c r="K198" s="195"/>
    </row>
    <row r="199" spans="3:11">
      <c r="C199" s="195"/>
      <c r="D199" s="195"/>
      <c r="E199" s="195"/>
      <c r="F199" s="195"/>
      <c r="G199" s="195"/>
      <c r="H199" s="195"/>
      <c r="I199" s="195"/>
      <c r="J199" s="195"/>
      <c r="K199" s="195"/>
    </row>
    <row r="200" spans="3:11">
      <c r="C200" s="195"/>
      <c r="D200" s="195"/>
      <c r="E200" s="195"/>
      <c r="F200" s="195"/>
      <c r="G200" s="195"/>
      <c r="H200" s="195"/>
      <c r="I200" s="195"/>
      <c r="J200" s="195"/>
      <c r="K200" s="195"/>
    </row>
    <row r="201" spans="3:11">
      <c r="C201" s="195"/>
      <c r="D201" s="195"/>
      <c r="E201" s="195"/>
      <c r="F201" s="195"/>
      <c r="G201" s="195"/>
      <c r="H201" s="195"/>
      <c r="I201" s="195"/>
      <c r="J201" s="195"/>
      <c r="K201" s="195"/>
    </row>
    <row r="202" spans="3:11">
      <c r="C202" s="195"/>
      <c r="D202" s="195"/>
      <c r="E202" s="195"/>
      <c r="F202" s="195"/>
      <c r="G202" s="195"/>
      <c r="H202" s="195"/>
      <c r="I202" s="195"/>
      <c r="J202" s="195"/>
      <c r="K202" s="195"/>
    </row>
    <row r="203" spans="3:11">
      <c r="C203" s="195"/>
      <c r="D203" s="195"/>
      <c r="E203" s="195"/>
      <c r="F203" s="195"/>
      <c r="G203" s="195"/>
      <c r="H203" s="195"/>
      <c r="I203" s="195"/>
      <c r="J203" s="195"/>
      <c r="K203" s="195"/>
    </row>
    <row r="204" spans="3:11">
      <c r="C204" s="195"/>
      <c r="D204" s="195"/>
      <c r="E204" s="195"/>
      <c r="F204" s="195"/>
      <c r="G204" s="195"/>
      <c r="H204" s="195"/>
      <c r="I204" s="195"/>
      <c r="J204" s="195"/>
      <c r="K204" s="195"/>
    </row>
    <row r="205" spans="3:11">
      <c r="C205" s="195"/>
      <c r="D205" s="195"/>
      <c r="E205" s="195"/>
      <c r="F205" s="195"/>
      <c r="G205" s="195"/>
      <c r="H205" s="195"/>
      <c r="I205" s="195"/>
      <c r="J205" s="195"/>
      <c r="K205" s="195"/>
    </row>
    <row r="206" spans="3:11">
      <c r="C206" s="195"/>
      <c r="D206" s="195"/>
      <c r="E206" s="195"/>
      <c r="F206" s="195"/>
      <c r="G206" s="195"/>
      <c r="H206" s="195"/>
      <c r="I206" s="195"/>
      <c r="J206" s="195"/>
      <c r="K206" s="195"/>
    </row>
    <row r="207" spans="3:11">
      <c r="C207" s="195"/>
      <c r="D207" s="195"/>
      <c r="E207" s="195"/>
      <c r="F207" s="195"/>
      <c r="G207" s="195"/>
      <c r="H207" s="195"/>
      <c r="I207" s="195"/>
      <c r="J207" s="195"/>
      <c r="K207" s="195"/>
    </row>
    <row r="208" spans="3:11">
      <c r="C208" s="195"/>
      <c r="D208" s="195"/>
      <c r="E208" s="195"/>
      <c r="F208" s="195"/>
      <c r="G208" s="195"/>
      <c r="H208" s="195"/>
      <c r="I208" s="195"/>
      <c r="J208" s="195"/>
      <c r="K208" s="195"/>
    </row>
    <row r="209" spans="3:11">
      <c r="C209" s="195"/>
      <c r="D209" s="195"/>
      <c r="E209" s="195"/>
      <c r="F209" s="195"/>
      <c r="G209" s="195"/>
      <c r="H209" s="195"/>
      <c r="I209" s="195"/>
      <c r="J209" s="195"/>
      <c r="K209" s="195"/>
    </row>
    <row r="210" spans="3:11">
      <c r="C210" s="195"/>
      <c r="D210" s="195"/>
      <c r="E210" s="195"/>
      <c r="F210" s="195"/>
      <c r="G210" s="195"/>
      <c r="H210" s="195"/>
      <c r="I210" s="195"/>
      <c r="J210" s="195"/>
      <c r="K210" s="195"/>
    </row>
    <row r="211" spans="3:11">
      <c r="C211" s="195"/>
      <c r="D211" s="195"/>
      <c r="E211" s="195"/>
      <c r="F211" s="195"/>
      <c r="G211" s="195"/>
      <c r="H211" s="195"/>
      <c r="I211" s="195"/>
      <c r="J211" s="195"/>
      <c r="K211" s="195"/>
    </row>
    <row r="212" spans="3:11">
      <c r="C212" s="195"/>
      <c r="D212" s="195"/>
      <c r="E212" s="195"/>
      <c r="F212" s="195"/>
      <c r="G212" s="195"/>
      <c r="H212" s="195"/>
      <c r="I212" s="195"/>
      <c r="J212" s="195"/>
      <c r="K212" s="195"/>
    </row>
    <row r="213" spans="3:11">
      <c r="C213" s="195"/>
      <c r="D213" s="195"/>
      <c r="E213" s="195"/>
      <c r="F213" s="195"/>
      <c r="G213" s="195"/>
      <c r="H213" s="195"/>
      <c r="I213" s="195"/>
      <c r="J213" s="195"/>
      <c r="K213" s="195"/>
    </row>
    <row r="214" spans="3:11">
      <c r="C214" s="195"/>
      <c r="D214" s="195"/>
      <c r="E214" s="195"/>
      <c r="F214" s="195"/>
      <c r="G214" s="195"/>
      <c r="H214" s="195"/>
      <c r="I214" s="195"/>
      <c r="J214" s="195"/>
      <c r="K214" s="195"/>
    </row>
    <row r="215" spans="3:11">
      <c r="C215" s="195"/>
      <c r="D215" s="195"/>
      <c r="E215" s="195"/>
      <c r="F215" s="195"/>
      <c r="G215" s="195"/>
      <c r="H215" s="195"/>
      <c r="I215" s="195"/>
      <c r="J215" s="195"/>
      <c r="K215" s="195"/>
    </row>
    <row r="216" spans="3:11">
      <c r="C216" s="195"/>
      <c r="D216" s="195"/>
      <c r="E216" s="195"/>
      <c r="F216" s="195"/>
      <c r="G216" s="195"/>
      <c r="H216" s="195"/>
      <c r="I216" s="195"/>
      <c r="J216" s="195"/>
      <c r="K216" s="195"/>
    </row>
    <row r="217" spans="3:11">
      <c r="C217" s="195"/>
      <c r="D217" s="195"/>
      <c r="E217" s="195"/>
      <c r="F217" s="195"/>
      <c r="G217" s="195"/>
      <c r="H217" s="195"/>
      <c r="I217" s="195"/>
      <c r="J217" s="195"/>
      <c r="K217" s="195"/>
    </row>
    <row r="218" spans="3:11">
      <c r="C218" s="195"/>
      <c r="D218" s="195"/>
      <c r="E218" s="195"/>
      <c r="F218" s="195"/>
      <c r="G218" s="195"/>
      <c r="H218" s="195"/>
      <c r="I218" s="195"/>
      <c r="J218" s="195"/>
      <c r="K218" s="195"/>
    </row>
    <row r="219" spans="3:11">
      <c r="C219" s="195"/>
      <c r="D219" s="195"/>
      <c r="E219" s="195"/>
      <c r="F219" s="195"/>
      <c r="G219" s="195"/>
      <c r="H219" s="195"/>
      <c r="I219" s="195"/>
      <c r="J219" s="195"/>
      <c r="K219" s="195"/>
    </row>
    <row r="220" spans="3:11">
      <c r="C220" s="195"/>
      <c r="D220" s="195"/>
      <c r="E220" s="195"/>
      <c r="F220" s="195"/>
      <c r="G220" s="195"/>
      <c r="H220" s="195"/>
      <c r="I220" s="195"/>
      <c r="J220" s="195"/>
      <c r="K220" s="195"/>
    </row>
    <row r="221" spans="3:11">
      <c r="C221" s="195"/>
      <c r="D221" s="195"/>
      <c r="E221" s="195"/>
      <c r="F221" s="195"/>
      <c r="G221" s="195"/>
      <c r="H221" s="195"/>
      <c r="I221" s="195"/>
      <c r="J221" s="195"/>
      <c r="K221" s="195"/>
    </row>
    <row r="222" spans="3:11">
      <c r="C222" s="195"/>
      <c r="D222" s="195"/>
      <c r="E222" s="195"/>
      <c r="F222" s="195"/>
      <c r="G222" s="195"/>
      <c r="H222" s="195"/>
      <c r="I222" s="195"/>
      <c r="J222" s="195"/>
      <c r="K222" s="195"/>
    </row>
    <row r="223" spans="3:11">
      <c r="C223" s="195"/>
      <c r="D223" s="195"/>
      <c r="E223" s="195"/>
      <c r="F223" s="195"/>
      <c r="G223" s="195"/>
      <c r="H223" s="195"/>
      <c r="I223" s="195"/>
      <c r="J223" s="195"/>
      <c r="K223" s="195"/>
    </row>
    <row r="224" spans="3:11">
      <c r="C224" s="195"/>
      <c r="D224" s="195"/>
      <c r="E224" s="195"/>
      <c r="F224" s="195"/>
      <c r="G224" s="195"/>
      <c r="H224" s="195"/>
      <c r="I224" s="195"/>
      <c r="J224" s="195"/>
      <c r="K224" s="195"/>
    </row>
    <row r="225" spans="3:11">
      <c r="C225" s="195"/>
      <c r="D225" s="195"/>
      <c r="E225" s="195"/>
      <c r="F225" s="195"/>
      <c r="G225" s="195"/>
      <c r="H225" s="195"/>
      <c r="I225" s="195"/>
      <c r="J225" s="195"/>
      <c r="K225" s="195"/>
    </row>
    <row r="226" spans="3:11">
      <c r="C226" s="195"/>
      <c r="D226" s="195"/>
      <c r="E226" s="195"/>
      <c r="F226" s="195"/>
      <c r="G226" s="195"/>
      <c r="H226" s="195"/>
      <c r="I226" s="195"/>
      <c r="J226" s="195"/>
      <c r="K226" s="195"/>
    </row>
    <row r="227" spans="3:11">
      <c r="C227" s="195"/>
      <c r="D227" s="195"/>
      <c r="E227" s="195"/>
      <c r="F227" s="195"/>
      <c r="G227" s="195"/>
      <c r="H227" s="195"/>
      <c r="I227" s="195"/>
      <c r="J227" s="195"/>
      <c r="K227" s="195"/>
    </row>
    <row r="228" spans="3:11">
      <c r="C228" s="195"/>
      <c r="D228" s="195"/>
      <c r="E228" s="195"/>
      <c r="F228" s="195"/>
      <c r="G228" s="195"/>
      <c r="H228" s="195"/>
      <c r="I228" s="195"/>
      <c r="J228" s="195"/>
      <c r="K228" s="195"/>
    </row>
    <row r="229" spans="3:11">
      <c r="C229" s="195"/>
      <c r="D229" s="195"/>
      <c r="E229" s="195"/>
      <c r="F229" s="195"/>
      <c r="G229" s="195"/>
      <c r="H229" s="195"/>
      <c r="I229" s="195"/>
      <c r="J229" s="195"/>
      <c r="K229" s="195"/>
    </row>
    <row r="230" spans="3:11">
      <c r="C230" s="195"/>
      <c r="D230" s="195"/>
      <c r="E230" s="195"/>
      <c r="F230" s="195"/>
      <c r="G230" s="195"/>
      <c r="H230" s="195"/>
      <c r="I230" s="195"/>
      <c r="J230" s="195"/>
      <c r="K230" s="195"/>
    </row>
    <row r="231" spans="3:11">
      <c r="C231" s="195"/>
      <c r="D231" s="195"/>
      <c r="E231" s="195"/>
      <c r="F231" s="195"/>
      <c r="G231" s="195"/>
      <c r="H231" s="195"/>
      <c r="I231" s="195"/>
      <c r="J231" s="195"/>
      <c r="K231" s="195"/>
    </row>
    <row r="232" spans="3:11">
      <c r="C232" s="195"/>
      <c r="D232" s="195"/>
      <c r="E232" s="195"/>
      <c r="F232" s="195"/>
      <c r="G232" s="195"/>
      <c r="H232" s="195"/>
      <c r="I232" s="195"/>
      <c r="J232" s="195"/>
      <c r="K232" s="195"/>
    </row>
    <row r="233" spans="3:11">
      <c r="C233" s="195"/>
      <c r="D233" s="195"/>
      <c r="E233" s="195"/>
      <c r="F233" s="195"/>
      <c r="G233" s="195"/>
      <c r="H233" s="195"/>
      <c r="I233" s="195"/>
      <c r="J233" s="195"/>
      <c r="K233" s="195"/>
    </row>
    <row r="234" spans="3:11">
      <c r="C234" s="195"/>
      <c r="D234" s="195"/>
      <c r="E234" s="195"/>
      <c r="F234" s="195"/>
      <c r="G234" s="195"/>
      <c r="H234" s="195"/>
      <c r="I234" s="195"/>
      <c r="J234" s="195"/>
      <c r="K234" s="195"/>
    </row>
    <row r="235" spans="3:11">
      <c r="C235" s="195"/>
      <c r="D235" s="195"/>
      <c r="E235" s="195"/>
      <c r="F235" s="195"/>
      <c r="G235" s="195"/>
      <c r="H235" s="195"/>
      <c r="I235" s="195"/>
      <c r="J235" s="195"/>
      <c r="K235" s="195"/>
    </row>
    <row r="236" spans="3:11">
      <c r="C236" s="195"/>
      <c r="D236" s="195"/>
      <c r="E236" s="195"/>
      <c r="F236" s="195"/>
      <c r="G236" s="195"/>
      <c r="H236" s="195"/>
      <c r="I236" s="195"/>
      <c r="J236" s="195"/>
      <c r="K236" s="195"/>
    </row>
    <row r="237" spans="3:11">
      <c r="C237" s="195"/>
      <c r="D237" s="195"/>
      <c r="E237" s="195"/>
      <c r="F237" s="195"/>
      <c r="G237" s="195"/>
      <c r="H237" s="195"/>
      <c r="I237" s="195"/>
      <c r="J237" s="195"/>
      <c r="K237" s="195"/>
    </row>
    <row r="238" spans="3:11">
      <c r="C238" s="195"/>
      <c r="D238" s="195"/>
      <c r="E238" s="195"/>
      <c r="F238" s="195"/>
      <c r="G238" s="195"/>
      <c r="H238" s="195"/>
      <c r="I238" s="195"/>
      <c r="J238" s="195"/>
      <c r="K238" s="195"/>
    </row>
    <row r="239" spans="3:11">
      <c r="C239" s="195"/>
      <c r="D239" s="195"/>
      <c r="E239" s="195"/>
      <c r="F239" s="195"/>
      <c r="G239" s="195"/>
      <c r="H239" s="195"/>
      <c r="I239" s="195"/>
      <c r="J239" s="195"/>
      <c r="K239" s="195"/>
    </row>
    <row r="240" spans="3:11">
      <c r="C240" s="195"/>
      <c r="D240" s="195"/>
      <c r="E240" s="195"/>
      <c r="F240" s="195"/>
      <c r="G240" s="195"/>
      <c r="H240" s="195"/>
      <c r="I240" s="195"/>
      <c r="J240" s="195"/>
      <c r="K240" s="195"/>
    </row>
    <row r="241" spans="3:11">
      <c r="C241" s="195"/>
      <c r="D241" s="195"/>
      <c r="E241" s="195"/>
      <c r="F241" s="195"/>
      <c r="G241" s="195"/>
      <c r="H241" s="195"/>
      <c r="I241" s="195"/>
      <c r="J241" s="195"/>
      <c r="K241" s="195"/>
    </row>
    <row r="242" spans="3:11">
      <c r="C242" s="195"/>
      <c r="D242" s="195"/>
      <c r="E242" s="195"/>
      <c r="F242" s="195"/>
      <c r="G242" s="195"/>
      <c r="H242" s="195"/>
      <c r="I242" s="195"/>
      <c r="J242" s="195"/>
      <c r="K242" s="195"/>
    </row>
    <row r="243" spans="3:11">
      <c r="C243" s="195"/>
      <c r="D243" s="195"/>
      <c r="E243" s="195"/>
      <c r="F243" s="195"/>
      <c r="G243" s="195"/>
      <c r="H243" s="195"/>
      <c r="I243" s="195"/>
      <c r="J243" s="195"/>
      <c r="K243" s="195"/>
    </row>
    <row r="244" spans="3:11">
      <c r="C244" s="195"/>
      <c r="D244" s="195"/>
      <c r="E244" s="195"/>
      <c r="F244" s="195"/>
      <c r="G244" s="195"/>
      <c r="H244" s="195"/>
      <c r="I244" s="195"/>
      <c r="J244" s="195"/>
      <c r="K244" s="195"/>
    </row>
    <row r="245" spans="3:11">
      <c r="C245" s="195"/>
      <c r="D245" s="195"/>
      <c r="E245" s="195"/>
      <c r="F245" s="195"/>
      <c r="G245" s="195"/>
      <c r="H245" s="195"/>
      <c r="I245" s="195"/>
      <c r="J245" s="195"/>
      <c r="K245" s="195"/>
    </row>
    <row r="246" spans="3:11">
      <c r="C246" s="195"/>
      <c r="D246" s="195"/>
      <c r="E246" s="195"/>
      <c r="F246" s="195"/>
      <c r="G246" s="195"/>
      <c r="H246" s="195"/>
      <c r="I246" s="195"/>
      <c r="J246" s="195"/>
      <c r="K246" s="195"/>
    </row>
    <row r="247" spans="3:11">
      <c r="C247" s="195"/>
      <c r="D247" s="195"/>
      <c r="E247" s="195"/>
      <c r="F247" s="195"/>
      <c r="G247" s="195"/>
      <c r="H247" s="195"/>
      <c r="I247" s="195"/>
      <c r="J247" s="195"/>
      <c r="K247" s="195"/>
    </row>
    <row r="248" spans="3:11">
      <c r="C248" s="195"/>
      <c r="D248" s="195"/>
      <c r="E248" s="195"/>
      <c r="F248" s="195"/>
      <c r="G248" s="195"/>
      <c r="H248" s="195"/>
      <c r="I248" s="195"/>
      <c r="J248" s="195"/>
      <c r="K248" s="195"/>
    </row>
    <row r="249" spans="3:11">
      <c r="C249" s="195"/>
      <c r="D249" s="195"/>
      <c r="E249" s="195"/>
      <c r="F249" s="195"/>
      <c r="G249" s="195"/>
      <c r="H249" s="195"/>
      <c r="I249" s="195"/>
      <c r="J249" s="195"/>
      <c r="K249" s="195"/>
    </row>
    <row r="250" spans="3:11">
      <c r="C250" s="195"/>
      <c r="D250" s="195"/>
      <c r="E250" s="195"/>
      <c r="F250" s="195"/>
      <c r="G250" s="195"/>
      <c r="H250" s="195"/>
      <c r="I250" s="195"/>
      <c r="J250" s="195"/>
      <c r="K250" s="195"/>
    </row>
    <row r="251" spans="3:11">
      <c r="C251" s="195"/>
      <c r="D251" s="195"/>
      <c r="E251" s="195"/>
      <c r="F251" s="195"/>
      <c r="G251" s="195"/>
      <c r="H251" s="195"/>
      <c r="I251" s="195"/>
      <c r="J251" s="195"/>
      <c r="K251" s="195"/>
    </row>
    <row r="252" spans="3:11">
      <c r="C252" s="195"/>
      <c r="D252" s="195"/>
      <c r="E252" s="195"/>
      <c r="F252" s="195"/>
      <c r="G252" s="195"/>
      <c r="H252" s="195"/>
      <c r="I252" s="195"/>
      <c r="J252" s="195"/>
      <c r="K252" s="195"/>
    </row>
    <row r="253" spans="3:11">
      <c r="C253" s="195"/>
      <c r="D253" s="195"/>
      <c r="E253" s="195"/>
      <c r="F253" s="195"/>
      <c r="G253" s="195"/>
      <c r="H253" s="195"/>
      <c r="I253" s="195"/>
      <c r="J253" s="195"/>
      <c r="K253" s="195"/>
    </row>
    <row r="254" spans="3:11">
      <c r="C254" s="195"/>
      <c r="D254" s="195"/>
      <c r="E254" s="195"/>
      <c r="F254" s="195"/>
      <c r="G254" s="195"/>
      <c r="H254" s="195"/>
      <c r="I254" s="195"/>
      <c r="J254" s="195"/>
      <c r="K254" s="195"/>
    </row>
    <row r="255" spans="3:11">
      <c r="C255" s="195"/>
      <c r="D255" s="195"/>
      <c r="E255" s="195"/>
      <c r="F255" s="195"/>
      <c r="G255" s="195"/>
      <c r="H255" s="195"/>
      <c r="I255" s="195"/>
      <c r="J255" s="195"/>
      <c r="K255" s="195"/>
    </row>
    <row r="256" spans="3:11">
      <c r="C256" s="195"/>
      <c r="D256" s="195"/>
      <c r="E256" s="195"/>
      <c r="F256" s="195"/>
      <c r="G256" s="195"/>
      <c r="H256" s="195"/>
      <c r="I256" s="195"/>
      <c r="J256" s="195"/>
      <c r="K256" s="195"/>
    </row>
    <row r="257" spans="3:11">
      <c r="C257" s="195"/>
      <c r="D257" s="195"/>
      <c r="E257" s="195"/>
      <c r="F257" s="195"/>
      <c r="G257" s="195"/>
      <c r="H257" s="195"/>
      <c r="I257" s="195"/>
      <c r="J257" s="195"/>
      <c r="K257" s="195"/>
    </row>
    <row r="258" spans="3:11">
      <c r="C258" s="195"/>
      <c r="D258" s="195"/>
      <c r="E258" s="195"/>
      <c r="F258" s="195"/>
      <c r="G258" s="195"/>
      <c r="H258" s="195"/>
      <c r="I258" s="195"/>
      <c r="J258" s="195"/>
      <c r="K258" s="195"/>
    </row>
    <row r="259" spans="3:11">
      <c r="C259" s="195"/>
      <c r="D259" s="195"/>
      <c r="E259" s="195"/>
      <c r="F259" s="195"/>
      <c r="G259" s="195"/>
      <c r="H259" s="195"/>
      <c r="I259" s="195"/>
      <c r="J259" s="195"/>
      <c r="K259" s="195"/>
    </row>
    <row r="260" spans="3:11">
      <c r="C260" s="195"/>
      <c r="D260" s="195"/>
      <c r="E260" s="195"/>
      <c r="F260" s="195"/>
      <c r="G260" s="195"/>
      <c r="H260" s="195"/>
      <c r="I260" s="195"/>
      <c r="J260" s="195"/>
      <c r="K260" s="195"/>
    </row>
    <row r="261" spans="3:11">
      <c r="C261" s="195"/>
      <c r="D261" s="195"/>
      <c r="E261" s="195"/>
      <c r="F261" s="195"/>
      <c r="G261" s="195"/>
      <c r="H261" s="195"/>
      <c r="I261" s="195"/>
      <c r="J261" s="195"/>
      <c r="K261" s="195"/>
    </row>
    <row r="262" spans="3:11">
      <c r="C262" s="195"/>
      <c r="D262" s="195"/>
      <c r="E262" s="195"/>
      <c r="F262" s="195"/>
      <c r="G262" s="195"/>
      <c r="H262" s="195"/>
      <c r="I262" s="195"/>
      <c r="J262" s="195"/>
      <c r="K262" s="195"/>
    </row>
    <row r="263" spans="3:11">
      <c r="C263" s="195"/>
      <c r="D263" s="195"/>
      <c r="E263" s="195"/>
      <c r="F263" s="195"/>
      <c r="G263" s="195"/>
      <c r="H263" s="195"/>
      <c r="I263" s="195"/>
      <c r="J263" s="195"/>
      <c r="K263" s="195"/>
    </row>
    <row r="264" spans="3:11">
      <c r="C264" s="195"/>
      <c r="D264" s="195"/>
      <c r="E264" s="195"/>
      <c r="F264" s="195"/>
      <c r="G264" s="195"/>
      <c r="H264" s="195"/>
      <c r="I264" s="195"/>
      <c r="J264" s="195"/>
      <c r="K264" s="195"/>
    </row>
    <row r="265" spans="3:11">
      <c r="C265" s="195"/>
      <c r="D265" s="195"/>
      <c r="E265" s="195"/>
      <c r="F265" s="195"/>
      <c r="G265" s="195"/>
      <c r="H265" s="195"/>
      <c r="I265" s="195"/>
      <c r="J265" s="195"/>
      <c r="K265" s="195"/>
    </row>
    <row r="266" spans="3:11">
      <c r="C266" s="195"/>
      <c r="D266" s="195"/>
      <c r="E266" s="195"/>
      <c r="F266" s="195"/>
      <c r="G266" s="195"/>
      <c r="H266" s="195"/>
      <c r="I266" s="195"/>
      <c r="J266" s="195"/>
      <c r="K266" s="195"/>
    </row>
    <row r="267" spans="3:11">
      <c r="C267" s="195"/>
      <c r="D267" s="195"/>
      <c r="E267" s="195"/>
      <c r="F267" s="195"/>
      <c r="G267" s="195"/>
      <c r="H267" s="195"/>
      <c r="I267" s="195"/>
      <c r="J267" s="195"/>
      <c r="K267" s="195"/>
    </row>
    <row r="268" spans="3:11">
      <c r="C268" s="195"/>
      <c r="D268" s="195"/>
      <c r="E268" s="195"/>
      <c r="F268" s="195"/>
      <c r="G268" s="195"/>
      <c r="H268" s="195"/>
      <c r="I268" s="195"/>
      <c r="J268" s="195"/>
      <c r="K268" s="195"/>
    </row>
    <row r="269" spans="3:11">
      <c r="C269" s="195"/>
      <c r="D269" s="195"/>
      <c r="E269" s="195"/>
      <c r="F269" s="195"/>
      <c r="G269" s="195"/>
      <c r="H269" s="195"/>
      <c r="I269" s="195"/>
      <c r="J269" s="195"/>
      <c r="K269" s="195"/>
    </row>
    <row r="270" spans="3:11">
      <c r="C270" s="195"/>
      <c r="D270" s="195"/>
      <c r="E270" s="195"/>
      <c r="F270" s="195"/>
      <c r="G270" s="195"/>
      <c r="H270" s="195"/>
      <c r="I270" s="195"/>
      <c r="J270" s="195"/>
      <c r="K270" s="195"/>
    </row>
    <row r="271" spans="3:11">
      <c r="C271" s="195"/>
      <c r="D271" s="195"/>
      <c r="E271" s="195"/>
      <c r="F271" s="195"/>
      <c r="G271" s="195"/>
      <c r="H271" s="195"/>
      <c r="I271" s="195"/>
      <c r="J271" s="195"/>
      <c r="K271" s="195"/>
    </row>
    <row r="272" spans="3:11">
      <c r="C272" s="195"/>
      <c r="D272" s="195"/>
      <c r="E272" s="195"/>
      <c r="F272" s="195"/>
      <c r="G272" s="195"/>
      <c r="H272" s="195"/>
      <c r="I272" s="195"/>
      <c r="J272" s="195"/>
      <c r="K272" s="195"/>
    </row>
    <row r="273" spans="3:11">
      <c r="C273" s="195"/>
      <c r="D273" s="195"/>
      <c r="E273" s="195"/>
      <c r="F273" s="195"/>
      <c r="G273" s="195"/>
      <c r="H273" s="195"/>
      <c r="I273" s="195"/>
      <c r="J273" s="195"/>
      <c r="K273" s="195"/>
    </row>
    <row r="274" spans="3:11">
      <c r="C274" s="195"/>
      <c r="D274" s="195"/>
      <c r="E274" s="195"/>
      <c r="F274" s="195"/>
      <c r="G274" s="195"/>
      <c r="H274" s="195"/>
      <c r="I274" s="195"/>
      <c r="J274" s="195"/>
      <c r="K274" s="195"/>
    </row>
    <row r="275" spans="3:11">
      <c r="C275" s="195"/>
      <c r="D275" s="195"/>
      <c r="E275" s="195"/>
      <c r="F275" s="195"/>
      <c r="G275" s="195"/>
      <c r="H275" s="195"/>
      <c r="I275" s="195"/>
      <c r="J275" s="195"/>
      <c r="K275" s="195"/>
    </row>
    <row r="276" spans="3:11">
      <c r="C276" s="195"/>
      <c r="D276" s="195"/>
      <c r="E276" s="195"/>
      <c r="F276" s="195"/>
      <c r="G276" s="195"/>
      <c r="H276" s="195"/>
      <c r="I276" s="195"/>
      <c r="J276" s="195"/>
      <c r="K276" s="195"/>
    </row>
    <row r="277" spans="3:11">
      <c r="C277" s="195"/>
      <c r="D277" s="195"/>
      <c r="E277" s="195"/>
      <c r="F277" s="195"/>
      <c r="G277" s="195"/>
      <c r="H277" s="195"/>
      <c r="I277" s="195"/>
      <c r="J277" s="195"/>
      <c r="K277" s="195"/>
    </row>
    <row r="278" spans="3:11">
      <c r="C278" s="195"/>
      <c r="D278" s="195"/>
      <c r="E278" s="195"/>
      <c r="F278" s="195"/>
      <c r="G278" s="195"/>
      <c r="H278" s="195"/>
      <c r="I278" s="195"/>
      <c r="J278" s="195"/>
      <c r="K278" s="195"/>
    </row>
    <row r="279" spans="3:11">
      <c r="C279" s="195"/>
      <c r="D279" s="195"/>
      <c r="E279" s="195"/>
      <c r="F279" s="195"/>
      <c r="G279" s="195"/>
      <c r="H279" s="195"/>
      <c r="I279" s="195"/>
      <c r="J279" s="195"/>
      <c r="K279" s="195"/>
    </row>
    <row r="280" spans="3:11">
      <c r="C280" s="195"/>
      <c r="D280" s="195"/>
      <c r="E280" s="195"/>
      <c r="F280" s="195"/>
      <c r="G280" s="195"/>
      <c r="H280" s="195"/>
      <c r="I280" s="195"/>
      <c r="J280" s="195"/>
      <c r="K280" s="195"/>
    </row>
    <row r="281" spans="3:11">
      <c r="C281" s="195"/>
      <c r="D281" s="195"/>
      <c r="E281" s="195"/>
      <c r="F281" s="195"/>
      <c r="G281" s="195"/>
      <c r="H281" s="195"/>
      <c r="I281" s="195"/>
      <c r="J281" s="195"/>
      <c r="K281" s="195"/>
    </row>
    <row r="282" spans="3:11">
      <c r="C282" s="195"/>
      <c r="D282" s="195"/>
      <c r="E282" s="195"/>
      <c r="F282" s="195"/>
      <c r="G282" s="195"/>
      <c r="H282" s="195"/>
      <c r="I282" s="195"/>
      <c r="J282" s="195"/>
      <c r="K282" s="195"/>
    </row>
    <row r="283" spans="3:11">
      <c r="C283" s="195"/>
      <c r="D283" s="195"/>
      <c r="E283" s="195"/>
      <c r="F283" s="195"/>
      <c r="G283" s="195"/>
      <c r="H283" s="195"/>
      <c r="I283" s="195"/>
      <c r="J283" s="195"/>
      <c r="K283" s="195"/>
    </row>
    <row r="284" spans="3:11">
      <c r="C284" s="195"/>
      <c r="D284" s="195"/>
      <c r="E284" s="195"/>
      <c r="F284" s="195"/>
      <c r="G284" s="195"/>
      <c r="H284" s="195"/>
      <c r="I284" s="195"/>
      <c r="J284" s="195"/>
      <c r="K284" s="195"/>
    </row>
    <row r="285" spans="3:11">
      <c r="C285" s="195"/>
      <c r="D285" s="195"/>
      <c r="E285" s="195"/>
      <c r="F285" s="195"/>
      <c r="G285" s="195"/>
      <c r="H285" s="195"/>
      <c r="I285" s="195"/>
      <c r="J285" s="195"/>
      <c r="K285" s="195"/>
    </row>
    <row r="286" spans="3:11">
      <c r="C286" s="195"/>
      <c r="D286" s="195"/>
      <c r="E286" s="195"/>
      <c r="F286" s="195"/>
      <c r="G286" s="195"/>
      <c r="H286" s="195"/>
      <c r="I286" s="195"/>
      <c r="J286" s="195"/>
      <c r="K286" s="195"/>
    </row>
    <row r="287" spans="3:11">
      <c r="C287" s="195"/>
      <c r="D287" s="195"/>
      <c r="E287" s="195"/>
      <c r="F287" s="195"/>
      <c r="G287" s="195"/>
      <c r="H287" s="195"/>
      <c r="I287" s="195"/>
      <c r="J287" s="195"/>
      <c r="K287" s="195"/>
    </row>
    <row r="288" spans="3:11">
      <c r="C288" s="195"/>
      <c r="D288" s="195"/>
      <c r="E288" s="195"/>
      <c r="F288" s="195"/>
      <c r="G288" s="195"/>
      <c r="H288" s="195"/>
      <c r="I288" s="195"/>
      <c r="J288" s="195"/>
      <c r="K288" s="195"/>
    </row>
    <row r="289" spans="3:11">
      <c r="C289" s="195"/>
      <c r="D289" s="195"/>
      <c r="E289" s="195"/>
      <c r="F289" s="195"/>
      <c r="G289" s="195"/>
      <c r="H289" s="195"/>
      <c r="I289" s="195"/>
      <c r="J289" s="195"/>
      <c r="K289" s="195"/>
    </row>
    <row r="290" spans="3:11">
      <c r="C290" s="195"/>
      <c r="D290" s="195"/>
      <c r="E290" s="195"/>
      <c r="F290" s="195"/>
      <c r="G290" s="195"/>
      <c r="H290" s="195"/>
      <c r="I290" s="195"/>
      <c r="J290" s="195"/>
      <c r="K290" s="195"/>
    </row>
    <row r="291" spans="3:11">
      <c r="C291" s="195"/>
      <c r="D291" s="195"/>
      <c r="E291" s="195"/>
      <c r="F291" s="195"/>
      <c r="G291" s="195"/>
      <c r="H291" s="195"/>
      <c r="I291" s="195"/>
      <c r="J291" s="195"/>
    </row>
    <row r="292" spans="3:11">
      <c r="C292" s="195"/>
      <c r="D292" s="195"/>
      <c r="E292" s="195"/>
      <c r="F292" s="195"/>
      <c r="G292" s="195"/>
      <c r="H292" s="195"/>
      <c r="I292" s="195"/>
      <c r="J292" s="195"/>
    </row>
    <row r="293" spans="3:11">
      <c r="C293" s="195"/>
      <c r="D293" s="195"/>
      <c r="E293" s="195"/>
      <c r="F293" s="195"/>
      <c r="G293" s="195"/>
      <c r="H293" s="195"/>
      <c r="I293" s="195"/>
      <c r="J293" s="195"/>
    </row>
    <row r="294" spans="3:11">
      <c r="C294" s="195"/>
      <c r="D294" s="195"/>
      <c r="E294" s="195"/>
      <c r="F294" s="195"/>
      <c r="G294" s="195"/>
      <c r="H294" s="195"/>
      <c r="I294" s="195"/>
      <c r="J294" s="195"/>
    </row>
    <row r="295" spans="3:11">
      <c r="C295" s="195"/>
      <c r="D295" s="195"/>
      <c r="E295" s="195"/>
      <c r="F295" s="195"/>
      <c r="G295" s="195"/>
      <c r="H295" s="195"/>
      <c r="I295" s="195"/>
      <c r="J295" s="195"/>
    </row>
    <row r="296" spans="3:11">
      <c r="C296" s="195"/>
      <c r="D296" s="195"/>
      <c r="E296" s="195"/>
      <c r="F296" s="195"/>
      <c r="G296" s="195"/>
      <c r="H296" s="195"/>
      <c r="I296" s="195"/>
      <c r="J296" s="195"/>
    </row>
    <row r="297" spans="3:11">
      <c r="C297" s="195"/>
      <c r="D297" s="195"/>
      <c r="E297" s="195"/>
      <c r="F297" s="195"/>
      <c r="G297" s="195"/>
      <c r="H297" s="195"/>
      <c r="I297" s="195"/>
      <c r="J297" s="195"/>
    </row>
    <row r="298" spans="3:11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6" orientation="landscape" r:id="rId1"/>
  <headerFooter alignWithMargins="0"/>
  <rowBreaks count="1" manualBreakCount="1">
    <brk id="48" min="10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3300"/>
    <pageSetUpPr fitToPage="1"/>
  </sheetPr>
  <dimension ref="A1:BB298"/>
  <sheetViews>
    <sheetView topLeftCell="H49" zoomScale="75" zoomScaleNormal="75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2.33203125" style="137" customWidth="1"/>
    <col min="4" max="4" width="1.109375" style="137" customWidth="1"/>
    <col min="5" max="5" width="37.109375" style="137" customWidth="1"/>
    <col min="6" max="6" width="1.21875" style="137" customWidth="1"/>
    <col min="7" max="7" width="14.109375" style="137" customWidth="1"/>
    <col min="8" max="8" width="0.88671875" style="137" customWidth="1"/>
    <col min="9" max="9" width="12.77734375" style="137" customWidth="1"/>
    <col min="10" max="10" width="3.77734375" style="137" customWidth="1"/>
    <col min="11" max="11" width="5.21875" style="137" customWidth="1"/>
    <col min="12" max="12" width="1.88671875" style="137" customWidth="1"/>
    <col min="13" max="13" width="22.5546875" style="137" customWidth="1"/>
    <col min="14" max="14" width="8.77734375" style="137"/>
    <col min="15" max="15" width="13.77734375" style="137" customWidth="1"/>
    <col min="16" max="16" width="17" style="137" bestFit="1" customWidth="1"/>
    <col min="17" max="17" width="13.77734375" style="137" customWidth="1"/>
    <col min="18" max="18" width="12.44140625" style="137" customWidth="1"/>
    <col min="19" max="19" width="13" style="137" customWidth="1"/>
    <col min="20" max="20" width="13.21875" style="137" customWidth="1"/>
    <col min="21" max="21" width="12.6640625" style="137" customWidth="1"/>
    <col min="22" max="22" width="15.21875" style="137" customWidth="1"/>
    <col min="23" max="23" width="12.5546875" style="137" customWidth="1"/>
    <col min="24" max="24" width="16.21875" style="137" customWidth="1"/>
    <col min="25" max="245" width="8.77734375" style="137"/>
    <col min="246" max="246" width="6" style="137" customWidth="1"/>
    <col min="247" max="247" width="1.44140625" style="137" customWidth="1"/>
    <col min="248" max="248" width="39.109375" style="137" customWidth="1"/>
    <col min="249" max="249" width="12" style="137" customWidth="1"/>
    <col min="250" max="250" width="14.44140625" style="137" customWidth="1"/>
    <col min="251" max="251" width="11.88671875" style="137" customWidth="1"/>
    <col min="252" max="252" width="14.109375" style="137" customWidth="1"/>
    <col min="253" max="253" width="13.88671875" style="137" customWidth="1"/>
    <col min="254" max="255" width="12.77734375" style="137" customWidth="1"/>
    <col min="256" max="256" width="13.5546875" style="137" customWidth="1"/>
    <col min="257" max="257" width="15.33203125" style="137" customWidth="1"/>
    <col min="258" max="258" width="12.77734375" style="137" customWidth="1"/>
    <col min="259" max="259" width="13.88671875" style="137" customWidth="1"/>
    <col min="260" max="260" width="1.88671875" style="137" customWidth="1"/>
    <col min="261" max="261" width="13" style="137" customWidth="1"/>
    <col min="262" max="501" width="8.77734375" style="137"/>
    <col min="502" max="502" width="6" style="137" customWidth="1"/>
    <col min="503" max="503" width="1.44140625" style="137" customWidth="1"/>
    <col min="504" max="504" width="39.109375" style="137" customWidth="1"/>
    <col min="505" max="505" width="12" style="137" customWidth="1"/>
    <col min="506" max="506" width="14.44140625" style="137" customWidth="1"/>
    <col min="507" max="507" width="11.88671875" style="137" customWidth="1"/>
    <col min="508" max="508" width="14.109375" style="137" customWidth="1"/>
    <col min="509" max="509" width="13.88671875" style="137" customWidth="1"/>
    <col min="510" max="511" width="12.77734375" style="137" customWidth="1"/>
    <col min="512" max="512" width="13.5546875" style="137" customWidth="1"/>
    <col min="513" max="513" width="15.33203125" style="137" customWidth="1"/>
    <col min="514" max="514" width="12.77734375" style="137" customWidth="1"/>
    <col min="515" max="515" width="13.88671875" style="137" customWidth="1"/>
    <col min="516" max="516" width="1.88671875" style="137" customWidth="1"/>
    <col min="517" max="517" width="13" style="137" customWidth="1"/>
    <col min="518" max="757" width="8.77734375" style="137"/>
    <col min="758" max="758" width="6" style="137" customWidth="1"/>
    <col min="759" max="759" width="1.44140625" style="137" customWidth="1"/>
    <col min="760" max="760" width="39.109375" style="137" customWidth="1"/>
    <col min="761" max="761" width="12" style="137" customWidth="1"/>
    <col min="762" max="762" width="14.44140625" style="137" customWidth="1"/>
    <col min="763" max="763" width="11.88671875" style="137" customWidth="1"/>
    <col min="764" max="764" width="14.109375" style="137" customWidth="1"/>
    <col min="765" max="765" width="13.88671875" style="137" customWidth="1"/>
    <col min="766" max="767" width="12.77734375" style="137" customWidth="1"/>
    <col min="768" max="768" width="13.5546875" style="137" customWidth="1"/>
    <col min="769" max="769" width="15.33203125" style="137" customWidth="1"/>
    <col min="770" max="770" width="12.77734375" style="137" customWidth="1"/>
    <col min="771" max="771" width="13.88671875" style="137" customWidth="1"/>
    <col min="772" max="772" width="1.88671875" style="137" customWidth="1"/>
    <col min="773" max="773" width="13" style="137" customWidth="1"/>
    <col min="774" max="1013" width="8.77734375" style="137"/>
    <col min="1014" max="1014" width="6" style="137" customWidth="1"/>
    <col min="1015" max="1015" width="1.44140625" style="137" customWidth="1"/>
    <col min="1016" max="1016" width="39.109375" style="137" customWidth="1"/>
    <col min="1017" max="1017" width="12" style="137" customWidth="1"/>
    <col min="1018" max="1018" width="14.44140625" style="137" customWidth="1"/>
    <col min="1019" max="1019" width="11.88671875" style="137" customWidth="1"/>
    <col min="1020" max="1020" width="14.109375" style="137" customWidth="1"/>
    <col min="1021" max="1021" width="13.88671875" style="137" customWidth="1"/>
    <col min="1022" max="1023" width="12.77734375" style="137" customWidth="1"/>
    <col min="1024" max="1024" width="13.5546875" style="137" customWidth="1"/>
    <col min="1025" max="1025" width="15.33203125" style="137" customWidth="1"/>
    <col min="1026" max="1026" width="12.77734375" style="137" customWidth="1"/>
    <col min="1027" max="1027" width="13.88671875" style="137" customWidth="1"/>
    <col min="1028" max="1028" width="1.88671875" style="137" customWidth="1"/>
    <col min="1029" max="1029" width="13" style="137" customWidth="1"/>
    <col min="1030" max="1269" width="8.77734375" style="137"/>
    <col min="1270" max="1270" width="6" style="137" customWidth="1"/>
    <col min="1271" max="1271" width="1.44140625" style="137" customWidth="1"/>
    <col min="1272" max="1272" width="39.109375" style="137" customWidth="1"/>
    <col min="1273" max="1273" width="12" style="137" customWidth="1"/>
    <col min="1274" max="1274" width="14.44140625" style="137" customWidth="1"/>
    <col min="1275" max="1275" width="11.88671875" style="137" customWidth="1"/>
    <col min="1276" max="1276" width="14.109375" style="137" customWidth="1"/>
    <col min="1277" max="1277" width="13.88671875" style="137" customWidth="1"/>
    <col min="1278" max="1279" width="12.77734375" style="137" customWidth="1"/>
    <col min="1280" max="1280" width="13.5546875" style="137" customWidth="1"/>
    <col min="1281" max="1281" width="15.33203125" style="137" customWidth="1"/>
    <col min="1282" max="1282" width="12.77734375" style="137" customWidth="1"/>
    <col min="1283" max="1283" width="13.88671875" style="137" customWidth="1"/>
    <col min="1284" max="1284" width="1.88671875" style="137" customWidth="1"/>
    <col min="1285" max="1285" width="13" style="137" customWidth="1"/>
    <col min="1286" max="1525" width="8.77734375" style="137"/>
    <col min="1526" max="1526" width="6" style="137" customWidth="1"/>
    <col min="1527" max="1527" width="1.44140625" style="137" customWidth="1"/>
    <col min="1528" max="1528" width="39.109375" style="137" customWidth="1"/>
    <col min="1529" max="1529" width="12" style="137" customWidth="1"/>
    <col min="1530" max="1530" width="14.44140625" style="137" customWidth="1"/>
    <col min="1531" max="1531" width="11.88671875" style="137" customWidth="1"/>
    <col min="1532" max="1532" width="14.109375" style="137" customWidth="1"/>
    <col min="1533" max="1533" width="13.88671875" style="137" customWidth="1"/>
    <col min="1534" max="1535" width="12.77734375" style="137" customWidth="1"/>
    <col min="1536" max="1536" width="13.5546875" style="137" customWidth="1"/>
    <col min="1537" max="1537" width="15.33203125" style="137" customWidth="1"/>
    <col min="1538" max="1538" width="12.77734375" style="137" customWidth="1"/>
    <col min="1539" max="1539" width="13.88671875" style="137" customWidth="1"/>
    <col min="1540" max="1540" width="1.88671875" style="137" customWidth="1"/>
    <col min="1541" max="1541" width="13" style="137" customWidth="1"/>
    <col min="1542" max="1781" width="8.77734375" style="137"/>
    <col min="1782" max="1782" width="6" style="137" customWidth="1"/>
    <col min="1783" max="1783" width="1.44140625" style="137" customWidth="1"/>
    <col min="1784" max="1784" width="39.109375" style="137" customWidth="1"/>
    <col min="1785" max="1785" width="12" style="137" customWidth="1"/>
    <col min="1786" max="1786" width="14.44140625" style="137" customWidth="1"/>
    <col min="1787" max="1787" width="11.88671875" style="137" customWidth="1"/>
    <col min="1788" max="1788" width="14.109375" style="137" customWidth="1"/>
    <col min="1789" max="1789" width="13.88671875" style="137" customWidth="1"/>
    <col min="1790" max="1791" width="12.77734375" style="137" customWidth="1"/>
    <col min="1792" max="1792" width="13.5546875" style="137" customWidth="1"/>
    <col min="1793" max="1793" width="15.33203125" style="137" customWidth="1"/>
    <col min="1794" max="1794" width="12.77734375" style="137" customWidth="1"/>
    <col min="1795" max="1795" width="13.88671875" style="137" customWidth="1"/>
    <col min="1796" max="1796" width="1.88671875" style="137" customWidth="1"/>
    <col min="1797" max="1797" width="13" style="137" customWidth="1"/>
    <col min="1798" max="2037" width="8.77734375" style="137"/>
    <col min="2038" max="2038" width="6" style="137" customWidth="1"/>
    <col min="2039" max="2039" width="1.44140625" style="137" customWidth="1"/>
    <col min="2040" max="2040" width="39.109375" style="137" customWidth="1"/>
    <col min="2041" max="2041" width="12" style="137" customWidth="1"/>
    <col min="2042" max="2042" width="14.44140625" style="137" customWidth="1"/>
    <col min="2043" max="2043" width="11.88671875" style="137" customWidth="1"/>
    <col min="2044" max="2044" width="14.109375" style="137" customWidth="1"/>
    <col min="2045" max="2045" width="13.88671875" style="137" customWidth="1"/>
    <col min="2046" max="2047" width="12.77734375" style="137" customWidth="1"/>
    <col min="2048" max="2048" width="13.5546875" style="137" customWidth="1"/>
    <col min="2049" max="2049" width="15.33203125" style="137" customWidth="1"/>
    <col min="2050" max="2050" width="12.77734375" style="137" customWidth="1"/>
    <col min="2051" max="2051" width="13.88671875" style="137" customWidth="1"/>
    <col min="2052" max="2052" width="1.88671875" style="137" customWidth="1"/>
    <col min="2053" max="2053" width="13" style="137" customWidth="1"/>
    <col min="2054" max="2293" width="8.77734375" style="137"/>
    <col min="2294" max="2294" width="6" style="137" customWidth="1"/>
    <col min="2295" max="2295" width="1.44140625" style="137" customWidth="1"/>
    <col min="2296" max="2296" width="39.109375" style="137" customWidth="1"/>
    <col min="2297" max="2297" width="12" style="137" customWidth="1"/>
    <col min="2298" max="2298" width="14.44140625" style="137" customWidth="1"/>
    <col min="2299" max="2299" width="11.88671875" style="137" customWidth="1"/>
    <col min="2300" max="2300" width="14.109375" style="137" customWidth="1"/>
    <col min="2301" max="2301" width="13.88671875" style="137" customWidth="1"/>
    <col min="2302" max="2303" width="12.77734375" style="137" customWidth="1"/>
    <col min="2304" max="2304" width="13.5546875" style="137" customWidth="1"/>
    <col min="2305" max="2305" width="15.33203125" style="137" customWidth="1"/>
    <col min="2306" max="2306" width="12.77734375" style="137" customWidth="1"/>
    <col min="2307" max="2307" width="13.88671875" style="137" customWidth="1"/>
    <col min="2308" max="2308" width="1.88671875" style="137" customWidth="1"/>
    <col min="2309" max="2309" width="13" style="137" customWidth="1"/>
    <col min="2310" max="2549" width="8.77734375" style="137"/>
    <col min="2550" max="2550" width="6" style="137" customWidth="1"/>
    <col min="2551" max="2551" width="1.44140625" style="137" customWidth="1"/>
    <col min="2552" max="2552" width="39.109375" style="137" customWidth="1"/>
    <col min="2553" max="2553" width="12" style="137" customWidth="1"/>
    <col min="2554" max="2554" width="14.44140625" style="137" customWidth="1"/>
    <col min="2555" max="2555" width="11.88671875" style="137" customWidth="1"/>
    <col min="2556" max="2556" width="14.109375" style="137" customWidth="1"/>
    <col min="2557" max="2557" width="13.88671875" style="137" customWidth="1"/>
    <col min="2558" max="2559" width="12.77734375" style="137" customWidth="1"/>
    <col min="2560" max="2560" width="13.5546875" style="137" customWidth="1"/>
    <col min="2561" max="2561" width="15.33203125" style="137" customWidth="1"/>
    <col min="2562" max="2562" width="12.77734375" style="137" customWidth="1"/>
    <col min="2563" max="2563" width="13.88671875" style="137" customWidth="1"/>
    <col min="2564" max="2564" width="1.88671875" style="137" customWidth="1"/>
    <col min="2565" max="2565" width="13" style="137" customWidth="1"/>
    <col min="2566" max="2805" width="8.77734375" style="137"/>
    <col min="2806" max="2806" width="6" style="137" customWidth="1"/>
    <col min="2807" max="2807" width="1.44140625" style="137" customWidth="1"/>
    <col min="2808" max="2808" width="39.109375" style="137" customWidth="1"/>
    <col min="2809" max="2809" width="12" style="137" customWidth="1"/>
    <col min="2810" max="2810" width="14.44140625" style="137" customWidth="1"/>
    <col min="2811" max="2811" width="11.88671875" style="137" customWidth="1"/>
    <col min="2812" max="2812" width="14.109375" style="137" customWidth="1"/>
    <col min="2813" max="2813" width="13.88671875" style="137" customWidth="1"/>
    <col min="2814" max="2815" width="12.77734375" style="137" customWidth="1"/>
    <col min="2816" max="2816" width="13.5546875" style="137" customWidth="1"/>
    <col min="2817" max="2817" width="15.33203125" style="137" customWidth="1"/>
    <col min="2818" max="2818" width="12.77734375" style="137" customWidth="1"/>
    <col min="2819" max="2819" width="13.88671875" style="137" customWidth="1"/>
    <col min="2820" max="2820" width="1.88671875" style="137" customWidth="1"/>
    <col min="2821" max="2821" width="13" style="137" customWidth="1"/>
    <col min="2822" max="3061" width="8.77734375" style="137"/>
    <col min="3062" max="3062" width="6" style="137" customWidth="1"/>
    <col min="3063" max="3063" width="1.44140625" style="137" customWidth="1"/>
    <col min="3064" max="3064" width="39.109375" style="137" customWidth="1"/>
    <col min="3065" max="3065" width="12" style="137" customWidth="1"/>
    <col min="3066" max="3066" width="14.44140625" style="137" customWidth="1"/>
    <col min="3067" max="3067" width="11.88671875" style="137" customWidth="1"/>
    <col min="3068" max="3068" width="14.109375" style="137" customWidth="1"/>
    <col min="3069" max="3069" width="13.88671875" style="137" customWidth="1"/>
    <col min="3070" max="3071" width="12.77734375" style="137" customWidth="1"/>
    <col min="3072" max="3072" width="13.5546875" style="137" customWidth="1"/>
    <col min="3073" max="3073" width="15.33203125" style="137" customWidth="1"/>
    <col min="3074" max="3074" width="12.77734375" style="137" customWidth="1"/>
    <col min="3075" max="3075" width="13.88671875" style="137" customWidth="1"/>
    <col min="3076" max="3076" width="1.88671875" style="137" customWidth="1"/>
    <col min="3077" max="3077" width="13" style="137" customWidth="1"/>
    <col min="3078" max="3317" width="8.77734375" style="137"/>
    <col min="3318" max="3318" width="6" style="137" customWidth="1"/>
    <col min="3319" max="3319" width="1.44140625" style="137" customWidth="1"/>
    <col min="3320" max="3320" width="39.109375" style="137" customWidth="1"/>
    <col min="3321" max="3321" width="12" style="137" customWidth="1"/>
    <col min="3322" max="3322" width="14.44140625" style="137" customWidth="1"/>
    <col min="3323" max="3323" width="11.88671875" style="137" customWidth="1"/>
    <col min="3324" max="3324" width="14.109375" style="137" customWidth="1"/>
    <col min="3325" max="3325" width="13.88671875" style="137" customWidth="1"/>
    <col min="3326" max="3327" width="12.77734375" style="137" customWidth="1"/>
    <col min="3328" max="3328" width="13.5546875" style="137" customWidth="1"/>
    <col min="3329" max="3329" width="15.33203125" style="137" customWidth="1"/>
    <col min="3330" max="3330" width="12.77734375" style="137" customWidth="1"/>
    <col min="3331" max="3331" width="13.88671875" style="137" customWidth="1"/>
    <col min="3332" max="3332" width="1.88671875" style="137" customWidth="1"/>
    <col min="3333" max="3333" width="13" style="137" customWidth="1"/>
    <col min="3334" max="3573" width="8.77734375" style="137"/>
    <col min="3574" max="3574" width="6" style="137" customWidth="1"/>
    <col min="3575" max="3575" width="1.44140625" style="137" customWidth="1"/>
    <col min="3576" max="3576" width="39.109375" style="137" customWidth="1"/>
    <col min="3577" max="3577" width="12" style="137" customWidth="1"/>
    <col min="3578" max="3578" width="14.44140625" style="137" customWidth="1"/>
    <col min="3579" max="3579" width="11.88671875" style="137" customWidth="1"/>
    <col min="3580" max="3580" width="14.109375" style="137" customWidth="1"/>
    <col min="3581" max="3581" width="13.88671875" style="137" customWidth="1"/>
    <col min="3582" max="3583" width="12.77734375" style="137" customWidth="1"/>
    <col min="3584" max="3584" width="13.5546875" style="137" customWidth="1"/>
    <col min="3585" max="3585" width="15.33203125" style="137" customWidth="1"/>
    <col min="3586" max="3586" width="12.77734375" style="137" customWidth="1"/>
    <col min="3587" max="3587" width="13.88671875" style="137" customWidth="1"/>
    <col min="3588" max="3588" width="1.88671875" style="137" customWidth="1"/>
    <col min="3589" max="3589" width="13" style="137" customWidth="1"/>
    <col min="3590" max="3829" width="8.77734375" style="137"/>
    <col min="3830" max="3830" width="6" style="137" customWidth="1"/>
    <col min="3831" max="3831" width="1.44140625" style="137" customWidth="1"/>
    <col min="3832" max="3832" width="39.109375" style="137" customWidth="1"/>
    <col min="3833" max="3833" width="12" style="137" customWidth="1"/>
    <col min="3834" max="3834" width="14.44140625" style="137" customWidth="1"/>
    <col min="3835" max="3835" width="11.88671875" style="137" customWidth="1"/>
    <col min="3836" max="3836" width="14.109375" style="137" customWidth="1"/>
    <col min="3837" max="3837" width="13.88671875" style="137" customWidth="1"/>
    <col min="3838" max="3839" width="12.77734375" style="137" customWidth="1"/>
    <col min="3840" max="3840" width="13.5546875" style="137" customWidth="1"/>
    <col min="3841" max="3841" width="15.33203125" style="137" customWidth="1"/>
    <col min="3842" max="3842" width="12.77734375" style="137" customWidth="1"/>
    <col min="3843" max="3843" width="13.88671875" style="137" customWidth="1"/>
    <col min="3844" max="3844" width="1.88671875" style="137" customWidth="1"/>
    <col min="3845" max="3845" width="13" style="137" customWidth="1"/>
    <col min="3846" max="4085" width="8.77734375" style="137"/>
    <col min="4086" max="4086" width="6" style="137" customWidth="1"/>
    <col min="4087" max="4087" width="1.44140625" style="137" customWidth="1"/>
    <col min="4088" max="4088" width="39.109375" style="137" customWidth="1"/>
    <col min="4089" max="4089" width="12" style="137" customWidth="1"/>
    <col min="4090" max="4090" width="14.44140625" style="137" customWidth="1"/>
    <col min="4091" max="4091" width="11.88671875" style="137" customWidth="1"/>
    <col min="4092" max="4092" width="14.109375" style="137" customWidth="1"/>
    <col min="4093" max="4093" width="13.88671875" style="137" customWidth="1"/>
    <col min="4094" max="4095" width="12.77734375" style="137" customWidth="1"/>
    <col min="4096" max="4096" width="13.5546875" style="137" customWidth="1"/>
    <col min="4097" max="4097" width="15.33203125" style="137" customWidth="1"/>
    <col min="4098" max="4098" width="12.77734375" style="137" customWidth="1"/>
    <col min="4099" max="4099" width="13.88671875" style="137" customWidth="1"/>
    <col min="4100" max="4100" width="1.88671875" style="137" customWidth="1"/>
    <col min="4101" max="4101" width="13" style="137" customWidth="1"/>
    <col min="4102" max="4341" width="8.77734375" style="137"/>
    <col min="4342" max="4342" width="6" style="137" customWidth="1"/>
    <col min="4343" max="4343" width="1.44140625" style="137" customWidth="1"/>
    <col min="4344" max="4344" width="39.109375" style="137" customWidth="1"/>
    <col min="4345" max="4345" width="12" style="137" customWidth="1"/>
    <col min="4346" max="4346" width="14.44140625" style="137" customWidth="1"/>
    <col min="4347" max="4347" width="11.88671875" style="137" customWidth="1"/>
    <col min="4348" max="4348" width="14.109375" style="137" customWidth="1"/>
    <col min="4349" max="4349" width="13.88671875" style="137" customWidth="1"/>
    <col min="4350" max="4351" width="12.77734375" style="137" customWidth="1"/>
    <col min="4352" max="4352" width="13.5546875" style="137" customWidth="1"/>
    <col min="4353" max="4353" width="15.33203125" style="137" customWidth="1"/>
    <col min="4354" max="4354" width="12.77734375" style="137" customWidth="1"/>
    <col min="4355" max="4355" width="13.88671875" style="137" customWidth="1"/>
    <col min="4356" max="4356" width="1.88671875" style="137" customWidth="1"/>
    <col min="4357" max="4357" width="13" style="137" customWidth="1"/>
    <col min="4358" max="4597" width="8.77734375" style="137"/>
    <col min="4598" max="4598" width="6" style="137" customWidth="1"/>
    <col min="4599" max="4599" width="1.44140625" style="137" customWidth="1"/>
    <col min="4600" max="4600" width="39.109375" style="137" customWidth="1"/>
    <col min="4601" max="4601" width="12" style="137" customWidth="1"/>
    <col min="4602" max="4602" width="14.44140625" style="137" customWidth="1"/>
    <col min="4603" max="4603" width="11.88671875" style="137" customWidth="1"/>
    <col min="4604" max="4604" width="14.109375" style="137" customWidth="1"/>
    <col min="4605" max="4605" width="13.88671875" style="137" customWidth="1"/>
    <col min="4606" max="4607" width="12.77734375" style="137" customWidth="1"/>
    <col min="4608" max="4608" width="13.5546875" style="137" customWidth="1"/>
    <col min="4609" max="4609" width="15.33203125" style="137" customWidth="1"/>
    <col min="4610" max="4610" width="12.77734375" style="137" customWidth="1"/>
    <col min="4611" max="4611" width="13.88671875" style="137" customWidth="1"/>
    <col min="4612" max="4612" width="1.88671875" style="137" customWidth="1"/>
    <col min="4613" max="4613" width="13" style="137" customWidth="1"/>
    <col min="4614" max="4853" width="8.77734375" style="137"/>
    <col min="4854" max="4854" width="6" style="137" customWidth="1"/>
    <col min="4855" max="4855" width="1.44140625" style="137" customWidth="1"/>
    <col min="4856" max="4856" width="39.109375" style="137" customWidth="1"/>
    <col min="4857" max="4857" width="12" style="137" customWidth="1"/>
    <col min="4858" max="4858" width="14.44140625" style="137" customWidth="1"/>
    <col min="4859" max="4859" width="11.88671875" style="137" customWidth="1"/>
    <col min="4860" max="4860" width="14.109375" style="137" customWidth="1"/>
    <col min="4861" max="4861" width="13.88671875" style="137" customWidth="1"/>
    <col min="4862" max="4863" width="12.77734375" style="137" customWidth="1"/>
    <col min="4864" max="4864" width="13.5546875" style="137" customWidth="1"/>
    <col min="4865" max="4865" width="15.33203125" style="137" customWidth="1"/>
    <col min="4866" max="4866" width="12.77734375" style="137" customWidth="1"/>
    <col min="4867" max="4867" width="13.88671875" style="137" customWidth="1"/>
    <col min="4868" max="4868" width="1.88671875" style="137" customWidth="1"/>
    <col min="4869" max="4869" width="13" style="137" customWidth="1"/>
    <col min="4870" max="5109" width="8.77734375" style="137"/>
    <col min="5110" max="5110" width="6" style="137" customWidth="1"/>
    <col min="5111" max="5111" width="1.44140625" style="137" customWidth="1"/>
    <col min="5112" max="5112" width="39.109375" style="137" customWidth="1"/>
    <col min="5113" max="5113" width="12" style="137" customWidth="1"/>
    <col min="5114" max="5114" width="14.44140625" style="137" customWidth="1"/>
    <col min="5115" max="5115" width="11.88671875" style="137" customWidth="1"/>
    <col min="5116" max="5116" width="14.109375" style="137" customWidth="1"/>
    <col min="5117" max="5117" width="13.88671875" style="137" customWidth="1"/>
    <col min="5118" max="5119" width="12.77734375" style="137" customWidth="1"/>
    <col min="5120" max="5120" width="13.5546875" style="137" customWidth="1"/>
    <col min="5121" max="5121" width="15.33203125" style="137" customWidth="1"/>
    <col min="5122" max="5122" width="12.77734375" style="137" customWidth="1"/>
    <col min="5123" max="5123" width="13.88671875" style="137" customWidth="1"/>
    <col min="5124" max="5124" width="1.88671875" style="137" customWidth="1"/>
    <col min="5125" max="5125" width="13" style="137" customWidth="1"/>
    <col min="5126" max="5365" width="8.77734375" style="137"/>
    <col min="5366" max="5366" width="6" style="137" customWidth="1"/>
    <col min="5367" max="5367" width="1.44140625" style="137" customWidth="1"/>
    <col min="5368" max="5368" width="39.109375" style="137" customWidth="1"/>
    <col min="5369" max="5369" width="12" style="137" customWidth="1"/>
    <col min="5370" max="5370" width="14.44140625" style="137" customWidth="1"/>
    <col min="5371" max="5371" width="11.88671875" style="137" customWidth="1"/>
    <col min="5372" max="5372" width="14.109375" style="137" customWidth="1"/>
    <col min="5373" max="5373" width="13.88671875" style="137" customWidth="1"/>
    <col min="5374" max="5375" width="12.77734375" style="137" customWidth="1"/>
    <col min="5376" max="5376" width="13.5546875" style="137" customWidth="1"/>
    <col min="5377" max="5377" width="15.33203125" style="137" customWidth="1"/>
    <col min="5378" max="5378" width="12.77734375" style="137" customWidth="1"/>
    <col min="5379" max="5379" width="13.88671875" style="137" customWidth="1"/>
    <col min="5380" max="5380" width="1.88671875" style="137" customWidth="1"/>
    <col min="5381" max="5381" width="13" style="137" customWidth="1"/>
    <col min="5382" max="5621" width="8.77734375" style="137"/>
    <col min="5622" max="5622" width="6" style="137" customWidth="1"/>
    <col min="5623" max="5623" width="1.44140625" style="137" customWidth="1"/>
    <col min="5624" max="5624" width="39.109375" style="137" customWidth="1"/>
    <col min="5625" max="5625" width="12" style="137" customWidth="1"/>
    <col min="5626" max="5626" width="14.44140625" style="137" customWidth="1"/>
    <col min="5627" max="5627" width="11.88671875" style="137" customWidth="1"/>
    <col min="5628" max="5628" width="14.109375" style="137" customWidth="1"/>
    <col min="5629" max="5629" width="13.88671875" style="137" customWidth="1"/>
    <col min="5630" max="5631" width="12.77734375" style="137" customWidth="1"/>
    <col min="5632" max="5632" width="13.5546875" style="137" customWidth="1"/>
    <col min="5633" max="5633" width="15.33203125" style="137" customWidth="1"/>
    <col min="5634" max="5634" width="12.77734375" style="137" customWidth="1"/>
    <col min="5635" max="5635" width="13.88671875" style="137" customWidth="1"/>
    <col min="5636" max="5636" width="1.88671875" style="137" customWidth="1"/>
    <col min="5637" max="5637" width="13" style="137" customWidth="1"/>
    <col min="5638" max="5877" width="8.77734375" style="137"/>
    <col min="5878" max="5878" width="6" style="137" customWidth="1"/>
    <col min="5879" max="5879" width="1.44140625" style="137" customWidth="1"/>
    <col min="5880" max="5880" width="39.109375" style="137" customWidth="1"/>
    <col min="5881" max="5881" width="12" style="137" customWidth="1"/>
    <col min="5882" max="5882" width="14.44140625" style="137" customWidth="1"/>
    <col min="5883" max="5883" width="11.88671875" style="137" customWidth="1"/>
    <col min="5884" max="5884" width="14.109375" style="137" customWidth="1"/>
    <col min="5885" max="5885" width="13.88671875" style="137" customWidth="1"/>
    <col min="5886" max="5887" width="12.77734375" style="137" customWidth="1"/>
    <col min="5888" max="5888" width="13.5546875" style="137" customWidth="1"/>
    <col min="5889" max="5889" width="15.33203125" style="137" customWidth="1"/>
    <col min="5890" max="5890" width="12.77734375" style="137" customWidth="1"/>
    <col min="5891" max="5891" width="13.88671875" style="137" customWidth="1"/>
    <col min="5892" max="5892" width="1.88671875" style="137" customWidth="1"/>
    <col min="5893" max="5893" width="13" style="137" customWidth="1"/>
    <col min="5894" max="6133" width="8.77734375" style="137"/>
    <col min="6134" max="6134" width="6" style="137" customWidth="1"/>
    <col min="6135" max="6135" width="1.44140625" style="137" customWidth="1"/>
    <col min="6136" max="6136" width="39.109375" style="137" customWidth="1"/>
    <col min="6137" max="6137" width="12" style="137" customWidth="1"/>
    <col min="6138" max="6138" width="14.44140625" style="137" customWidth="1"/>
    <col min="6139" max="6139" width="11.88671875" style="137" customWidth="1"/>
    <col min="6140" max="6140" width="14.109375" style="137" customWidth="1"/>
    <col min="6141" max="6141" width="13.88671875" style="137" customWidth="1"/>
    <col min="6142" max="6143" width="12.77734375" style="137" customWidth="1"/>
    <col min="6144" max="6144" width="13.5546875" style="137" customWidth="1"/>
    <col min="6145" max="6145" width="15.33203125" style="137" customWidth="1"/>
    <col min="6146" max="6146" width="12.77734375" style="137" customWidth="1"/>
    <col min="6147" max="6147" width="13.88671875" style="137" customWidth="1"/>
    <col min="6148" max="6148" width="1.88671875" style="137" customWidth="1"/>
    <col min="6149" max="6149" width="13" style="137" customWidth="1"/>
    <col min="6150" max="6389" width="8.77734375" style="137"/>
    <col min="6390" max="6390" width="6" style="137" customWidth="1"/>
    <col min="6391" max="6391" width="1.44140625" style="137" customWidth="1"/>
    <col min="6392" max="6392" width="39.109375" style="137" customWidth="1"/>
    <col min="6393" max="6393" width="12" style="137" customWidth="1"/>
    <col min="6394" max="6394" width="14.44140625" style="137" customWidth="1"/>
    <col min="6395" max="6395" width="11.88671875" style="137" customWidth="1"/>
    <col min="6396" max="6396" width="14.109375" style="137" customWidth="1"/>
    <col min="6397" max="6397" width="13.88671875" style="137" customWidth="1"/>
    <col min="6398" max="6399" width="12.77734375" style="137" customWidth="1"/>
    <col min="6400" max="6400" width="13.5546875" style="137" customWidth="1"/>
    <col min="6401" max="6401" width="15.33203125" style="137" customWidth="1"/>
    <col min="6402" max="6402" width="12.77734375" style="137" customWidth="1"/>
    <col min="6403" max="6403" width="13.88671875" style="137" customWidth="1"/>
    <col min="6404" max="6404" width="1.88671875" style="137" customWidth="1"/>
    <col min="6405" max="6405" width="13" style="137" customWidth="1"/>
    <col min="6406" max="6645" width="8.77734375" style="137"/>
    <col min="6646" max="6646" width="6" style="137" customWidth="1"/>
    <col min="6647" max="6647" width="1.44140625" style="137" customWidth="1"/>
    <col min="6648" max="6648" width="39.109375" style="137" customWidth="1"/>
    <col min="6649" max="6649" width="12" style="137" customWidth="1"/>
    <col min="6650" max="6650" width="14.44140625" style="137" customWidth="1"/>
    <col min="6651" max="6651" width="11.88671875" style="137" customWidth="1"/>
    <col min="6652" max="6652" width="14.109375" style="137" customWidth="1"/>
    <col min="6653" max="6653" width="13.88671875" style="137" customWidth="1"/>
    <col min="6654" max="6655" width="12.77734375" style="137" customWidth="1"/>
    <col min="6656" max="6656" width="13.5546875" style="137" customWidth="1"/>
    <col min="6657" max="6657" width="15.33203125" style="137" customWidth="1"/>
    <col min="6658" max="6658" width="12.77734375" style="137" customWidth="1"/>
    <col min="6659" max="6659" width="13.88671875" style="137" customWidth="1"/>
    <col min="6660" max="6660" width="1.88671875" style="137" customWidth="1"/>
    <col min="6661" max="6661" width="13" style="137" customWidth="1"/>
    <col min="6662" max="6901" width="8.77734375" style="137"/>
    <col min="6902" max="6902" width="6" style="137" customWidth="1"/>
    <col min="6903" max="6903" width="1.44140625" style="137" customWidth="1"/>
    <col min="6904" max="6904" width="39.109375" style="137" customWidth="1"/>
    <col min="6905" max="6905" width="12" style="137" customWidth="1"/>
    <col min="6906" max="6906" width="14.44140625" style="137" customWidth="1"/>
    <col min="6907" max="6907" width="11.88671875" style="137" customWidth="1"/>
    <col min="6908" max="6908" width="14.109375" style="137" customWidth="1"/>
    <col min="6909" max="6909" width="13.88671875" style="137" customWidth="1"/>
    <col min="6910" max="6911" width="12.77734375" style="137" customWidth="1"/>
    <col min="6912" max="6912" width="13.5546875" style="137" customWidth="1"/>
    <col min="6913" max="6913" width="15.33203125" style="137" customWidth="1"/>
    <col min="6914" max="6914" width="12.77734375" style="137" customWidth="1"/>
    <col min="6915" max="6915" width="13.88671875" style="137" customWidth="1"/>
    <col min="6916" max="6916" width="1.88671875" style="137" customWidth="1"/>
    <col min="6917" max="6917" width="13" style="137" customWidth="1"/>
    <col min="6918" max="7157" width="8.77734375" style="137"/>
    <col min="7158" max="7158" width="6" style="137" customWidth="1"/>
    <col min="7159" max="7159" width="1.44140625" style="137" customWidth="1"/>
    <col min="7160" max="7160" width="39.109375" style="137" customWidth="1"/>
    <col min="7161" max="7161" width="12" style="137" customWidth="1"/>
    <col min="7162" max="7162" width="14.44140625" style="137" customWidth="1"/>
    <col min="7163" max="7163" width="11.88671875" style="137" customWidth="1"/>
    <col min="7164" max="7164" width="14.109375" style="137" customWidth="1"/>
    <col min="7165" max="7165" width="13.88671875" style="137" customWidth="1"/>
    <col min="7166" max="7167" width="12.77734375" style="137" customWidth="1"/>
    <col min="7168" max="7168" width="13.5546875" style="137" customWidth="1"/>
    <col min="7169" max="7169" width="15.33203125" style="137" customWidth="1"/>
    <col min="7170" max="7170" width="12.77734375" style="137" customWidth="1"/>
    <col min="7171" max="7171" width="13.88671875" style="137" customWidth="1"/>
    <col min="7172" max="7172" width="1.88671875" style="137" customWidth="1"/>
    <col min="7173" max="7173" width="13" style="137" customWidth="1"/>
    <col min="7174" max="7413" width="8.77734375" style="137"/>
    <col min="7414" max="7414" width="6" style="137" customWidth="1"/>
    <col min="7415" max="7415" width="1.44140625" style="137" customWidth="1"/>
    <col min="7416" max="7416" width="39.109375" style="137" customWidth="1"/>
    <col min="7417" max="7417" width="12" style="137" customWidth="1"/>
    <col min="7418" max="7418" width="14.44140625" style="137" customWidth="1"/>
    <col min="7419" max="7419" width="11.88671875" style="137" customWidth="1"/>
    <col min="7420" max="7420" width="14.109375" style="137" customWidth="1"/>
    <col min="7421" max="7421" width="13.88671875" style="137" customWidth="1"/>
    <col min="7422" max="7423" width="12.77734375" style="137" customWidth="1"/>
    <col min="7424" max="7424" width="13.5546875" style="137" customWidth="1"/>
    <col min="7425" max="7425" width="15.33203125" style="137" customWidth="1"/>
    <col min="7426" max="7426" width="12.77734375" style="137" customWidth="1"/>
    <col min="7427" max="7427" width="13.88671875" style="137" customWidth="1"/>
    <col min="7428" max="7428" width="1.88671875" style="137" customWidth="1"/>
    <col min="7429" max="7429" width="13" style="137" customWidth="1"/>
    <col min="7430" max="7669" width="8.77734375" style="137"/>
    <col min="7670" max="7670" width="6" style="137" customWidth="1"/>
    <col min="7671" max="7671" width="1.44140625" style="137" customWidth="1"/>
    <col min="7672" max="7672" width="39.109375" style="137" customWidth="1"/>
    <col min="7673" max="7673" width="12" style="137" customWidth="1"/>
    <col min="7674" max="7674" width="14.44140625" style="137" customWidth="1"/>
    <col min="7675" max="7675" width="11.88671875" style="137" customWidth="1"/>
    <col min="7676" max="7676" width="14.109375" style="137" customWidth="1"/>
    <col min="7677" max="7677" width="13.88671875" style="137" customWidth="1"/>
    <col min="7678" max="7679" width="12.77734375" style="137" customWidth="1"/>
    <col min="7680" max="7680" width="13.5546875" style="137" customWidth="1"/>
    <col min="7681" max="7681" width="15.33203125" style="137" customWidth="1"/>
    <col min="7682" max="7682" width="12.77734375" style="137" customWidth="1"/>
    <col min="7683" max="7683" width="13.88671875" style="137" customWidth="1"/>
    <col min="7684" max="7684" width="1.88671875" style="137" customWidth="1"/>
    <col min="7685" max="7685" width="13" style="137" customWidth="1"/>
    <col min="7686" max="7925" width="8.77734375" style="137"/>
    <col min="7926" max="7926" width="6" style="137" customWidth="1"/>
    <col min="7927" max="7927" width="1.44140625" style="137" customWidth="1"/>
    <col min="7928" max="7928" width="39.109375" style="137" customWidth="1"/>
    <col min="7929" max="7929" width="12" style="137" customWidth="1"/>
    <col min="7930" max="7930" width="14.44140625" style="137" customWidth="1"/>
    <col min="7931" max="7931" width="11.88671875" style="137" customWidth="1"/>
    <col min="7932" max="7932" width="14.109375" style="137" customWidth="1"/>
    <col min="7933" max="7933" width="13.88671875" style="137" customWidth="1"/>
    <col min="7934" max="7935" width="12.77734375" style="137" customWidth="1"/>
    <col min="7936" max="7936" width="13.5546875" style="137" customWidth="1"/>
    <col min="7937" max="7937" width="15.33203125" style="137" customWidth="1"/>
    <col min="7938" max="7938" width="12.77734375" style="137" customWidth="1"/>
    <col min="7939" max="7939" width="13.88671875" style="137" customWidth="1"/>
    <col min="7940" max="7940" width="1.88671875" style="137" customWidth="1"/>
    <col min="7941" max="7941" width="13" style="137" customWidth="1"/>
    <col min="7942" max="8181" width="8.77734375" style="137"/>
    <col min="8182" max="8182" width="6" style="137" customWidth="1"/>
    <col min="8183" max="8183" width="1.44140625" style="137" customWidth="1"/>
    <col min="8184" max="8184" width="39.109375" style="137" customWidth="1"/>
    <col min="8185" max="8185" width="12" style="137" customWidth="1"/>
    <col min="8186" max="8186" width="14.44140625" style="137" customWidth="1"/>
    <col min="8187" max="8187" width="11.88671875" style="137" customWidth="1"/>
    <col min="8188" max="8188" width="14.109375" style="137" customWidth="1"/>
    <col min="8189" max="8189" width="13.88671875" style="137" customWidth="1"/>
    <col min="8190" max="8191" width="12.77734375" style="137" customWidth="1"/>
    <col min="8192" max="8192" width="13.5546875" style="137" customWidth="1"/>
    <col min="8193" max="8193" width="15.33203125" style="137" customWidth="1"/>
    <col min="8194" max="8194" width="12.77734375" style="137" customWidth="1"/>
    <col min="8195" max="8195" width="13.88671875" style="137" customWidth="1"/>
    <col min="8196" max="8196" width="1.88671875" style="137" customWidth="1"/>
    <col min="8197" max="8197" width="13" style="137" customWidth="1"/>
    <col min="8198" max="8437" width="8.77734375" style="137"/>
    <col min="8438" max="8438" width="6" style="137" customWidth="1"/>
    <col min="8439" max="8439" width="1.44140625" style="137" customWidth="1"/>
    <col min="8440" max="8440" width="39.109375" style="137" customWidth="1"/>
    <col min="8441" max="8441" width="12" style="137" customWidth="1"/>
    <col min="8442" max="8442" width="14.44140625" style="137" customWidth="1"/>
    <col min="8443" max="8443" width="11.88671875" style="137" customWidth="1"/>
    <col min="8444" max="8444" width="14.109375" style="137" customWidth="1"/>
    <col min="8445" max="8445" width="13.88671875" style="137" customWidth="1"/>
    <col min="8446" max="8447" width="12.77734375" style="137" customWidth="1"/>
    <col min="8448" max="8448" width="13.5546875" style="137" customWidth="1"/>
    <col min="8449" max="8449" width="15.33203125" style="137" customWidth="1"/>
    <col min="8450" max="8450" width="12.77734375" style="137" customWidth="1"/>
    <col min="8451" max="8451" width="13.88671875" style="137" customWidth="1"/>
    <col min="8452" max="8452" width="1.88671875" style="137" customWidth="1"/>
    <col min="8453" max="8453" width="13" style="137" customWidth="1"/>
    <col min="8454" max="8693" width="8.77734375" style="137"/>
    <col min="8694" max="8694" width="6" style="137" customWidth="1"/>
    <col min="8695" max="8695" width="1.44140625" style="137" customWidth="1"/>
    <col min="8696" max="8696" width="39.109375" style="137" customWidth="1"/>
    <col min="8697" max="8697" width="12" style="137" customWidth="1"/>
    <col min="8698" max="8698" width="14.44140625" style="137" customWidth="1"/>
    <col min="8699" max="8699" width="11.88671875" style="137" customWidth="1"/>
    <col min="8700" max="8700" width="14.109375" style="137" customWidth="1"/>
    <col min="8701" max="8701" width="13.88671875" style="137" customWidth="1"/>
    <col min="8702" max="8703" width="12.77734375" style="137" customWidth="1"/>
    <col min="8704" max="8704" width="13.5546875" style="137" customWidth="1"/>
    <col min="8705" max="8705" width="15.33203125" style="137" customWidth="1"/>
    <col min="8706" max="8706" width="12.77734375" style="137" customWidth="1"/>
    <col min="8707" max="8707" width="13.88671875" style="137" customWidth="1"/>
    <col min="8708" max="8708" width="1.88671875" style="137" customWidth="1"/>
    <col min="8709" max="8709" width="13" style="137" customWidth="1"/>
    <col min="8710" max="8949" width="8.77734375" style="137"/>
    <col min="8950" max="8950" width="6" style="137" customWidth="1"/>
    <col min="8951" max="8951" width="1.44140625" style="137" customWidth="1"/>
    <col min="8952" max="8952" width="39.109375" style="137" customWidth="1"/>
    <col min="8953" max="8953" width="12" style="137" customWidth="1"/>
    <col min="8954" max="8954" width="14.44140625" style="137" customWidth="1"/>
    <col min="8955" max="8955" width="11.88671875" style="137" customWidth="1"/>
    <col min="8956" max="8956" width="14.109375" style="137" customWidth="1"/>
    <col min="8957" max="8957" width="13.88671875" style="137" customWidth="1"/>
    <col min="8958" max="8959" width="12.77734375" style="137" customWidth="1"/>
    <col min="8960" max="8960" width="13.5546875" style="137" customWidth="1"/>
    <col min="8961" max="8961" width="15.33203125" style="137" customWidth="1"/>
    <col min="8962" max="8962" width="12.77734375" style="137" customWidth="1"/>
    <col min="8963" max="8963" width="13.88671875" style="137" customWidth="1"/>
    <col min="8964" max="8964" width="1.88671875" style="137" customWidth="1"/>
    <col min="8965" max="8965" width="13" style="137" customWidth="1"/>
    <col min="8966" max="9205" width="8.77734375" style="137"/>
    <col min="9206" max="9206" width="6" style="137" customWidth="1"/>
    <col min="9207" max="9207" width="1.44140625" style="137" customWidth="1"/>
    <col min="9208" max="9208" width="39.109375" style="137" customWidth="1"/>
    <col min="9209" max="9209" width="12" style="137" customWidth="1"/>
    <col min="9210" max="9210" width="14.44140625" style="137" customWidth="1"/>
    <col min="9211" max="9211" width="11.88671875" style="137" customWidth="1"/>
    <col min="9212" max="9212" width="14.109375" style="137" customWidth="1"/>
    <col min="9213" max="9213" width="13.88671875" style="137" customWidth="1"/>
    <col min="9214" max="9215" width="12.77734375" style="137" customWidth="1"/>
    <col min="9216" max="9216" width="13.5546875" style="137" customWidth="1"/>
    <col min="9217" max="9217" width="15.33203125" style="137" customWidth="1"/>
    <col min="9218" max="9218" width="12.77734375" style="137" customWidth="1"/>
    <col min="9219" max="9219" width="13.88671875" style="137" customWidth="1"/>
    <col min="9220" max="9220" width="1.88671875" style="137" customWidth="1"/>
    <col min="9221" max="9221" width="13" style="137" customWidth="1"/>
    <col min="9222" max="9461" width="8.77734375" style="137"/>
    <col min="9462" max="9462" width="6" style="137" customWidth="1"/>
    <col min="9463" max="9463" width="1.44140625" style="137" customWidth="1"/>
    <col min="9464" max="9464" width="39.109375" style="137" customWidth="1"/>
    <col min="9465" max="9465" width="12" style="137" customWidth="1"/>
    <col min="9466" max="9466" width="14.44140625" style="137" customWidth="1"/>
    <col min="9467" max="9467" width="11.88671875" style="137" customWidth="1"/>
    <col min="9468" max="9468" width="14.109375" style="137" customWidth="1"/>
    <col min="9469" max="9469" width="13.88671875" style="137" customWidth="1"/>
    <col min="9470" max="9471" width="12.77734375" style="137" customWidth="1"/>
    <col min="9472" max="9472" width="13.5546875" style="137" customWidth="1"/>
    <col min="9473" max="9473" width="15.33203125" style="137" customWidth="1"/>
    <col min="9474" max="9474" width="12.77734375" style="137" customWidth="1"/>
    <col min="9475" max="9475" width="13.88671875" style="137" customWidth="1"/>
    <col min="9476" max="9476" width="1.88671875" style="137" customWidth="1"/>
    <col min="9477" max="9477" width="13" style="137" customWidth="1"/>
    <col min="9478" max="9717" width="8.77734375" style="137"/>
    <col min="9718" max="9718" width="6" style="137" customWidth="1"/>
    <col min="9719" max="9719" width="1.44140625" style="137" customWidth="1"/>
    <col min="9720" max="9720" width="39.109375" style="137" customWidth="1"/>
    <col min="9721" max="9721" width="12" style="137" customWidth="1"/>
    <col min="9722" max="9722" width="14.44140625" style="137" customWidth="1"/>
    <col min="9723" max="9723" width="11.88671875" style="137" customWidth="1"/>
    <col min="9724" max="9724" width="14.109375" style="137" customWidth="1"/>
    <col min="9725" max="9725" width="13.88671875" style="137" customWidth="1"/>
    <col min="9726" max="9727" width="12.77734375" style="137" customWidth="1"/>
    <col min="9728" max="9728" width="13.5546875" style="137" customWidth="1"/>
    <col min="9729" max="9729" width="15.33203125" style="137" customWidth="1"/>
    <col min="9730" max="9730" width="12.77734375" style="137" customWidth="1"/>
    <col min="9731" max="9731" width="13.88671875" style="137" customWidth="1"/>
    <col min="9732" max="9732" width="1.88671875" style="137" customWidth="1"/>
    <col min="9733" max="9733" width="13" style="137" customWidth="1"/>
    <col min="9734" max="9973" width="8.77734375" style="137"/>
    <col min="9974" max="9974" width="6" style="137" customWidth="1"/>
    <col min="9975" max="9975" width="1.44140625" style="137" customWidth="1"/>
    <col min="9976" max="9976" width="39.109375" style="137" customWidth="1"/>
    <col min="9977" max="9977" width="12" style="137" customWidth="1"/>
    <col min="9978" max="9978" width="14.44140625" style="137" customWidth="1"/>
    <col min="9979" max="9979" width="11.88671875" style="137" customWidth="1"/>
    <col min="9980" max="9980" width="14.109375" style="137" customWidth="1"/>
    <col min="9981" max="9981" width="13.88671875" style="137" customWidth="1"/>
    <col min="9982" max="9983" width="12.77734375" style="137" customWidth="1"/>
    <col min="9984" max="9984" width="13.5546875" style="137" customWidth="1"/>
    <col min="9985" max="9985" width="15.33203125" style="137" customWidth="1"/>
    <col min="9986" max="9986" width="12.77734375" style="137" customWidth="1"/>
    <col min="9987" max="9987" width="13.88671875" style="137" customWidth="1"/>
    <col min="9988" max="9988" width="1.88671875" style="137" customWidth="1"/>
    <col min="9989" max="9989" width="13" style="137" customWidth="1"/>
    <col min="9990" max="10229" width="8.77734375" style="137"/>
    <col min="10230" max="10230" width="6" style="137" customWidth="1"/>
    <col min="10231" max="10231" width="1.44140625" style="137" customWidth="1"/>
    <col min="10232" max="10232" width="39.109375" style="137" customWidth="1"/>
    <col min="10233" max="10233" width="12" style="137" customWidth="1"/>
    <col min="10234" max="10234" width="14.44140625" style="137" customWidth="1"/>
    <col min="10235" max="10235" width="11.88671875" style="137" customWidth="1"/>
    <col min="10236" max="10236" width="14.109375" style="137" customWidth="1"/>
    <col min="10237" max="10237" width="13.88671875" style="137" customWidth="1"/>
    <col min="10238" max="10239" width="12.77734375" style="137" customWidth="1"/>
    <col min="10240" max="10240" width="13.5546875" style="137" customWidth="1"/>
    <col min="10241" max="10241" width="15.33203125" style="137" customWidth="1"/>
    <col min="10242" max="10242" width="12.77734375" style="137" customWidth="1"/>
    <col min="10243" max="10243" width="13.88671875" style="137" customWidth="1"/>
    <col min="10244" max="10244" width="1.88671875" style="137" customWidth="1"/>
    <col min="10245" max="10245" width="13" style="137" customWidth="1"/>
    <col min="10246" max="10485" width="8.77734375" style="137"/>
    <col min="10486" max="10486" width="6" style="137" customWidth="1"/>
    <col min="10487" max="10487" width="1.44140625" style="137" customWidth="1"/>
    <col min="10488" max="10488" width="39.109375" style="137" customWidth="1"/>
    <col min="10489" max="10489" width="12" style="137" customWidth="1"/>
    <col min="10490" max="10490" width="14.44140625" style="137" customWidth="1"/>
    <col min="10491" max="10491" width="11.88671875" style="137" customWidth="1"/>
    <col min="10492" max="10492" width="14.109375" style="137" customWidth="1"/>
    <col min="10493" max="10493" width="13.88671875" style="137" customWidth="1"/>
    <col min="10494" max="10495" width="12.77734375" style="137" customWidth="1"/>
    <col min="10496" max="10496" width="13.5546875" style="137" customWidth="1"/>
    <col min="10497" max="10497" width="15.33203125" style="137" customWidth="1"/>
    <col min="10498" max="10498" width="12.77734375" style="137" customWidth="1"/>
    <col min="10499" max="10499" width="13.88671875" style="137" customWidth="1"/>
    <col min="10500" max="10500" width="1.88671875" style="137" customWidth="1"/>
    <col min="10501" max="10501" width="13" style="137" customWidth="1"/>
    <col min="10502" max="10741" width="8.77734375" style="137"/>
    <col min="10742" max="10742" width="6" style="137" customWidth="1"/>
    <col min="10743" max="10743" width="1.44140625" style="137" customWidth="1"/>
    <col min="10744" max="10744" width="39.109375" style="137" customWidth="1"/>
    <col min="10745" max="10745" width="12" style="137" customWidth="1"/>
    <col min="10746" max="10746" width="14.44140625" style="137" customWidth="1"/>
    <col min="10747" max="10747" width="11.88671875" style="137" customWidth="1"/>
    <col min="10748" max="10748" width="14.109375" style="137" customWidth="1"/>
    <col min="10749" max="10749" width="13.88671875" style="137" customWidth="1"/>
    <col min="10750" max="10751" width="12.77734375" style="137" customWidth="1"/>
    <col min="10752" max="10752" width="13.5546875" style="137" customWidth="1"/>
    <col min="10753" max="10753" width="15.33203125" style="137" customWidth="1"/>
    <col min="10754" max="10754" width="12.77734375" style="137" customWidth="1"/>
    <col min="10755" max="10755" width="13.88671875" style="137" customWidth="1"/>
    <col min="10756" max="10756" width="1.88671875" style="137" customWidth="1"/>
    <col min="10757" max="10757" width="13" style="137" customWidth="1"/>
    <col min="10758" max="10997" width="8.77734375" style="137"/>
    <col min="10998" max="10998" width="6" style="137" customWidth="1"/>
    <col min="10999" max="10999" width="1.44140625" style="137" customWidth="1"/>
    <col min="11000" max="11000" width="39.109375" style="137" customWidth="1"/>
    <col min="11001" max="11001" width="12" style="137" customWidth="1"/>
    <col min="11002" max="11002" width="14.44140625" style="137" customWidth="1"/>
    <col min="11003" max="11003" width="11.88671875" style="137" customWidth="1"/>
    <col min="11004" max="11004" width="14.109375" style="137" customWidth="1"/>
    <col min="11005" max="11005" width="13.88671875" style="137" customWidth="1"/>
    <col min="11006" max="11007" width="12.77734375" style="137" customWidth="1"/>
    <col min="11008" max="11008" width="13.5546875" style="137" customWidth="1"/>
    <col min="11009" max="11009" width="15.33203125" style="137" customWidth="1"/>
    <col min="11010" max="11010" width="12.77734375" style="137" customWidth="1"/>
    <col min="11011" max="11011" width="13.88671875" style="137" customWidth="1"/>
    <col min="11012" max="11012" width="1.88671875" style="137" customWidth="1"/>
    <col min="11013" max="11013" width="13" style="137" customWidth="1"/>
    <col min="11014" max="11253" width="8.77734375" style="137"/>
    <col min="11254" max="11254" width="6" style="137" customWidth="1"/>
    <col min="11255" max="11255" width="1.44140625" style="137" customWidth="1"/>
    <col min="11256" max="11256" width="39.109375" style="137" customWidth="1"/>
    <col min="11257" max="11257" width="12" style="137" customWidth="1"/>
    <col min="11258" max="11258" width="14.44140625" style="137" customWidth="1"/>
    <col min="11259" max="11259" width="11.88671875" style="137" customWidth="1"/>
    <col min="11260" max="11260" width="14.109375" style="137" customWidth="1"/>
    <col min="11261" max="11261" width="13.88671875" style="137" customWidth="1"/>
    <col min="11262" max="11263" width="12.77734375" style="137" customWidth="1"/>
    <col min="11264" max="11264" width="13.5546875" style="137" customWidth="1"/>
    <col min="11265" max="11265" width="15.33203125" style="137" customWidth="1"/>
    <col min="11266" max="11266" width="12.77734375" style="137" customWidth="1"/>
    <col min="11267" max="11267" width="13.88671875" style="137" customWidth="1"/>
    <col min="11268" max="11268" width="1.88671875" style="137" customWidth="1"/>
    <col min="11269" max="11269" width="13" style="137" customWidth="1"/>
    <col min="11270" max="11509" width="8.77734375" style="137"/>
    <col min="11510" max="11510" width="6" style="137" customWidth="1"/>
    <col min="11511" max="11511" width="1.44140625" style="137" customWidth="1"/>
    <col min="11512" max="11512" width="39.109375" style="137" customWidth="1"/>
    <col min="11513" max="11513" width="12" style="137" customWidth="1"/>
    <col min="11514" max="11514" width="14.44140625" style="137" customWidth="1"/>
    <col min="11515" max="11515" width="11.88671875" style="137" customWidth="1"/>
    <col min="11516" max="11516" width="14.109375" style="137" customWidth="1"/>
    <col min="11517" max="11517" width="13.88671875" style="137" customWidth="1"/>
    <col min="11518" max="11519" width="12.77734375" style="137" customWidth="1"/>
    <col min="11520" max="11520" width="13.5546875" style="137" customWidth="1"/>
    <col min="11521" max="11521" width="15.33203125" style="137" customWidth="1"/>
    <col min="11522" max="11522" width="12.77734375" style="137" customWidth="1"/>
    <col min="11523" max="11523" width="13.88671875" style="137" customWidth="1"/>
    <col min="11524" max="11524" width="1.88671875" style="137" customWidth="1"/>
    <col min="11525" max="11525" width="13" style="137" customWidth="1"/>
    <col min="11526" max="11765" width="8.77734375" style="137"/>
    <col min="11766" max="11766" width="6" style="137" customWidth="1"/>
    <col min="11767" max="11767" width="1.44140625" style="137" customWidth="1"/>
    <col min="11768" max="11768" width="39.109375" style="137" customWidth="1"/>
    <col min="11769" max="11769" width="12" style="137" customWidth="1"/>
    <col min="11770" max="11770" width="14.44140625" style="137" customWidth="1"/>
    <col min="11771" max="11771" width="11.88671875" style="137" customWidth="1"/>
    <col min="11772" max="11772" width="14.109375" style="137" customWidth="1"/>
    <col min="11773" max="11773" width="13.88671875" style="137" customWidth="1"/>
    <col min="11774" max="11775" width="12.77734375" style="137" customWidth="1"/>
    <col min="11776" max="11776" width="13.5546875" style="137" customWidth="1"/>
    <col min="11777" max="11777" width="15.33203125" style="137" customWidth="1"/>
    <col min="11778" max="11778" width="12.77734375" style="137" customWidth="1"/>
    <col min="11779" max="11779" width="13.88671875" style="137" customWidth="1"/>
    <col min="11780" max="11780" width="1.88671875" style="137" customWidth="1"/>
    <col min="11781" max="11781" width="13" style="137" customWidth="1"/>
    <col min="11782" max="12021" width="8.77734375" style="137"/>
    <col min="12022" max="12022" width="6" style="137" customWidth="1"/>
    <col min="12023" max="12023" width="1.44140625" style="137" customWidth="1"/>
    <col min="12024" max="12024" width="39.109375" style="137" customWidth="1"/>
    <col min="12025" max="12025" width="12" style="137" customWidth="1"/>
    <col min="12026" max="12026" width="14.44140625" style="137" customWidth="1"/>
    <col min="12027" max="12027" width="11.88671875" style="137" customWidth="1"/>
    <col min="12028" max="12028" width="14.109375" style="137" customWidth="1"/>
    <col min="12029" max="12029" width="13.88671875" style="137" customWidth="1"/>
    <col min="12030" max="12031" width="12.77734375" style="137" customWidth="1"/>
    <col min="12032" max="12032" width="13.5546875" style="137" customWidth="1"/>
    <col min="12033" max="12033" width="15.33203125" style="137" customWidth="1"/>
    <col min="12034" max="12034" width="12.77734375" style="137" customWidth="1"/>
    <col min="12035" max="12035" width="13.88671875" style="137" customWidth="1"/>
    <col min="12036" max="12036" width="1.88671875" style="137" customWidth="1"/>
    <col min="12037" max="12037" width="13" style="137" customWidth="1"/>
    <col min="12038" max="12277" width="8.77734375" style="137"/>
    <col min="12278" max="12278" width="6" style="137" customWidth="1"/>
    <col min="12279" max="12279" width="1.44140625" style="137" customWidth="1"/>
    <col min="12280" max="12280" width="39.109375" style="137" customWidth="1"/>
    <col min="12281" max="12281" width="12" style="137" customWidth="1"/>
    <col min="12282" max="12282" width="14.44140625" style="137" customWidth="1"/>
    <col min="12283" max="12283" width="11.88671875" style="137" customWidth="1"/>
    <col min="12284" max="12284" width="14.109375" style="137" customWidth="1"/>
    <col min="12285" max="12285" width="13.88671875" style="137" customWidth="1"/>
    <col min="12286" max="12287" width="12.77734375" style="137" customWidth="1"/>
    <col min="12288" max="12288" width="13.5546875" style="137" customWidth="1"/>
    <col min="12289" max="12289" width="15.33203125" style="137" customWidth="1"/>
    <col min="12290" max="12290" width="12.77734375" style="137" customWidth="1"/>
    <col min="12291" max="12291" width="13.88671875" style="137" customWidth="1"/>
    <col min="12292" max="12292" width="1.88671875" style="137" customWidth="1"/>
    <col min="12293" max="12293" width="13" style="137" customWidth="1"/>
    <col min="12294" max="12533" width="8.77734375" style="137"/>
    <col min="12534" max="12534" width="6" style="137" customWidth="1"/>
    <col min="12535" max="12535" width="1.44140625" style="137" customWidth="1"/>
    <col min="12536" max="12536" width="39.109375" style="137" customWidth="1"/>
    <col min="12537" max="12537" width="12" style="137" customWidth="1"/>
    <col min="12538" max="12538" width="14.44140625" style="137" customWidth="1"/>
    <col min="12539" max="12539" width="11.88671875" style="137" customWidth="1"/>
    <col min="12540" max="12540" width="14.109375" style="137" customWidth="1"/>
    <col min="12541" max="12541" width="13.88671875" style="137" customWidth="1"/>
    <col min="12542" max="12543" width="12.77734375" style="137" customWidth="1"/>
    <col min="12544" max="12544" width="13.5546875" style="137" customWidth="1"/>
    <col min="12545" max="12545" width="15.33203125" style="137" customWidth="1"/>
    <col min="12546" max="12546" width="12.77734375" style="137" customWidth="1"/>
    <col min="12547" max="12547" width="13.88671875" style="137" customWidth="1"/>
    <col min="12548" max="12548" width="1.88671875" style="137" customWidth="1"/>
    <col min="12549" max="12549" width="13" style="137" customWidth="1"/>
    <col min="12550" max="12789" width="8.77734375" style="137"/>
    <col min="12790" max="12790" width="6" style="137" customWidth="1"/>
    <col min="12791" max="12791" width="1.44140625" style="137" customWidth="1"/>
    <col min="12792" max="12792" width="39.109375" style="137" customWidth="1"/>
    <col min="12793" max="12793" width="12" style="137" customWidth="1"/>
    <col min="12794" max="12794" width="14.44140625" style="137" customWidth="1"/>
    <col min="12795" max="12795" width="11.88671875" style="137" customWidth="1"/>
    <col min="12796" max="12796" width="14.109375" style="137" customWidth="1"/>
    <col min="12797" max="12797" width="13.88671875" style="137" customWidth="1"/>
    <col min="12798" max="12799" width="12.77734375" style="137" customWidth="1"/>
    <col min="12800" max="12800" width="13.5546875" style="137" customWidth="1"/>
    <col min="12801" max="12801" width="15.33203125" style="137" customWidth="1"/>
    <col min="12802" max="12802" width="12.77734375" style="137" customWidth="1"/>
    <col min="12803" max="12803" width="13.88671875" style="137" customWidth="1"/>
    <col min="12804" max="12804" width="1.88671875" style="137" customWidth="1"/>
    <col min="12805" max="12805" width="13" style="137" customWidth="1"/>
    <col min="12806" max="13045" width="8.77734375" style="137"/>
    <col min="13046" max="13046" width="6" style="137" customWidth="1"/>
    <col min="13047" max="13047" width="1.44140625" style="137" customWidth="1"/>
    <col min="13048" max="13048" width="39.109375" style="137" customWidth="1"/>
    <col min="13049" max="13049" width="12" style="137" customWidth="1"/>
    <col min="13050" max="13050" width="14.44140625" style="137" customWidth="1"/>
    <col min="13051" max="13051" width="11.88671875" style="137" customWidth="1"/>
    <col min="13052" max="13052" width="14.109375" style="137" customWidth="1"/>
    <col min="13053" max="13053" width="13.88671875" style="137" customWidth="1"/>
    <col min="13054" max="13055" width="12.77734375" style="137" customWidth="1"/>
    <col min="13056" max="13056" width="13.5546875" style="137" customWidth="1"/>
    <col min="13057" max="13057" width="15.33203125" style="137" customWidth="1"/>
    <col min="13058" max="13058" width="12.77734375" style="137" customWidth="1"/>
    <col min="13059" max="13059" width="13.88671875" style="137" customWidth="1"/>
    <col min="13060" max="13060" width="1.88671875" style="137" customWidth="1"/>
    <col min="13061" max="13061" width="13" style="137" customWidth="1"/>
    <col min="13062" max="13301" width="8.77734375" style="137"/>
    <col min="13302" max="13302" width="6" style="137" customWidth="1"/>
    <col min="13303" max="13303" width="1.44140625" style="137" customWidth="1"/>
    <col min="13304" max="13304" width="39.109375" style="137" customWidth="1"/>
    <col min="13305" max="13305" width="12" style="137" customWidth="1"/>
    <col min="13306" max="13306" width="14.44140625" style="137" customWidth="1"/>
    <col min="13307" max="13307" width="11.88671875" style="137" customWidth="1"/>
    <col min="13308" max="13308" width="14.109375" style="137" customWidth="1"/>
    <col min="13309" max="13309" width="13.88671875" style="137" customWidth="1"/>
    <col min="13310" max="13311" width="12.77734375" style="137" customWidth="1"/>
    <col min="13312" max="13312" width="13.5546875" style="137" customWidth="1"/>
    <col min="13313" max="13313" width="15.33203125" style="137" customWidth="1"/>
    <col min="13314" max="13314" width="12.77734375" style="137" customWidth="1"/>
    <col min="13315" max="13315" width="13.88671875" style="137" customWidth="1"/>
    <col min="13316" max="13316" width="1.88671875" style="137" customWidth="1"/>
    <col min="13317" max="13317" width="13" style="137" customWidth="1"/>
    <col min="13318" max="13557" width="8.77734375" style="137"/>
    <col min="13558" max="13558" width="6" style="137" customWidth="1"/>
    <col min="13559" max="13559" width="1.44140625" style="137" customWidth="1"/>
    <col min="13560" max="13560" width="39.109375" style="137" customWidth="1"/>
    <col min="13561" max="13561" width="12" style="137" customWidth="1"/>
    <col min="13562" max="13562" width="14.44140625" style="137" customWidth="1"/>
    <col min="13563" max="13563" width="11.88671875" style="137" customWidth="1"/>
    <col min="13564" max="13564" width="14.109375" style="137" customWidth="1"/>
    <col min="13565" max="13565" width="13.88671875" style="137" customWidth="1"/>
    <col min="13566" max="13567" width="12.77734375" style="137" customWidth="1"/>
    <col min="13568" max="13568" width="13.5546875" style="137" customWidth="1"/>
    <col min="13569" max="13569" width="15.33203125" style="137" customWidth="1"/>
    <col min="13570" max="13570" width="12.77734375" style="137" customWidth="1"/>
    <col min="13571" max="13571" width="13.88671875" style="137" customWidth="1"/>
    <col min="13572" max="13572" width="1.88671875" style="137" customWidth="1"/>
    <col min="13573" max="13573" width="13" style="137" customWidth="1"/>
    <col min="13574" max="13813" width="8.77734375" style="137"/>
    <col min="13814" max="13814" width="6" style="137" customWidth="1"/>
    <col min="13815" max="13815" width="1.44140625" style="137" customWidth="1"/>
    <col min="13816" max="13816" width="39.109375" style="137" customWidth="1"/>
    <col min="13817" max="13817" width="12" style="137" customWidth="1"/>
    <col min="13818" max="13818" width="14.44140625" style="137" customWidth="1"/>
    <col min="13819" max="13819" width="11.88671875" style="137" customWidth="1"/>
    <col min="13820" max="13820" width="14.109375" style="137" customWidth="1"/>
    <col min="13821" max="13821" width="13.88671875" style="137" customWidth="1"/>
    <col min="13822" max="13823" width="12.77734375" style="137" customWidth="1"/>
    <col min="13824" max="13824" width="13.5546875" style="137" customWidth="1"/>
    <col min="13825" max="13825" width="15.33203125" style="137" customWidth="1"/>
    <col min="13826" max="13826" width="12.77734375" style="137" customWidth="1"/>
    <col min="13827" max="13827" width="13.88671875" style="137" customWidth="1"/>
    <col min="13828" max="13828" width="1.88671875" style="137" customWidth="1"/>
    <col min="13829" max="13829" width="13" style="137" customWidth="1"/>
    <col min="13830" max="14069" width="8.77734375" style="137"/>
    <col min="14070" max="14070" width="6" style="137" customWidth="1"/>
    <col min="14071" max="14071" width="1.44140625" style="137" customWidth="1"/>
    <col min="14072" max="14072" width="39.109375" style="137" customWidth="1"/>
    <col min="14073" max="14073" width="12" style="137" customWidth="1"/>
    <col min="14074" max="14074" width="14.44140625" style="137" customWidth="1"/>
    <col min="14075" max="14075" width="11.88671875" style="137" customWidth="1"/>
    <col min="14076" max="14076" width="14.109375" style="137" customWidth="1"/>
    <col min="14077" max="14077" width="13.88671875" style="137" customWidth="1"/>
    <col min="14078" max="14079" width="12.77734375" style="137" customWidth="1"/>
    <col min="14080" max="14080" width="13.5546875" style="137" customWidth="1"/>
    <col min="14081" max="14081" width="15.33203125" style="137" customWidth="1"/>
    <col min="14082" max="14082" width="12.77734375" style="137" customWidth="1"/>
    <col min="14083" max="14083" width="13.88671875" style="137" customWidth="1"/>
    <col min="14084" max="14084" width="1.88671875" style="137" customWidth="1"/>
    <col min="14085" max="14085" width="13" style="137" customWidth="1"/>
    <col min="14086" max="14325" width="8.77734375" style="137"/>
    <col min="14326" max="14326" width="6" style="137" customWidth="1"/>
    <col min="14327" max="14327" width="1.44140625" style="137" customWidth="1"/>
    <col min="14328" max="14328" width="39.109375" style="137" customWidth="1"/>
    <col min="14329" max="14329" width="12" style="137" customWidth="1"/>
    <col min="14330" max="14330" width="14.44140625" style="137" customWidth="1"/>
    <col min="14331" max="14331" width="11.88671875" style="137" customWidth="1"/>
    <col min="14332" max="14332" width="14.109375" style="137" customWidth="1"/>
    <col min="14333" max="14333" width="13.88671875" style="137" customWidth="1"/>
    <col min="14334" max="14335" width="12.77734375" style="137" customWidth="1"/>
    <col min="14336" max="14336" width="13.5546875" style="137" customWidth="1"/>
    <col min="14337" max="14337" width="15.33203125" style="137" customWidth="1"/>
    <col min="14338" max="14338" width="12.77734375" style="137" customWidth="1"/>
    <col min="14339" max="14339" width="13.88671875" style="137" customWidth="1"/>
    <col min="14340" max="14340" width="1.88671875" style="137" customWidth="1"/>
    <col min="14341" max="14341" width="13" style="137" customWidth="1"/>
    <col min="14342" max="14581" width="8.77734375" style="137"/>
    <col min="14582" max="14582" width="6" style="137" customWidth="1"/>
    <col min="14583" max="14583" width="1.44140625" style="137" customWidth="1"/>
    <col min="14584" max="14584" width="39.109375" style="137" customWidth="1"/>
    <col min="14585" max="14585" width="12" style="137" customWidth="1"/>
    <col min="14586" max="14586" width="14.44140625" style="137" customWidth="1"/>
    <col min="14587" max="14587" width="11.88671875" style="137" customWidth="1"/>
    <col min="14588" max="14588" width="14.109375" style="137" customWidth="1"/>
    <col min="14589" max="14589" width="13.88671875" style="137" customWidth="1"/>
    <col min="14590" max="14591" width="12.77734375" style="137" customWidth="1"/>
    <col min="14592" max="14592" width="13.5546875" style="137" customWidth="1"/>
    <col min="14593" max="14593" width="15.33203125" style="137" customWidth="1"/>
    <col min="14594" max="14594" width="12.77734375" style="137" customWidth="1"/>
    <col min="14595" max="14595" width="13.88671875" style="137" customWidth="1"/>
    <col min="14596" max="14596" width="1.88671875" style="137" customWidth="1"/>
    <col min="14597" max="14597" width="13" style="137" customWidth="1"/>
    <col min="14598" max="14837" width="8.77734375" style="137"/>
    <col min="14838" max="14838" width="6" style="137" customWidth="1"/>
    <col min="14839" max="14839" width="1.44140625" style="137" customWidth="1"/>
    <col min="14840" max="14840" width="39.109375" style="137" customWidth="1"/>
    <col min="14841" max="14841" width="12" style="137" customWidth="1"/>
    <col min="14842" max="14842" width="14.44140625" style="137" customWidth="1"/>
    <col min="14843" max="14843" width="11.88671875" style="137" customWidth="1"/>
    <col min="14844" max="14844" width="14.109375" style="137" customWidth="1"/>
    <col min="14845" max="14845" width="13.88671875" style="137" customWidth="1"/>
    <col min="14846" max="14847" width="12.77734375" style="137" customWidth="1"/>
    <col min="14848" max="14848" width="13.5546875" style="137" customWidth="1"/>
    <col min="14849" max="14849" width="15.33203125" style="137" customWidth="1"/>
    <col min="14850" max="14850" width="12.77734375" style="137" customWidth="1"/>
    <col min="14851" max="14851" width="13.88671875" style="137" customWidth="1"/>
    <col min="14852" max="14852" width="1.88671875" style="137" customWidth="1"/>
    <col min="14853" max="14853" width="13" style="137" customWidth="1"/>
    <col min="14854" max="15093" width="8.77734375" style="137"/>
    <col min="15094" max="15094" width="6" style="137" customWidth="1"/>
    <col min="15095" max="15095" width="1.44140625" style="137" customWidth="1"/>
    <col min="15096" max="15096" width="39.109375" style="137" customWidth="1"/>
    <col min="15097" max="15097" width="12" style="137" customWidth="1"/>
    <col min="15098" max="15098" width="14.44140625" style="137" customWidth="1"/>
    <col min="15099" max="15099" width="11.88671875" style="137" customWidth="1"/>
    <col min="15100" max="15100" width="14.109375" style="137" customWidth="1"/>
    <col min="15101" max="15101" width="13.88671875" style="137" customWidth="1"/>
    <col min="15102" max="15103" width="12.77734375" style="137" customWidth="1"/>
    <col min="15104" max="15104" width="13.5546875" style="137" customWidth="1"/>
    <col min="15105" max="15105" width="15.33203125" style="137" customWidth="1"/>
    <col min="15106" max="15106" width="12.77734375" style="137" customWidth="1"/>
    <col min="15107" max="15107" width="13.88671875" style="137" customWidth="1"/>
    <col min="15108" max="15108" width="1.88671875" style="137" customWidth="1"/>
    <col min="15109" max="15109" width="13" style="137" customWidth="1"/>
    <col min="15110" max="15349" width="8.77734375" style="137"/>
    <col min="15350" max="15350" width="6" style="137" customWidth="1"/>
    <col min="15351" max="15351" width="1.44140625" style="137" customWidth="1"/>
    <col min="15352" max="15352" width="39.109375" style="137" customWidth="1"/>
    <col min="15353" max="15353" width="12" style="137" customWidth="1"/>
    <col min="15354" max="15354" width="14.44140625" style="137" customWidth="1"/>
    <col min="15355" max="15355" width="11.88671875" style="137" customWidth="1"/>
    <col min="15356" max="15356" width="14.109375" style="137" customWidth="1"/>
    <col min="15357" max="15357" width="13.88671875" style="137" customWidth="1"/>
    <col min="15358" max="15359" width="12.77734375" style="137" customWidth="1"/>
    <col min="15360" max="15360" width="13.5546875" style="137" customWidth="1"/>
    <col min="15361" max="15361" width="15.33203125" style="137" customWidth="1"/>
    <col min="15362" max="15362" width="12.77734375" style="137" customWidth="1"/>
    <col min="15363" max="15363" width="13.88671875" style="137" customWidth="1"/>
    <col min="15364" max="15364" width="1.88671875" style="137" customWidth="1"/>
    <col min="15365" max="15365" width="13" style="137" customWidth="1"/>
    <col min="15366" max="15605" width="8.77734375" style="137"/>
    <col min="15606" max="15606" width="6" style="137" customWidth="1"/>
    <col min="15607" max="15607" width="1.44140625" style="137" customWidth="1"/>
    <col min="15608" max="15608" width="39.109375" style="137" customWidth="1"/>
    <col min="15609" max="15609" width="12" style="137" customWidth="1"/>
    <col min="15610" max="15610" width="14.44140625" style="137" customWidth="1"/>
    <col min="15611" max="15611" width="11.88671875" style="137" customWidth="1"/>
    <col min="15612" max="15612" width="14.109375" style="137" customWidth="1"/>
    <col min="15613" max="15613" width="13.88671875" style="137" customWidth="1"/>
    <col min="15614" max="15615" width="12.77734375" style="137" customWidth="1"/>
    <col min="15616" max="15616" width="13.5546875" style="137" customWidth="1"/>
    <col min="15617" max="15617" width="15.33203125" style="137" customWidth="1"/>
    <col min="15618" max="15618" width="12.77734375" style="137" customWidth="1"/>
    <col min="15619" max="15619" width="13.88671875" style="137" customWidth="1"/>
    <col min="15620" max="15620" width="1.88671875" style="137" customWidth="1"/>
    <col min="15621" max="15621" width="13" style="137" customWidth="1"/>
    <col min="15622" max="15861" width="8.77734375" style="137"/>
    <col min="15862" max="15862" width="6" style="137" customWidth="1"/>
    <col min="15863" max="15863" width="1.44140625" style="137" customWidth="1"/>
    <col min="15864" max="15864" width="39.109375" style="137" customWidth="1"/>
    <col min="15865" max="15865" width="12" style="137" customWidth="1"/>
    <col min="15866" max="15866" width="14.44140625" style="137" customWidth="1"/>
    <col min="15867" max="15867" width="11.88671875" style="137" customWidth="1"/>
    <col min="15868" max="15868" width="14.109375" style="137" customWidth="1"/>
    <col min="15869" max="15869" width="13.88671875" style="137" customWidth="1"/>
    <col min="15870" max="15871" width="12.77734375" style="137" customWidth="1"/>
    <col min="15872" max="15872" width="13.5546875" style="137" customWidth="1"/>
    <col min="15873" max="15873" width="15.33203125" style="137" customWidth="1"/>
    <col min="15874" max="15874" width="12.77734375" style="137" customWidth="1"/>
    <col min="15875" max="15875" width="13.88671875" style="137" customWidth="1"/>
    <col min="15876" max="15876" width="1.88671875" style="137" customWidth="1"/>
    <col min="15877" max="15877" width="13" style="137" customWidth="1"/>
    <col min="15878" max="16117" width="8.77734375" style="137"/>
    <col min="16118" max="16118" width="6" style="137" customWidth="1"/>
    <col min="16119" max="16119" width="1.44140625" style="137" customWidth="1"/>
    <col min="16120" max="16120" width="39.109375" style="137" customWidth="1"/>
    <col min="16121" max="16121" width="12" style="137" customWidth="1"/>
    <col min="16122" max="16122" width="14.44140625" style="137" customWidth="1"/>
    <col min="16123" max="16123" width="11.88671875" style="137" customWidth="1"/>
    <col min="16124" max="16124" width="14.109375" style="137" customWidth="1"/>
    <col min="16125" max="16125" width="13.88671875" style="137" customWidth="1"/>
    <col min="16126" max="16127" width="12.77734375" style="137" customWidth="1"/>
    <col min="16128" max="16128" width="13.5546875" style="137" customWidth="1"/>
    <col min="16129" max="16129" width="15.33203125" style="137" customWidth="1"/>
    <col min="16130" max="16130" width="12.77734375" style="137" customWidth="1"/>
    <col min="16131" max="16131" width="13.88671875" style="137" customWidth="1"/>
    <col min="16132" max="16132" width="1.88671875" style="137" customWidth="1"/>
    <col min="16133" max="16133" width="13" style="137" customWidth="1"/>
    <col min="16134" max="16373" width="8.77734375" style="137"/>
    <col min="16374" max="16384" width="8.77734375" style="137" customWidth="1"/>
  </cols>
  <sheetData>
    <row r="1" spans="1:54">
      <c r="I1" s="77" t="s">
        <v>365</v>
      </c>
    </row>
    <row r="2" spans="1:54">
      <c r="I2" s="77" t="s">
        <v>362</v>
      </c>
    </row>
    <row r="3" spans="1:54">
      <c r="I3" s="422" t="s">
        <v>231</v>
      </c>
    </row>
    <row r="4" spans="1:54">
      <c r="I4" s="138" t="str">
        <f>'DE Ohio &amp; Kentucky'!J7</f>
        <v>For the 12 months ended: 12/31/2016</v>
      </c>
    </row>
    <row r="5" spans="1:54">
      <c r="C5" s="112"/>
    </row>
    <row r="6" spans="1:54">
      <c r="A6" s="219" t="s">
        <v>309</v>
      </c>
      <c r="B6" s="281"/>
      <c r="C6" s="281"/>
      <c r="D6" s="219"/>
      <c r="E6" s="219"/>
      <c r="F6" s="219"/>
      <c r="G6" s="281"/>
      <c r="H6" s="219"/>
      <c r="I6" s="219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</row>
    <row r="7" spans="1:54">
      <c r="A7" s="220" t="s">
        <v>366</v>
      </c>
      <c r="B7" s="281"/>
      <c r="C7" s="281"/>
      <c r="D7" s="221"/>
      <c r="E7" s="221"/>
      <c r="F7" s="221"/>
      <c r="G7" s="281"/>
      <c r="H7" s="221"/>
      <c r="I7" s="22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</row>
    <row r="8" spans="1:54">
      <c r="A8" s="221"/>
      <c r="B8" s="281"/>
      <c r="C8" s="281"/>
      <c r="D8" s="221"/>
      <c r="E8" s="221"/>
      <c r="F8" s="221"/>
      <c r="G8" s="281"/>
      <c r="H8" s="221"/>
      <c r="I8" s="22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</row>
    <row r="9" spans="1:54">
      <c r="A9" s="283" t="s">
        <v>211</v>
      </c>
      <c r="B9" s="281"/>
      <c r="C9" s="281"/>
      <c r="D9" s="221"/>
      <c r="E9" s="221"/>
      <c r="F9" s="221"/>
      <c r="G9" s="281"/>
      <c r="H9" s="284"/>
      <c r="I9" s="22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</row>
    <row r="10" spans="1:54">
      <c r="A10" s="283" t="s">
        <v>364</v>
      </c>
      <c r="B10" s="281"/>
      <c r="C10" s="281"/>
      <c r="D10" s="221"/>
      <c r="E10" s="221"/>
      <c r="F10" s="221"/>
      <c r="G10" s="281"/>
      <c r="H10" s="284"/>
      <c r="I10" s="22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</row>
    <row r="11" spans="1:54">
      <c r="A11" s="421"/>
      <c r="B11" s="281"/>
      <c r="C11" s="221"/>
      <c r="D11" s="221"/>
      <c r="E11" s="221"/>
      <c r="F11" s="221"/>
      <c r="G11" s="284"/>
      <c r="H11" s="221"/>
      <c r="I11" s="22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</row>
    <row r="12" spans="1:54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</row>
    <row r="13" spans="1:54">
      <c r="A13" s="142"/>
      <c r="C13" s="110"/>
      <c r="D13" s="110"/>
      <c r="E13" s="110"/>
      <c r="F13" s="110"/>
      <c r="G13" s="143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</row>
    <row r="14" spans="1:54">
      <c r="A14" s="142"/>
      <c r="C14" s="110"/>
      <c r="D14" s="110"/>
      <c r="E14" s="110"/>
      <c r="F14" s="110"/>
      <c r="G14" s="110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</row>
    <row r="15" spans="1:54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</row>
    <row r="16" spans="1:54">
      <c r="C16" s="107"/>
      <c r="D16" s="107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</row>
    <row r="17" spans="1:54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</row>
    <row r="18" spans="1:54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</row>
    <row r="19" spans="1:54" ht="15.75">
      <c r="A19" s="151"/>
      <c r="C19" s="107" t="s">
        <v>413</v>
      </c>
      <c r="D19" s="107"/>
      <c r="E19" s="111"/>
      <c r="F19" s="111"/>
      <c r="G19" s="111"/>
      <c r="I19" s="11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</row>
    <row r="20" spans="1:54">
      <c r="A20" s="152">
        <v>1</v>
      </c>
      <c r="C20" s="107" t="s">
        <v>266</v>
      </c>
      <c r="D20" s="107"/>
      <c r="E20" s="844" t="s">
        <v>788</v>
      </c>
      <c r="F20" s="153"/>
      <c r="G20" s="154">
        <f>DEO!J76</f>
        <v>772979082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</row>
    <row r="21" spans="1:54">
      <c r="A21" s="152">
        <v>2</v>
      </c>
      <c r="C21" s="107" t="s">
        <v>267</v>
      </c>
      <c r="D21" s="107"/>
      <c r="E21" s="844" t="s">
        <v>789</v>
      </c>
      <c r="F21" s="153"/>
      <c r="G21" s="154">
        <f>DEO!J92</f>
        <v>529269292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</row>
    <row r="22" spans="1:54">
      <c r="A22" s="152"/>
      <c r="E22" s="844"/>
      <c r="F22" s="153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</row>
    <row r="23" spans="1:54">
      <c r="A23" s="152"/>
      <c r="C23" s="107" t="s">
        <v>232</v>
      </c>
      <c r="D23" s="107"/>
      <c r="E23" s="844"/>
      <c r="F23" s="153"/>
      <c r="G23" s="111"/>
      <c r="I23" s="11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</row>
    <row r="24" spans="1:54">
      <c r="A24" s="152">
        <v>3</v>
      </c>
      <c r="C24" s="107" t="s">
        <v>268</v>
      </c>
      <c r="D24" s="107"/>
      <c r="E24" s="844" t="s">
        <v>790</v>
      </c>
      <c r="F24" s="153"/>
      <c r="G24" s="154">
        <f>DEO!J149</f>
        <v>24472755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</row>
    <row r="25" spans="1:54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3.1660306947348935E-2</v>
      </c>
      <c r="I25" s="156">
        <f>G25</f>
        <v>3.1660306947348935E-2</v>
      </c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</row>
    <row r="26" spans="1:54">
      <c r="A26" s="152"/>
      <c r="E26" s="844"/>
      <c r="F26" s="153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</row>
    <row r="27" spans="1:54">
      <c r="A27" s="165"/>
      <c r="C27" s="107" t="s">
        <v>316</v>
      </c>
      <c r="D27" s="107"/>
      <c r="E27" s="842"/>
      <c r="F27" s="153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</row>
    <row r="28" spans="1:54">
      <c r="A28" s="165" t="s">
        <v>270</v>
      </c>
      <c r="C28" s="107" t="s">
        <v>317</v>
      </c>
      <c r="D28" s="107"/>
      <c r="E28" s="844" t="s">
        <v>791</v>
      </c>
      <c r="F28" s="153"/>
      <c r="G28" s="154">
        <f>DEO!J153+DEO!J154</f>
        <v>3218235</v>
      </c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</row>
    <row r="29" spans="1:54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4.1634179694399545E-3</v>
      </c>
      <c r="I29" s="156">
        <f>G29</f>
        <v>4.1634179694399545E-3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</row>
    <row r="30" spans="1:54">
      <c r="A30" s="152"/>
      <c r="E30" s="844"/>
      <c r="F30" s="153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</row>
    <row r="31" spans="1:54">
      <c r="A31" s="159"/>
      <c r="C31" s="107" t="s">
        <v>235</v>
      </c>
      <c r="D31" s="107"/>
      <c r="E31" s="842"/>
      <c r="F31" s="113"/>
      <c r="G31" s="111"/>
      <c r="I31" s="11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</row>
    <row r="32" spans="1:54">
      <c r="A32" s="159" t="s">
        <v>273</v>
      </c>
      <c r="C32" s="107" t="s">
        <v>237</v>
      </c>
      <c r="D32" s="107"/>
      <c r="E32" s="844" t="s">
        <v>792</v>
      </c>
      <c r="F32" s="153"/>
      <c r="G32" s="154">
        <f>DEO!J166</f>
        <v>25784197</v>
      </c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</row>
    <row r="33" spans="1:54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3.335691430780529E-2</v>
      </c>
      <c r="I33" s="156">
        <f>G33</f>
        <v>3.335691430780529E-2</v>
      </c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</row>
    <row r="34" spans="1:54">
      <c r="A34" s="159"/>
      <c r="C34" s="107"/>
      <c r="D34" s="107"/>
      <c r="E34" s="844"/>
      <c r="F34" s="153"/>
      <c r="G34" s="111"/>
      <c r="I34" s="11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</row>
    <row r="35" spans="1:54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6.9180639224594179E-2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</row>
    <row r="36" spans="1:54">
      <c r="A36" s="369"/>
      <c r="C36" s="107"/>
      <c r="D36" s="107"/>
      <c r="E36" s="844"/>
      <c r="F36" s="153"/>
      <c r="G36" s="111"/>
      <c r="I36" s="11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</row>
    <row r="37" spans="1:54">
      <c r="A37" s="165"/>
      <c r="B37" s="166"/>
      <c r="C37" s="111" t="s">
        <v>239</v>
      </c>
      <c r="D37" s="111"/>
      <c r="E37" s="844"/>
      <c r="F37" s="153"/>
      <c r="G37" s="111"/>
      <c r="I37" s="11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</row>
    <row r="38" spans="1:54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154">
        <f>DEO!J179</f>
        <v>12711552.607053047</v>
      </c>
      <c r="I38" s="11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</row>
    <row r="39" spans="1:54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2.4017173864402181E-2</v>
      </c>
      <c r="I39" s="156">
        <f>G39</f>
        <v>2.4017173864402181E-2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</row>
    <row r="40" spans="1:54">
      <c r="A40" s="159"/>
      <c r="C40" s="111"/>
      <c r="D40" s="111"/>
      <c r="E40" s="844"/>
      <c r="F40" s="153"/>
      <c r="G40" s="111"/>
      <c r="I40" s="11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</row>
    <row r="41" spans="1:54">
      <c r="A41" s="159"/>
      <c r="C41" s="107" t="s">
        <v>73</v>
      </c>
      <c r="D41" s="107"/>
      <c r="E41" s="845"/>
      <c r="F41" s="167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</row>
    <row r="42" spans="1:54">
      <c r="A42" s="159" t="s">
        <v>238</v>
      </c>
      <c r="C42" s="107" t="s">
        <v>240</v>
      </c>
      <c r="D42" s="107"/>
      <c r="E42" s="844" t="s">
        <v>794</v>
      </c>
      <c r="F42" s="153"/>
      <c r="G42" s="154">
        <f>DEO!J181</f>
        <v>34712639</v>
      </c>
      <c r="I42" s="11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</row>
    <row r="43" spans="1:54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6.5585968286253793E-2</v>
      </c>
      <c r="I43" s="156">
        <f>G43</f>
        <v>6.5585968286253793E-2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</row>
    <row r="44" spans="1:54">
      <c r="A44" s="159"/>
      <c r="C44" s="107"/>
      <c r="D44" s="107"/>
      <c r="E44" s="844"/>
      <c r="F44" s="153"/>
      <c r="G44" s="111"/>
      <c r="I44" s="11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</row>
    <row r="45" spans="1:54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8.9603142150655971E-2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</row>
    <row r="46" spans="1:54"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</row>
    <row r="47" spans="1:54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</row>
    <row r="48" spans="1:54">
      <c r="A48" s="142"/>
      <c r="C48" s="106"/>
      <c r="D48" s="106"/>
      <c r="E48" s="106"/>
      <c r="F48" s="106"/>
      <c r="G48" s="111"/>
      <c r="H48" s="106"/>
      <c r="I48" s="106"/>
      <c r="J48" s="106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</row>
    <row r="49" spans="11:54">
      <c r="X49" s="77" t="s">
        <v>365</v>
      </c>
    </row>
    <row r="50" spans="11:54">
      <c r="X50" s="77" t="s">
        <v>362</v>
      </c>
    </row>
    <row r="51" spans="11:54">
      <c r="X51" s="172" t="s">
        <v>241</v>
      </c>
    </row>
    <row r="52" spans="11:54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5"/>
      <c r="Z52" s="139"/>
      <c r="AA52" s="145"/>
      <c r="AB52" s="146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</row>
    <row r="53" spans="11:54">
      <c r="K53" s="142"/>
      <c r="M53" s="107"/>
      <c r="N53" s="106"/>
      <c r="O53" s="106"/>
      <c r="P53" s="106"/>
      <c r="Q53" s="111"/>
      <c r="R53" s="106"/>
      <c r="S53" s="106"/>
      <c r="T53" s="106"/>
      <c r="U53" s="106"/>
      <c r="W53" s="111"/>
      <c r="Y53" s="145"/>
      <c r="Z53" s="139"/>
      <c r="AA53" s="145"/>
      <c r="AB53" s="146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</row>
    <row r="54" spans="11:54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5"/>
      <c r="Z54" s="139"/>
      <c r="AA54" s="145"/>
      <c r="AB54" s="146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</row>
    <row r="55" spans="11:54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5"/>
      <c r="Z55" s="139"/>
      <c r="AA55" s="145"/>
      <c r="AB55" s="146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</row>
    <row r="56" spans="11:54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X56" s="106"/>
      <c r="Y56" s="145"/>
      <c r="Z56" s="139"/>
      <c r="AA56" s="145"/>
      <c r="AB56" s="146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</row>
    <row r="57" spans="11:54">
      <c r="K57" s="222" t="str">
        <f>A9</f>
        <v>Duke Energy Ohio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5"/>
      <c r="Z57" s="139"/>
      <c r="AA57" s="145"/>
      <c r="AB57" s="146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</row>
    <row r="58" spans="11:54">
      <c r="K58" s="222" t="str">
        <f>A10</f>
        <v>Legacy MTEP Credit</v>
      </c>
      <c r="L58" s="281"/>
      <c r="M58" s="281"/>
      <c r="N58" s="28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145"/>
      <c r="Z58" s="139"/>
      <c r="AA58" s="145"/>
      <c r="AB58" s="146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</row>
    <row r="59" spans="11:54">
      <c r="K59" s="142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45"/>
      <c r="Z59" s="139"/>
      <c r="AA59" s="145"/>
      <c r="AB59" s="146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</row>
    <row r="60" spans="11:54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5"/>
      <c r="Z60" s="139"/>
      <c r="AA60" s="145"/>
      <c r="AB60" s="146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</row>
    <row r="61" spans="11:54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5"/>
      <c r="Z61" s="139"/>
      <c r="AA61" s="145"/>
      <c r="AB61" s="146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</row>
    <row r="62" spans="11:54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5"/>
      <c r="Z62" s="139"/>
      <c r="AA62" s="145"/>
      <c r="AB62" s="146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</row>
    <row r="63" spans="11:54" ht="63">
      <c r="K63" s="174" t="s">
        <v>279</v>
      </c>
      <c r="L63" s="175"/>
      <c r="M63" s="175" t="s">
        <v>249</v>
      </c>
      <c r="N63" s="176" t="s">
        <v>280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58"/>
      <c r="Z63" s="139"/>
      <c r="AA63" s="145"/>
      <c r="AB63" s="146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</row>
    <row r="64" spans="11:54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846" t="s">
        <v>23</v>
      </c>
      <c r="S64" s="846" t="s">
        <v>781</v>
      </c>
      <c r="T64" s="184" t="s">
        <v>290</v>
      </c>
      <c r="U64" s="846" t="s">
        <v>291</v>
      </c>
      <c r="V64" s="184" t="s">
        <v>292</v>
      </c>
      <c r="W64" s="185" t="s">
        <v>242</v>
      </c>
      <c r="X64" s="186" t="s">
        <v>293</v>
      </c>
      <c r="Y64" s="145"/>
      <c r="Z64" s="139"/>
      <c r="AA64" s="145"/>
      <c r="AB64" s="146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</row>
    <row r="65" spans="11:54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5"/>
      <c r="Z65" s="139"/>
      <c r="AA65" s="145"/>
      <c r="AB65" s="146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</row>
    <row r="66" spans="11:54">
      <c r="K66" s="190" t="s">
        <v>3</v>
      </c>
      <c r="M66" s="433" t="s">
        <v>308</v>
      </c>
      <c r="N66" s="497">
        <v>91</v>
      </c>
      <c r="O66" s="972">
        <v>17538318</v>
      </c>
      <c r="P66" s="156">
        <f>$I$35</f>
        <v>6.9180639224594179E-2</v>
      </c>
      <c r="Q66" s="192">
        <f>O66*P66</f>
        <v>1213312.0501642062</v>
      </c>
      <c r="R66" s="972">
        <v>14941885</v>
      </c>
      <c r="S66" s="156">
        <f>$I$45</f>
        <v>8.9603142150655971E-2</v>
      </c>
      <c r="T66" s="192">
        <f>R66*S66</f>
        <v>1338839.8456537542</v>
      </c>
      <c r="U66" s="973">
        <v>304527</v>
      </c>
      <c r="V66" s="192">
        <f>Q66+T66+U66</f>
        <v>2856678.8958179606</v>
      </c>
      <c r="W66" s="194">
        <v>0</v>
      </c>
      <c r="X66" s="192">
        <f>V66+W66</f>
        <v>2856678.8958179606</v>
      </c>
      <c r="Y66" s="195"/>
      <c r="Z66" s="195"/>
      <c r="AA66" s="195"/>
      <c r="AB66" s="195"/>
    </row>
    <row r="67" spans="11:54">
      <c r="K67" s="190" t="s">
        <v>296</v>
      </c>
      <c r="M67" s="433" t="s">
        <v>297</v>
      </c>
      <c r="N67" s="433" t="s">
        <v>298</v>
      </c>
      <c r="O67" s="250">
        <v>0</v>
      </c>
      <c r="P67" s="156">
        <f>$I$35</f>
        <v>6.9180639224594179E-2</v>
      </c>
      <c r="Q67" s="192">
        <f>O67*P67</f>
        <v>0</v>
      </c>
      <c r="R67" s="191">
        <v>0</v>
      </c>
      <c r="S67" s="156">
        <f>$I$45</f>
        <v>8.9603142150655971E-2</v>
      </c>
      <c r="T67" s="192">
        <f>R67*S67</f>
        <v>0</v>
      </c>
      <c r="U67" s="193">
        <v>0</v>
      </c>
      <c r="V67" s="192">
        <f>Q67+T67+U67</f>
        <v>0</v>
      </c>
      <c r="W67" s="194">
        <v>0</v>
      </c>
      <c r="X67" s="192">
        <f>V67+W67</f>
        <v>0</v>
      </c>
      <c r="Y67" s="195"/>
      <c r="Z67" s="195"/>
      <c r="AA67" s="195"/>
      <c r="AB67" s="195"/>
    </row>
    <row r="68" spans="11:54">
      <c r="K68" s="190" t="s">
        <v>299</v>
      </c>
      <c r="M68" s="433" t="s">
        <v>300</v>
      </c>
      <c r="N68" s="433" t="s">
        <v>301</v>
      </c>
      <c r="O68" s="250">
        <v>0</v>
      </c>
      <c r="P68" s="156">
        <f>$I$35</f>
        <v>6.9180639224594179E-2</v>
      </c>
      <c r="Q68" s="192">
        <f>O68*P68</f>
        <v>0</v>
      </c>
      <c r="R68" s="191">
        <v>0</v>
      </c>
      <c r="S68" s="156">
        <f>$I$45</f>
        <v>8.9603142150655971E-2</v>
      </c>
      <c r="T68" s="192">
        <f>R68*S68</f>
        <v>0</v>
      </c>
      <c r="U68" s="193">
        <v>0</v>
      </c>
      <c r="V68" s="192">
        <f>Q68+T68+U68</f>
        <v>0</v>
      </c>
      <c r="W68" s="191">
        <v>0</v>
      </c>
      <c r="X68" s="192">
        <f>V68+W68</f>
        <v>0</v>
      </c>
      <c r="Y68" s="195"/>
      <c r="Z68" s="195"/>
      <c r="AA68" s="195"/>
      <c r="AB68" s="195"/>
    </row>
    <row r="69" spans="11:54">
      <c r="K69" s="190"/>
      <c r="Q69" s="192"/>
      <c r="T69" s="192"/>
      <c r="V69" s="192"/>
      <c r="X69" s="192"/>
      <c r="Y69" s="195"/>
      <c r="Z69" s="195"/>
      <c r="AA69" s="195"/>
      <c r="AB69" s="195"/>
    </row>
    <row r="70" spans="11:54">
      <c r="K70" s="190"/>
      <c r="Q70" s="192"/>
      <c r="T70" s="192"/>
      <c r="V70" s="192"/>
      <c r="X70" s="192"/>
      <c r="Y70" s="195"/>
      <c r="Z70" s="195"/>
      <c r="AA70" s="195"/>
      <c r="AB70" s="195"/>
    </row>
    <row r="71" spans="11:54">
      <c r="K71" s="190"/>
      <c r="Q71" s="192"/>
      <c r="T71" s="192"/>
      <c r="V71" s="192"/>
      <c r="X71" s="192"/>
      <c r="Y71" s="195"/>
      <c r="Z71" s="195"/>
      <c r="AA71" s="195"/>
      <c r="AB71" s="195"/>
    </row>
    <row r="72" spans="11:54">
      <c r="K72" s="190"/>
      <c r="Q72" s="192"/>
      <c r="T72" s="192"/>
      <c r="V72" s="192"/>
      <c r="X72" s="192"/>
      <c r="Y72" s="195"/>
      <c r="Z72" s="195"/>
      <c r="AA72" s="195"/>
      <c r="AB72" s="195"/>
    </row>
    <row r="73" spans="11:54">
      <c r="K73" s="190"/>
      <c r="Q73" s="192"/>
      <c r="T73" s="192"/>
      <c r="V73" s="192"/>
      <c r="X73" s="192"/>
      <c r="Y73" s="195"/>
      <c r="Z73" s="195"/>
      <c r="AA73" s="195"/>
      <c r="AB73" s="195"/>
    </row>
    <row r="74" spans="11:54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  <c r="Y74" s="195"/>
      <c r="Z74" s="195"/>
      <c r="AA74" s="195"/>
      <c r="AB74" s="195"/>
    </row>
    <row r="75" spans="11:54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  <c r="Y75" s="195"/>
      <c r="Z75" s="195"/>
      <c r="AA75" s="195"/>
      <c r="AB75" s="195"/>
    </row>
    <row r="76" spans="11:54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  <c r="Y76" s="195"/>
      <c r="Z76" s="195"/>
      <c r="AA76" s="195"/>
      <c r="AB76" s="195"/>
    </row>
    <row r="77" spans="11:54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  <c r="Y77" s="195"/>
      <c r="Z77" s="195"/>
      <c r="AA77" s="195"/>
      <c r="AB77" s="195"/>
    </row>
    <row r="78" spans="11:54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  <c r="Y78" s="195"/>
      <c r="Z78" s="195"/>
      <c r="AA78" s="195"/>
      <c r="AB78" s="195"/>
    </row>
    <row r="79" spans="11:54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  <c r="Y79" s="195"/>
      <c r="Z79" s="195"/>
      <c r="AA79" s="195"/>
      <c r="AB79" s="195"/>
    </row>
    <row r="80" spans="11:54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  <c r="Y80" s="195"/>
      <c r="Z80" s="195"/>
      <c r="AA80" s="195"/>
      <c r="AB80" s="195"/>
    </row>
    <row r="81" spans="11:28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  <c r="Y81" s="195"/>
      <c r="Z81" s="195"/>
      <c r="AA81" s="195"/>
      <c r="AB81" s="195"/>
    </row>
    <row r="82" spans="11:28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  <c r="Y82" s="195"/>
      <c r="Z82" s="195"/>
      <c r="AA82" s="195"/>
      <c r="AB82" s="195"/>
    </row>
    <row r="83" spans="11:28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  <c r="Y83" s="195"/>
      <c r="Z83" s="195"/>
      <c r="AA83" s="195"/>
      <c r="AB83" s="195"/>
    </row>
    <row r="84" spans="11:28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  <c r="Y84" s="195"/>
      <c r="Z84" s="195"/>
      <c r="AA84" s="195"/>
      <c r="AB84" s="195"/>
    </row>
    <row r="85" spans="11:28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  <c r="Y85" s="195"/>
      <c r="Z85" s="195"/>
      <c r="AA85" s="195"/>
      <c r="AB85" s="195"/>
    </row>
    <row r="86" spans="11:28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2856678.8958179606</v>
      </c>
      <c r="W86" s="202">
        <f>SUM(W66:W85)</f>
        <v>0</v>
      </c>
      <c r="X86" s="202">
        <f>SUM(X66:X85)</f>
        <v>2856678.8958179606</v>
      </c>
      <c r="Y86" s="195"/>
      <c r="Z86" s="195"/>
      <c r="AA86" s="195"/>
      <c r="AB86" s="195"/>
    </row>
    <row r="87" spans="11:28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</row>
    <row r="88" spans="11:28">
      <c r="K88" s="201">
        <v>3</v>
      </c>
      <c r="L88" s="195"/>
      <c r="M88" s="850" t="s">
        <v>706</v>
      </c>
      <c r="N88" s="195"/>
      <c r="O88" s="195"/>
      <c r="P88" s="195"/>
      <c r="Q88" s="195"/>
      <c r="R88" s="195"/>
      <c r="S88" s="195"/>
      <c r="T88" s="195"/>
      <c r="U88" s="195"/>
      <c r="V88" s="202"/>
      <c r="W88" s="195"/>
      <c r="X88" s="202">
        <f>X86</f>
        <v>2856678.8958179606</v>
      </c>
      <c r="Y88" s="195"/>
      <c r="Z88" s="195"/>
      <c r="AA88" s="195"/>
      <c r="AB88" s="195"/>
    </row>
    <row r="89" spans="11:28"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</row>
    <row r="90" spans="11:28"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</row>
    <row r="91" spans="11:28">
      <c r="K91" s="106" t="s">
        <v>113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</row>
    <row r="92" spans="11:28" ht="15.75" thickBot="1">
      <c r="K92" s="203" t="s">
        <v>114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</row>
    <row r="93" spans="11:28">
      <c r="K93" s="204" t="s">
        <v>115</v>
      </c>
      <c r="L93" s="109"/>
      <c r="M93" s="1044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  <c r="Y93" s="195"/>
      <c r="Z93" s="195"/>
      <c r="AA93" s="195"/>
      <c r="AB93" s="195"/>
    </row>
    <row r="94" spans="11:28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  <c r="Y94" s="195"/>
      <c r="Z94" s="195"/>
      <c r="AA94" s="195"/>
      <c r="AB94" s="195"/>
    </row>
    <row r="95" spans="11:28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  <c r="Y95" s="195"/>
      <c r="Z95" s="195"/>
      <c r="AA95" s="195"/>
      <c r="AB95" s="195"/>
    </row>
    <row r="96" spans="11:28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  <c r="Y96" s="195"/>
      <c r="Z96" s="195"/>
      <c r="AA96" s="195"/>
      <c r="AB96" s="195"/>
    </row>
    <row r="97" spans="3:28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  <c r="Y97" s="195"/>
      <c r="Z97" s="195"/>
      <c r="AA97" s="195"/>
      <c r="AB97" s="195"/>
    </row>
    <row r="98" spans="3:28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  <c r="Y98" s="195"/>
      <c r="Z98" s="195"/>
      <c r="AA98" s="195"/>
      <c r="AB98" s="195"/>
    </row>
    <row r="99" spans="3:28">
      <c r="K99" s="204" t="s">
        <v>121</v>
      </c>
      <c r="L99" s="109"/>
      <c r="M99" s="1042" t="s">
        <v>307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  <c r="Y99" s="195"/>
      <c r="Z99" s="195"/>
      <c r="AA99" s="195"/>
      <c r="AB99" s="195"/>
    </row>
    <row r="100" spans="3:28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  <c r="Y100" s="195"/>
      <c r="Z100" s="195"/>
      <c r="AA100" s="195"/>
      <c r="AB100" s="195"/>
    </row>
    <row r="101" spans="3:28" ht="15.75">
      <c r="K101" s="169"/>
      <c r="L101" s="206"/>
      <c r="M101" s="207"/>
      <c r="N101" s="165"/>
      <c r="O101" s="113"/>
      <c r="P101" s="113"/>
      <c r="Q101" s="111"/>
      <c r="R101" s="106"/>
      <c r="S101" s="106"/>
      <c r="T101" s="155"/>
      <c r="U101" s="106"/>
      <c r="W101" s="111"/>
      <c r="X101" s="170"/>
      <c r="Y101" s="195"/>
      <c r="Z101" s="195"/>
      <c r="AA101" s="195"/>
      <c r="AB101" s="195"/>
    </row>
    <row r="102" spans="3:28" ht="15.75">
      <c r="K102" s="169"/>
      <c r="L102" s="206"/>
      <c r="M102" s="207"/>
      <c r="N102" s="165"/>
      <c r="O102" s="113"/>
      <c r="P102" s="113"/>
      <c r="Q102" s="111"/>
      <c r="R102" s="106"/>
      <c r="S102" s="106"/>
      <c r="T102" s="155"/>
      <c r="U102" s="106"/>
      <c r="W102" s="111"/>
      <c r="X102" s="157"/>
      <c r="Y102" s="195"/>
      <c r="Z102" s="195"/>
      <c r="AA102" s="195"/>
      <c r="AB102" s="195"/>
    </row>
    <row r="103" spans="3:28"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</row>
    <row r="104" spans="3:28">
      <c r="C104" s="195"/>
      <c r="D104" s="195"/>
      <c r="E104" s="195"/>
      <c r="F104" s="195"/>
      <c r="G104" s="195"/>
      <c r="H104" s="195"/>
      <c r="I104" s="195"/>
      <c r="J104" s="195"/>
    </row>
    <row r="105" spans="3:28">
      <c r="C105" s="195"/>
      <c r="D105" s="195"/>
      <c r="E105" s="195"/>
      <c r="F105" s="195"/>
      <c r="G105" s="195"/>
      <c r="H105" s="195"/>
      <c r="I105" s="195"/>
      <c r="J105" s="195"/>
    </row>
    <row r="106" spans="3:28">
      <c r="C106" s="195"/>
      <c r="D106" s="195"/>
      <c r="E106" s="195"/>
      <c r="F106" s="195"/>
      <c r="G106" s="195"/>
      <c r="H106" s="195"/>
      <c r="I106" s="195"/>
      <c r="J106" s="195"/>
    </row>
    <row r="107" spans="3:28">
      <c r="C107" s="195"/>
      <c r="D107" s="195"/>
      <c r="E107" s="195"/>
      <c r="F107" s="195"/>
      <c r="G107" s="195"/>
      <c r="H107" s="195"/>
      <c r="I107" s="195"/>
      <c r="J107" s="195"/>
    </row>
    <row r="108" spans="3:28">
      <c r="C108" s="195"/>
      <c r="D108" s="195"/>
      <c r="E108" s="195"/>
      <c r="F108" s="195"/>
      <c r="G108" s="195"/>
      <c r="H108" s="195"/>
      <c r="I108" s="195"/>
      <c r="J108" s="195"/>
    </row>
    <row r="109" spans="3:28">
      <c r="C109" s="195"/>
      <c r="D109" s="195"/>
      <c r="E109" s="195"/>
      <c r="F109" s="195"/>
      <c r="G109" s="195"/>
      <c r="H109" s="195"/>
      <c r="I109" s="195"/>
      <c r="J109" s="195"/>
    </row>
    <row r="110" spans="3:28">
      <c r="C110" s="195"/>
      <c r="D110" s="195"/>
      <c r="E110" s="195"/>
      <c r="F110" s="195"/>
      <c r="G110" s="195"/>
      <c r="H110" s="195"/>
      <c r="I110" s="195"/>
      <c r="J110" s="195"/>
    </row>
    <row r="111" spans="3:28">
      <c r="C111" s="195"/>
      <c r="D111" s="195"/>
      <c r="E111" s="195"/>
      <c r="F111" s="195"/>
      <c r="G111" s="195"/>
      <c r="H111" s="195"/>
      <c r="I111" s="195"/>
      <c r="J111" s="195"/>
    </row>
    <row r="112" spans="3:28">
      <c r="C112" s="195"/>
      <c r="D112" s="195"/>
      <c r="E112" s="195"/>
      <c r="F112" s="195"/>
      <c r="G112" s="195"/>
      <c r="H112" s="195"/>
      <c r="I112" s="195"/>
      <c r="J112" s="195"/>
    </row>
    <row r="113" spans="3:10">
      <c r="C113" s="195"/>
      <c r="D113" s="195"/>
      <c r="E113" s="195"/>
      <c r="F113" s="195"/>
      <c r="G113" s="195"/>
      <c r="H113" s="195"/>
      <c r="I113" s="195"/>
      <c r="J113" s="195"/>
    </row>
    <row r="114" spans="3:10">
      <c r="C114" s="195"/>
      <c r="D114" s="195"/>
      <c r="E114" s="195"/>
      <c r="F114" s="195"/>
      <c r="G114" s="195"/>
      <c r="H114" s="195"/>
      <c r="I114" s="195"/>
      <c r="J114" s="195"/>
    </row>
    <row r="115" spans="3:10">
      <c r="C115" s="195"/>
      <c r="D115" s="195"/>
      <c r="E115" s="195"/>
      <c r="F115" s="195"/>
      <c r="G115" s="195"/>
      <c r="H115" s="195"/>
      <c r="I115" s="195"/>
      <c r="J115" s="195"/>
    </row>
    <row r="116" spans="3:10">
      <c r="C116" s="195"/>
      <c r="D116" s="195"/>
      <c r="E116" s="195"/>
      <c r="F116" s="195"/>
      <c r="G116" s="195"/>
      <c r="H116" s="195"/>
      <c r="I116" s="195"/>
      <c r="J116" s="195"/>
    </row>
    <row r="117" spans="3:10">
      <c r="C117" s="195"/>
      <c r="D117" s="195"/>
      <c r="E117" s="195"/>
      <c r="F117" s="195"/>
      <c r="G117" s="195"/>
      <c r="H117" s="195"/>
      <c r="I117" s="195"/>
      <c r="J117" s="195"/>
    </row>
    <row r="118" spans="3:10">
      <c r="C118" s="195"/>
      <c r="D118" s="195"/>
      <c r="E118" s="195"/>
      <c r="F118" s="195"/>
      <c r="G118" s="195"/>
      <c r="H118" s="195"/>
      <c r="I118" s="195"/>
      <c r="J118" s="195"/>
    </row>
    <row r="119" spans="3:10">
      <c r="C119" s="195"/>
      <c r="D119" s="195"/>
      <c r="E119" s="195"/>
      <c r="F119" s="195"/>
      <c r="G119" s="195"/>
      <c r="H119" s="195"/>
      <c r="I119" s="195"/>
      <c r="J119" s="195"/>
    </row>
    <row r="120" spans="3:10">
      <c r="C120" s="195"/>
      <c r="D120" s="195"/>
      <c r="E120" s="195"/>
      <c r="F120" s="195"/>
      <c r="G120" s="195"/>
      <c r="H120" s="195"/>
      <c r="I120" s="195"/>
      <c r="J120" s="195"/>
    </row>
    <row r="121" spans="3:10">
      <c r="C121" s="195"/>
      <c r="D121" s="195"/>
      <c r="E121" s="195"/>
      <c r="F121" s="195"/>
      <c r="G121" s="195"/>
      <c r="H121" s="195"/>
      <c r="I121" s="195"/>
      <c r="J121" s="195"/>
    </row>
    <row r="122" spans="3:10">
      <c r="C122" s="195"/>
      <c r="D122" s="195"/>
      <c r="E122" s="195"/>
      <c r="F122" s="195"/>
      <c r="G122" s="195"/>
      <c r="H122" s="195"/>
      <c r="I122" s="195"/>
      <c r="J122" s="195"/>
    </row>
    <row r="123" spans="3:10">
      <c r="C123" s="195"/>
      <c r="D123" s="195"/>
      <c r="E123" s="195"/>
      <c r="F123" s="195"/>
      <c r="G123" s="195"/>
      <c r="H123" s="195"/>
      <c r="I123" s="195"/>
      <c r="J123" s="195"/>
    </row>
    <row r="124" spans="3:10">
      <c r="C124" s="195"/>
      <c r="D124" s="195"/>
      <c r="E124" s="195"/>
      <c r="F124" s="195"/>
      <c r="G124" s="195"/>
      <c r="H124" s="195"/>
      <c r="I124" s="195"/>
      <c r="J124" s="195"/>
    </row>
    <row r="125" spans="3:10">
      <c r="C125" s="195"/>
      <c r="D125" s="195"/>
      <c r="E125" s="195"/>
      <c r="F125" s="195"/>
      <c r="G125" s="195"/>
      <c r="H125" s="195"/>
      <c r="I125" s="195"/>
      <c r="J125" s="195"/>
    </row>
    <row r="126" spans="3:10">
      <c r="C126" s="195"/>
      <c r="D126" s="195"/>
      <c r="E126" s="195"/>
      <c r="F126" s="195"/>
      <c r="G126" s="195"/>
      <c r="H126" s="195"/>
      <c r="I126" s="195"/>
      <c r="J126" s="195"/>
    </row>
    <row r="127" spans="3:10">
      <c r="C127" s="195"/>
      <c r="D127" s="195"/>
      <c r="E127" s="195"/>
      <c r="F127" s="195"/>
      <c r="G127" s="195"/>
      <c r="H127" s="195"/>
      <c r="I127" s="195"/>
      <c r="J127" s="195"/>
    </row>
    <row r="128" spans="3:10">
      <c r="C128" s="195"/>
      <c r="D128" s="195"/>
      <c r="E128" s="195"/>
      <c r="F128" s="195"/>
      <c r="G128" s="195"/>
      <c r="H128" s="195"/>
      <c r="I128" s="195"/>
      <c r="J128" s="195"/>
    </row>
    <row r="129" spans="3:10">
      <c r="C129" s="195"/>
      <c r="D129" s="195"/>
      <c r="E129" s="195"/>
      <c r="F129" s="195"/>
      <c r="G129" s="195"/>
      <c r="H129" s="195"/>
      <c r="I129" s="195"/>
      <c r="J129" s="195"/>
    </row>
    <row r="130" spans="3:10">
      <c r="C130" s="195"/>
      <c r="D130" s="195"/>
      <c r="E130" s="195"/>
      <c r="F130" s="195"/>
      <c r="G130" s="195"/>
      <c r="H130" s="195"/>
      <c r="I130" s="195"/>
      <c r="J130" s="195"/>
    </row>
    <row r="131" spans="3:10">
      <c r="C131" s="195"/>
      <c r="D131" s="195"/>
      <c r="E131" s="195"/>
      <c r="F131" s="195"/>
      <c r="G131" s="195"/>
      <c r="H131" s="195"/>
      <c r="I131" s="195"/>
      <c r="J131" s="195"/>
    </row>
    <row r="132" spans="3:10">
      <c r="C132" s="195"/>
      <c r="D132" s="195"/>
      <c r="E132" s="195"/>
      <c r="F132" s="195"/>
      <c r="G132" s="195"/>
      <c r="H132" s="195"/>
      <c r="I132" s="195"/>
      <c r="J132" s="195"/>
    </row>
    <row r="133" spans="3:10">
      <c r="C133" s="195"/>
      <c r="D133" s="195"/>
      <c r="E133" s="195"/>
      <c r="F133" s="195"/>
      <c r="G133" s="195"/>
      <c r="H133" s="195"/>
      <c r="I133" s="195"/>
      <c r="J133" s="195"/>
    </row>
    <row r="134" spans="3:10">
      <c r="C134" s="195"/>
      <c r="D134" s="195"/>
      <c r="E134" s="195"/>
      <c r="F134" s="195"/>
      <c r="G134" s="195"/>
      <c r="H134" s="195"/>
      <c r="I134" s="195"/>
      <c r="J134" s="195"/>
    </row>
    <row r="135" spans="3:10">
      <c r="C135" s="195"/>
      <c r="D135" s="195"/>
      <c r="E135" s="195"/>
      <c r="F135" s="195"/>
      <c r="G135" s="195"/>
      <c r="H135" s="195"/>
      <c r="I135" s="195"/>
      <c r="J135" s="195"/>
    </row>
    <row r="136" spans="3:10">
      <c r="C136" s="195"/>
      <c r="D136" s="195"/>
      <c r="E136" s="195"/>
      <c r="F136" s="195"/>
      <c r="G136" s="195"/>
      <c r="H136" s="195"/>
      <c r="I136" s="195"/>
      <c r="J136" s="195"/>
    </row>
    <row r="137" spans="3:10">
      <c r="C137" s="195"/>
      <c r="D137" s="195"/>
      <c r="E137" s="195"/>
      <c r="F137" s="195"/>
      <c r="G137" s="195"/>
      <c r="H137" s="195"/>
      <c r="I137" s="195"/>
      <c r="J137" s="195"/>
    </row>
    <row r="138" spans="3:10">
      <c r="C138" s="195"/>
      <c r="D138" s="195"/>
      <c r="E138" s="195"/>
      <c r="F138" s="195"/>
      <c r="G138" s="195"/>
      <c r="H138" s="195"/>
      <c r="I138" s="195"/>
      <c r="J138" s="195"/>
    </row>
    <row r="139" spans="3:10">
      <c r="C139" s="195"/>
      <c r="D139" s="195"/>
      <c r="E139" s="195"/>
      <c r="F139" s="195"/>
      <c r="G139" s="195"/>
      <c r="H139" s="195"/>
      <c r="I139" s="195"/>
      <c r="J139" s="195"/>
    </row>
    <row r="140" spans="3:10">
      <c r="C140" s="195"/>
      <c r="D140" s="195"/>
      <c r="E140" s="195"/>
      <c r="F140" s="195"/>
      <c r="G140" s="195"/>
      <c r="H140" s="195"/>
      <c r="I140" s="195"/>
      <c r="J140" s="195"/>
    </row>
    <row r="141" spans="3:10">
      <c r="C141" s="195"/>
      <c r="D141" s="195"/>
      <c r="E141" s="195"/>
      <c r="F141" s="195"/>
      <c r="G141" s="195"/>
      <c r="H141" s="195"/>
      <c r="I141" s="195"/>
      <c r="J141" s="195"/>
    </row>
    <row r="142" spans="3:10">
      <c r="C142" s="195"/>
      <c r="D142" s="195"/>
      <c r="E142" s="195"/>
      <c r="F142" s="195"/>
      <c r="G142" s="195"/>
      <c r="H142" s="195"/>
      <c r="I142" s="195"/>
      <c r="J142" s="195"/>
    </row>
    <row r="143" spans="3:10">
      <c r="C143" s="195"/>
      <c r="D143" s="195"/>
      <c r="E143" s="195"/>
      <c r="F143" s="195"/>
      <c r="G143" s="195"/>
      <c r="H143" s="195"/>
      <c r="I143" s="195"/>
      <c r="J143" s="195"/>
    </row>
    <row r="144" spans="3:10">
      <c r="C144" s="195"/>
      <c r="D144" s="195"/>
      <c r="E144" s="195"/>
      <c r="F144" s="195"/>
      <c r="G144" s="195"/>
      <c r="H144" s="195"/>
      <c r="I144" s="195"/>
      <c r="J144" s="195"/>
    </row>
    <row r="145" spans="3:10">
      <c r="C145" s="195"/>
      <c r="D145" s="195"/>
      <c r="E145" s="195"/>
      <c r="F145" s="195"/>
      <c r="G145" s="195"/>
      <c r="H145" s="195"/>
      <c r="I145" s="195"/>
      <c r="J145" s="195"/>
    </row>
    <row r="146" spans="3:10">
      <c r="C146" s="195"/>
      <c r="D146" s="195"/>
      <c r="E146" s="195"/>
      <c r="F146" s="195"/>
      <c r="G146" s="195"/>
      <c r="H146" s="195"/>
      <c r="I146" s="195"/>
      <c r="J146" s="195"/>
    </row>
    <row r="147" spans="3:10">
      <c r="C147" s="195"/>
      <c r="D147" s="195"/>
      <c r="E147" s="195"/>
      <c r="F147" s="195"/>
      <c r="G147" s="195"/>
      <c r="H147" s="195"/>
      <c r="I147" s="195"/>
      <c r="J147" s="195"/>
    </row>
    <row r="148" spans="3:10">
      <c r="C148" s="195"/>
      <c r="D148" s="195"/>
      <c r="E148" s="195"/>
      <c r="F148" s="195"/>
      <c r="G148" s="195"/>
      <c r="H148" s="195"/>
      <c r="I148" s="195"/>
      <c r="J148" s="195"/>
    </row>
    <row r="149" spans="3:10">
      <c r="C149" s="195"/>
      <c r="D149" s="195"/>
      <c r="E149" s="195"/>
      <c r="F149" s="195"/>
      <c r="G149" s="195"/>
      <c r="H149" s="195"/>
      <c r="I149" s="195"/>
      <c r="J149" s="195"/>
    </row>
    <row r="150" spans="3:10">
      <c r="C150" s="195"/>
      <c r="D150" s="195"/>
      <c r="E150" s="195"/>
      <c r="F150" s="195"/>
      <c r="G150" s="195"/>
      <c r="H150" s="195"/>
      <c r="I150" s="195"/>
      <c r="J150" s="195"/>
    </row>
    <row r="151" spans="3:10">
      <c r="C151" s="195"/>
      <c r="D151" s="195"/>
      <c r="E151" s="195"/>
      <c r="F151" s="195"/>
      <c r="G151" s="195"/>
      <c r="H151" s="195"/>
      <c r="I151" s="195"/>
      <c r="J151" s="195"/>
    </row>
    <row r="152" spans="3:10">
      <c r="C152" s="195"/>
      <c r="D152" s="195"/>
      <c r="E152" s="195"/>
      <c r="F152" s="195"/>
      <c r="G152" s="195"/>
      <c r="H152" s="195"/>
      <c r="I152" s="195"/>
      <c r="J152" s="195"/>
    </row>
    <row r="153" spans="3:10">
      <c r="C153" s="195"/>
      <c r="D153" s="195"/>
      <c r="E153" s="195"/>
      <c r="F153" s="195"/>
      <c r="G153" s="195"/>
      <c r="H153" s="195"/>
      <c r="I153" s="195"/>
      <c r="J153" s="195"/>
    </row>
    <row r="154" spans="3:10">
      <c r="C154" s="195"/>
      <c r="D154" s="195"/>
      <c r="E154" s="195"/>
      <c r="F154" s="195"/>
      <c r="G154" s="195"/>
      <c r="H154" s="195"/>
      <c r="I154" s="195"/>
      <c r="J154" s="195"/>
    </row>
    <row r="155" spans="3:10">
      <c r="C155" s="195"/>
      <c r="D155" s="195"/>
      <c r="E155" s="195"/>
      <c r="F155" s="195"/>
      <c r="G155" s="195"/>
      <c r="H155" s="195"/>
      <c r="I155" s="195"/>
      <c r="J155" s="195"/>
    </row>
    <row r="156" spans="3:10">
      <c r="C156" s="195"/>
      <c r="D156" s="195"/>
      <c r="E156" s="195"/>
      <c r="F156" s="195"/>
      <c r="G156" s="195"/>
      <c r="H156" s="195"/>
      <c r="I156" s="195"/>
      <c r="J156" s="195"/>
    </row>
    <row r="157" spans="3:10">
      <c r="C157" s="195"/>
      <c r="D157" s="195"/>
      <c r="E157" s="195"/>
      <c r="F157" s="195"/>
      <c r="G157" s="195"/>
      <c r="H157" s="195"/>
      <c r="I157" s="195"/>
      <c r="J157" s="195"/>
    </row>
    <row r="158" spans="3:10">
      <c r="C158" s="195"/>
      <c r="D158" s="195"/>
      <c r="E158" s="195"/>
      <c r="F158" s="195"/>
      <c r="G158" s="195"/>
      <c r="H158" s="195"/>
      <c r="I158" s="195"/>
      <c r="J158" s="195"/>
    </row>
    <row r="159" spans="3:10">
      <c r="C159" s="195"/>
      <c r="D159" s="195"/>
      <c r="E159" s="195"/>
      <c r="F159" s="195"/>
      <c r="G159" s="195"/>
      <c r="H159" s="195"/>
      <c r="I159" s="195"/>
      <c r="J159" s="195"/>
    </row>
    <row r="160" spans="3:10">
      <c r="C160" s="195"/>
      <c r="D160" s="195"/>
      <c r="E160" s="195"/>
      <c r="F160" s="195"/>
      <c r="G160" s="195"/>
      <c r="H160" s="195"/>
      <c r="I160" s="195"/>
      <c r="J160" s="195"/>
    </row>
    <row r="161" spans="3:10">
      <c r="C161" s="195"/>
      <c r="D161" s="195"/>
      <c r="E161" s="195"/>
      <c r="F161" s="195"/>
      <c r="G161" s="195"/>
      <c r="H161" s="195"/>
      <c r="I161" s="195"/>
      <c r="J161" s="195"/>
    </row>
    <row r="162" spans="3:10">
      <c r="C162" s="195"/>
      <c r="D162" s="195"/>
      <c r="E162" s="195"/>
      <c r="F162" s="195"/>
      <c r="G162" s="195"/>
      <c r="H162" s="195"/>
      <c r="I162" s="195"/>
      <c r="J162" s="195"/>
    </row>
    <row r="163" spans="3:10">
      <c r="C163" s="195"/>
      <c r="D163" s="195"/>
      <c r="E163" s="195"/>
      <c r="F163" s="195"/>
      <c r="G163" s="195"/>
      <c r="H163" s="195"/>
      <c r="I163" s="195"/>
      <c r="J163" s="195"/>
    </row>
    <row r="164" spans="3:10">
      <c r="C164" s="195"/>
      <c r="D164" s="195"/>
      <c r="E164" s="195"/>
      <c r="F164" s="195"/>
      <c r="G164" s="195"/>
      <c r="H164" s="195"/>
      <c r="I164" s="195"/>
      <c r="J164" s="195"/>
    </row>
    <row r="165" spans="3:10">
      <c r="C165" s="195"/>
      <c r="D165" s="195"/>
      <c r="E165" s="195"/>
      <c r="F165" s="195"/>
      <c r="G165" s="195"/>
      <c r="H165" s="195"/>
      <c r="I165" s="195"/>
      <c r="J165" s="195"/>
    </row>
    <row r="166" spans="3:10">
      <c r="C166" s="195"/>
      <c r="D166" s="195"/>
      <c r="E166" s="195"/>
      <c r="F166" s="195"/>
      <c r="G166" s="195"/>
      <c r="H166" s="195"/>
      <c r="I166" s="195"/>
      <c r="J166" s="195"/>
    </row>
    <row r="167" spans="3:10">
      <c r="C167" s="195"/>
      <c r="D167" s="195"/>
      <c r="E167" s="195"/>
      <c r="F167" s="195"/>
      <c r="G167" s="195"/>
      <c r="H167" s="195"/>
      <c r="I167" s="195"/>
      <c r="J167" s="195"/>
    </row>
    <row r="168" spans="3:10">
      <c r="C168" s="195"/>
      <c r="D168" s="195"/>
      <c r="E168" s="195"/>
      <c r="F168" s="195"/>
      <c r="G168" s="195"/>
      <c r="H168" s="195"/>
      <c r="I168" s="195"/>
      <c r="J168" s="195"/>
    </row>
    <row r="169" spans="3:10">
      <c r="C169" s="195"/>
      <c r="D169" s="195"/>
      <c r="E169" s="195"/>
      <c r="F169" s="195"/>
      <c r="G169" s="195"/>
      <c r="H169" s="195"/>
      <c r="I169" s="195"/>
      <c r="J169" s="195"/>
    </row>
    <row r="170" spans="3:10">
      <c r="C170" s="195"/>
      <c r="D170" s="195"/>
      <c r="E170" s="195"/>
      <c r="F170" s="195"/>
      <c r="G170" s="195"/>
      <c r="H170" s="195"/>
      <c r="I170" s="195"/>
      <c r="J170" s="195"/>
    </row>
    <row r="171" spans="3:10">
      <c r="C171" s="195"/>
      <c r="D171" s="195"/>
      <c r="E171" s="195"/>
      <c r="F171" s="195"/>
      <c r="G171" s="195"/>
      <c r="H171" s="195"/>
      <c r="I171" s="195"/>
      <c r="J171" s="195"/>
    </row>
    <row r="172" spans="3:10">
      <c r="C172" s="195"/>
      <c r="D172" s="195"/>
      <c r="E172" s="195"/>
      <c r="F172" s="195"/>
      <c r="G172" s="195"/>
      <c r="H172" s="195"/>
      <c r="I172" s="195"/>
      <c r="J172" s="195"/>
    </row>
    <row r="173" spans="3:10">
      <c r="C173" s="195"/>
      <c r="D173" s="195"/>
      <c r="E173" s="195"/>
      <c r="F173" s="195"/>
      <c r="G173" s="195"/>
      <c r="H173" s="195"/>
      <c r="I173" s="195"/>
      <c r="J173" s="195"/>
    </row>
    <row r="174" spans="3:10">
      <c r="C174" s="195"/>
      <c r="D174" s="195"/>
      <c r="E174" s="195"/>
      <c r="F174" s="195"/>
      <c r="G174" s="195"/>
      <c r="H174" s="195"/>
      <c r="I174" s="195"/>
      <c r="J174" s="195"/>
    </row>
    <row r="175" spans="3:10">
      <c r="C175" s="195"/>
      <c r="D175" s="195"/>
      <c r="E175" s="195"/>
      <c r="F175" s="195"/>
      <c r="G175" s="195"/>
      <c r="H175" s="195"/>
      <c r="I175" s="195"/>
      <c r="J175" s="195"/>
    </row>
    <row r="176" spans="3:10">
      <c r="C176" s="195"/>
      <c r="D176" s="195"/>
      <c r="E176" s="195"/>
      <c r="F176" s="195"/>
      <c r="G176" s="195"/>
      <c r="H176" s="195"/>
      <c r="I176" s="195"/>
      <c r="J176" s="195"/>
    </row>
    <row r="177" spans="3:10">
      <c r="C177" s="195"/>
      <c r="D177" s="195"/>
      <c r="E177" s="195"/>
      <c r="F177" s="195"/>
      <c r="G177" s="195"/>
      <c r="H177" s="195"/>
      <c r="I177" s="195"/>
      <c r="J177" s="195"/>
    </row>
    <row r="178" spans="3:10">
      <c r="C178" s="195"/>
      <c r="D178" s="195"/>
      <c r="E178" s="195"/>
      <c r="F178" s="195"/>
      <c r="G178" s="195"/>
      <c r="H178" s="195"/>
      <c r="I178" s="195"/>
      <c r="J178" s="195"/>
    </row>
    <row r="179" spans="3:10">
      <c r="C179" s="195"/>
      <c r="D179" s="195"/>
      <c r="E179" s="195"/>
      <c r="F179" s="195"/>
      <c r="G179" s="195"/>
      <c r="H179" s="195"/>
      <c r="I179" s="195"/>
      <c r="J179" s="195"/>
    </row>
    <row r="180" spans="3:10">
      <c r="C180" s="195"/>
      <c r="D180" s="195"/>
      <c r="E180" s="195"/>
      <c r="F180" s="195"/>
      <c r="G180" s="195"/>
      <c r="H180" s="195"/>
      <c r="I180" s="195"/>
      <c r="J180" s="195"/>
    </row>
    <row r="181" spans="3:10">
      <c r="C181" s="195"/>
      <c r="D181" s="195"/>
      <c r="E181" s="195"/>
      <c r="F181" s="195"/>
      <c r="G181" s="195"/>
      <c r="H181" s="195"/>
      <c r="I181" s="195"/>
      <c r="J181" s="195"/>
    </row>
    <row r="182" spans="3:10">
      <c r="C182" s="195"/>
      <c r="D182" s="195"/>
      <c r="E182" s="195"/>
      <c r="F182" s="195"/>
      <c r="G182" s="195"/>
      <c r="H182" s="195"/>
      <c r="I182" s="195"/>
      <c r="J182" s="195"/>
    </row>
    <row r="183" spans="3:10">
      <c r="C183" s="195"/>
      <c r="D183" s="195"/>
      <c r="E183" s="195"/>
      <c r="F183" s="195"/>
      <c r="G183" s="195"/>
      <c r="H183" s="195"/>
      <c r="I183" s="195"/>
      <c r="J183" s="195"/>
    </row>
    <row r="184" spans="3:10">
      <c r="C184" s="195"/>
      <c r="D184" s="195"/>
      <c r="E184" s="195"/>
      <c r="F184" s="195"/>
      <c r="G184" s="195"/>
      <c r="H184" s="195"/>
      <c r="I184" s="195"/>
      <c r="J184" s="195"/>
    </row>
    <row r="185" spans="3:10">
      <c r="C185" s="195"/>
      <c r="D185" s="195"/>
      <c r="E185" s="195"/>
      <c r="F185" s="195"/>
      <c r="G185" s="195"/>
      <c r="H185" s="195"/>
      <c r="I185" s="195"/>
      <c r="J185" s="195"/>
    </row>
    <row r="186" spans="3:10">
      <c r="C186" s="195"/>
      <c r="D186" s="195"/>
      <c r="E186" s="195"/>
      <c r="F186" s="195"/>
      <c r="G186" s="195"/>
      <c r="H186" s="195"/>
      <c r="I186" s="195"/>
      <c r="J186" s="195"/>
    </row>
    <row r="187" spans="3:10">
      <c r="C187" s="195"/>
      <c r="D187" s="195"/>
      <c r="E187" s="195"/>
      <c r="F187" s="195"/>
      <c r="G187" s="195"/>
      <c r="H187" s="195"/>
      <c r="I187" s="195"/>
      <c r="J187" s="195"/>
    </row>
    <row r="188" spans="3:10">
      <c r="C188" s="195"/>
      <c r="D188" s="195"/>
      <c r="E188" s="195"/>
      <c r="F188" s="195"/>
      <c r="G188" s="195"/>
      <c r="H188" s="195"/>
      <c r="I188" s="195"/>
      <c r="J188" s="195"/>
    </row>
    <row r="189" spans="3:10">
      <c r="C189" s="195"/>
      <c r="D189" s="195"/>
      <c r="E189" s="195"/>
      <c r="F189" s="195"/>
      <c r="G189" s="195"/>
      <c r="H189" s="195"/>
      <c r="I189" s="195"/>
      <c r="J189" s="195"/>
    </row>
    <row r="190" spans="3:10">
      <c r="C190" s="195"/>
      <c r="D190" s="195"/>
      <c r="E190" s="195"/>
      <c r="F190" s="195"/>
      <c r="G190" s="195"/>
      <c r="H190" s="195"/>
      <c r="I190" s="195"/>
      <c r="J190" s="195"/>
    </row>
    <row r="191" spans="3:10">
      <c r="C191" s="195"/>
      <c r="D191" s="195"/>
      <c r="E191" s="195"/>
      <c r="F191" s="195"/>
      <c r="G191" s="195"/>
      <c r="H191" s="195"/>
      <c r="I191" s="195"/>
      <c r="J191" s="195"/>
    </row>
    <row r="192" spans="3:10">
      <c r="C192" s="195"/>
      <c r="D192" s="195"/>
      <c r="E192" s="195"/>
      <c r="F192" s="195"/>
      <c r="G192" s="195"/>
      <c r="H192" s="195"/>
      <c r="I192" s="195"/>
      <c r="J192" s="195"/>
    </row>
    <row r="193" spans="3:10">
      <c r="C193" s="195"/>
      <c r="D193" s="195"/>
      <c r="E193" s="195"/>
      <c r="F193" s="195"/>
      <c r="G193" s="195"/>
      <c r="H193" s="195"/>
      <c r="I193" s="195"/>
      <c r="J193" s="195"/>
    </row>
    <row r="194" spans="3:10">
      <c r="C194" s="195"/>
      <c r="D194" s="195"/>
      <c r="E194" s="195"/>
      <c r="F194" s="195"/>
      <c r="G194" s="195"/>
      <c r="H194" s="195"/>
      <c r="I194" s="195"/>
      <c r="J194" s="195"/>
    </row>
    <row r="195" spans="3:10">
      <c r="C195" s="195"/>
      <c r="D195" s="195"/>
      <c r="E195" s="195"/>
      <c r="F195" s="195"/>
      <c r="G195" s="195"/>
      <c r="H195" s="195"/>
      <c r="I195" s="195"/>
      <c r="J195" s="195"/>
    </row>
    <row r="196" spans="3:10">
      <c r="C196" s="195"/>
      <c r="D196" s="195"/>
      <c r="E196" s="195"/>
      <c r="F196" s="195"/>
      <c r="G196" s="195"/>
      <c r="H196" s="195"/>
      <c r="I196" s="195"/>
      <c r="J196" s="195"/>
    </row>
    <row r="197" spans="3:10">
      <c r="C197" s="195"/>
      <c r="D197" s="195"/>
      <c r="E197" s="195"/>
      <c r="F197" s="195"/>
      <c r="G197" s="195"/>
      <c r="H197" s="195"/>
      <c r="I197" s="195"/>
      <c r="J197" s="195"/>
    </row>
    <row r="198" spans="3:10">
      <c r="C198" s="195"/>
      <c r="D198" s="195"/>
      <c r="E198" s="195"/>
      <c r="F198" s="195"/>
      <c r="G198" s="195"/>
      <c r="H198" s="195"/>
      <c r="I198" s="195"/>
      <c r="J198" s="195"/>
    </row>
    <row r="199" spans="3:10">
      <c r="C199" s="195"/>
      <c r="D199" s="195"/>
      <c r="E199" s="195"/>
      <c r="F199" s="195"/>
      <c r="G199" s="195"/>
      <c r="H199" s="195"/>
      <c r="I199" s="195"/>
      <c r="J199" s="195"/>
    </row>
    <row r="200" spans="3:10">
      <c r="C200" s="195"/>
      <c r="D200" s="195"/>
      <c r="E200" s="195"/>
      <c r="F200" s="195"/>
      <c r="G200" s="195"/>
      <c r="H200" s="195"/>
      <c r="I200" s="195"/>
      <c r="J200" s="195"/>
    </row>
    <row r="201" spans="3:10">
      <c r="C201" s="195"/>
      <c r="D201" s="195"/>
      <c r="E201" s="195"/>
      <c r="F201" s="195"/>
      <c r="G201" s="195"/>
      <c r="H201" s="195"/>
      <c r="I201" s="195"/>
      <c r="J201" s="195"/>
    </row>
    <row r="202" spans="3:10">
      <c r="C202" s="195"/>
      <c r="D202" s="195"/>
      <c r="E202" s="195"/>
      <c r="F202" s="195"/>
      <c r="G202" s="195"/>
      <c r="H202" s="195"/>
      <c r="I202" s="195"/>
      <c r="J202" s="195"/>
    </row>
    <row r="203" spans="3:10">
      <c r="C203" s="195"/>
      <c r="D203" s="195"/>
      <c r="E203" s="195"/>
      <c r="F203" s="195"/>
      <c r="G203" s="195"/>
      <c r="H203" s="195"/>
      <c r="I203" s="195"/>
      <c r="J203" s="195"/>
    </row>
    <row r="204" spans="3:10">
      <c r="C204" s="195"/>
      <c r="D204" s="195"/>
      <c r="E204" s="195"/>
      <c r="F204" s="195"/>
      <c r="G204" s="195"/>
      <c r="H204" s="195"/>
      <c r="I204" s="195"/>
      <c r="J204" s="195"/>
    </row>
    <row r="205" spans="3:10">
      <c r="C205" s="195"/>
      <c r="D205" s="195"/>
      <c r="E205" s="195"/>
      <c r="F205" s="195"/>
      <c r="G205" s="195"/>
      <c r="H205" s="195"/>
      <c r="I205" s="195"/>
      <c r="J205" s="195"/>
    </row>
    <row r="206" spans="3:10">
      <c r="C206" s="195"/>
      <c r="D206" s="195"/>
      <c r="E206" s="195"/>
      <c r="F206" s="195"/>
      <c r="G206" s="195"/>
      <c r="H206" s="195"/>
      <c r="I206" s="195"/>
      <c r="J206" s="195"/>
    </row>
    <row r="207" spans="3:10">
      <c r="C207" s="195"/>
      <c r="D207" s="195"/>
      <c r="E207" s="195"/>
      <c r="F207" s="195"/>
      <c r="G207" s="195"/>
      <c r="H207" s="195"/>
      <c r="I207" s="195"/>
      <c r="J207" s="195"/>
    </row>
    <row r="208" spans="3:10">
      <c r="C208" s="195"/>
      <c r="D208" s="195"/>
      <c r="E208" s="195"/>
      <c r="F208" s="195"/>
      <c r="G208" s="195"/>
      <c r="H208" s="195"/>
      <c r="I208" s="195"/>
      <c r="J208" s="195"/>
    </row>
    <row r="209" spans="3:10">
      <c r="C209" s="195"/>
      <c r="D209" s="195"/>
      <c r="E209" s="195"/>
      <c r="F209" s="195"/>
      <c r="G209" s="195"/>
      <c r="H209" s="195"/>
      <c r="I209" s="195"/>
      <c r="J209" s="195"/>
    </row>
    <row r="210" spans="3:10">
      <c r="C210" s="195"/>
      <c r="D210" s="195"/>
      <c r="E210" s="195"/>
      <c r="F210" s="195"/>
      <c r="G210" s="195"/>
      <c r="H210" s="195"/>
      <c r="I210" s="195"/>
      <c r="J210" s="195"/>
    </row>
    <row r="211" spans="3:10">
      <c r="C211" s="195"/>
      <c r="D211" s="195"/>
      <c r="E211" s="195"/>
      <c r="F211" s="195"/>
      <c r="G211" s="195"/>
      <c r="H211" s="195"/>
      <c r="I211" s="195"/>
      <c r="J211" s="195"/>
    </row>
    <row r="212" spans="3:10">
      <c r="C212" s="195"/>
      <c r="D212" s="195"/>
      <c r="E212" s="195"/>
      <c r="F212" s="195"/>
      <c r="G212" s="195"/>
      <c r="H212" s="195"/>
      <c r="I212" s="195"/>
      <c r="J212" s="195"/>
    </row>
    <row r="213" spans="3:10">
      <c r="C213" s="195"/>
      <c r="D213" s="195"/>
      <c r="E213" s="195"/>
      <c r="F213" s="195"/>
      <c r="G213" s="195"/>
      <c r="H213" s="195"/>
      <c r="I213" s="195"/>
      <c r="J213" s="195"/>
    </row>
    <row r="214" spans="3:10">
      <c r="C214" s="195"/>
      <c r="D214" s="195"/>
      <c r="E214" s="195"/>
      <c r="F214" s="195"/>
      <c r="G214" s="195"/>
      <c r="H214" s="195"/>
      <c r="I214" s="195"/>
      <c r="J214" s="195"/>
    </row>
    <row r="215" spans="3:10">
      <c r="C215" s="195"/>
      <c r="D215" s="195"/>
      <c r="E215" s="195"/>
      <c r="F215" s="195"/>
      <c r="G215" s="195"/>
      <c r="H215" s="195"/>
      <c r="I215" s="195"/>
      <c r="J215" s="195"/>
    </row>
    <row r="216" spans="3:10">
      <c r="C216" s="195"/>
      <c r="D216" s="195"/>
      <c r="E216" s="195"/>
      <c r="F216" s="195"/>
      <c r="G216" s="195"/>
      <c r="H216" s="195"/>
      <c r="I216" s="195"/>
      <c r="J216" s="195"/>
    </row>
    <row r="217" spans="3:10">
      <c r="C217" s="195"/>
      <c r="D217" s="195"/>
      <c r="E217" s="195"/>
      <c r="F217" s="195"/>
      <c r="G217" s="195"/>
      <c r="H217" s="195"/>
      <c r="I217" s="195"/>
      <c r="J217" s="195"/>
    </row>
    <row r="218" spans="3:10">
      <c r="C218" s="195"/>
      <c r="D218" s="195"/>
      <c r="E218" s="195"/>
      <c r="F218" s="195"/>
      <c r="G218" s="195"/>
      <c r="H218" s="195"/>
      <c r="I218" s="195"/>
      <c r="J218" s="195"/>
    </row>
    <row r="219" spans="3:10">
      <c r="C219" s="195"/>
      <c r="D219" s="195"/>
      <c r="E219" s="195"/>
      <c r="F219" s="195"/>
      <c r="G219" s="195"/>
      <c r="H219" s="195"/>
      <c r="I219" s="195"/>
      <c r="J219" s="195"/>
    </row>
    <row r="220" spans="3:10">
      <c r="C220" s="195"/>
      <c r="D220" s="195"/>
      <c r="E220" s="195"/>
      <c r="F220" s="195"/>
      <c r="G220" s="195"/>
      <c r="H220" s="195"/>
      <c r="I220" s="195"/>
      <c r="J220" s="195"/>
    </row>
    <row r="221" spans="3:10">
      <c r="C221" s="195"/>
      <c r="D221" s="195"/>
      <c r="E221" s="195"/>
      <c r="F221" s="195"/>
      <c r="G221" s="195"/>
      <c r="H221" s="195"/>
      <c r="I221" s="195"/>
      <c r="J221" s="195"/>
    </row>
    <row r="222" spans="3:10">
      <c r="C222" s="195"/>
      <c r="D222" s="195"/>
      <c r="E222" s="195"/>
      <c r="F222" s="195"/>
      <c r="G222" s="195"/>
      <c r="H222" s="195"/>
      <c r="I222" s="195"/>
      <c r="J222" s="195"/>
    </row>
    <row r="223" spans="3:10">
      <c r="C223" s="195"/>
      <c r="D223" s="195"/>
      <c r="E223" s="195"/>
      <c r="F223" s="195"/>
      <c r="G223" s="195"/>
      <c r="H223" s="195"/>
      <c r="I223" s="195"/>
      <c r="J223" s="195"/>
    </row>
    <row r="224" spans="3:10">
      <c r="C224" s="195"/>
      <c r="D224" s="195"/>
      <c r="E224" s="195"/>
      <c r="F224" s="195"/>
      <c r="G224" s="195"/>
      <c r="H224" s="195"/>
      <c r="I224" s="195"/>
      <c r="J224" s="195"/>
    </row>
    <row r="225" spans="3:10">
      <c r="C225" s="195"/>
      <c r="D225" s="195"/>
      <c r="E225" s="195"/>
      <c r="F225" s="195"/>
      <c r="G225" s="195"/>
      <c r="H225" s="195"/>
      <c r="I225" s="195"/>
      <c r="J225" s="195"/>
    </row>
    <row r="226" spans="3:10">
      <c r="C226" s="195"/>
      <c r="D226" s="195"/>
      <c r="E226" s="195"/>
      <c r="F226" s="195"/>
      <c r="G226" s="195"/>
      <c r="H226" s="195"/>
      <c r="I226" s="195"/>
      <c r="J226" s="195"/>
    </row>
    <row r="227" spans="3:10">
      <c r="C227" s="195"/>
      <c r="D227" s="195"/>
      <c r="E227" s="195"/>
      <c r="F227" s="195"/>
      <c r="G227" s="195"/>
      <c r="H227" s="195"/>
      <c r="I227" s="195"/>
      <c r="J227" s="195"/>
    </row>
    <row r="228" spans="3:10">
      <c r="C228" s="195"/>
      <c r="D228" s="195"/>
      <c r="E228" s="195"/>
      <c r="F228" s="195"/>
      <c r="G228" s="195"/>
      <c r="H228" s="195"/>
      <c r="I228" s="195"/>
      <c r="J228" s="195"/>
    </row>
    <row r="229" spans="3:10">
      <c r="C229" s="195"/>
      <c r="D229" s="195"/>
      <c r="E229" s="195"/>
      <c r="F229" s="195"/>
      <c r="G229" s="195"/>
      <c r="H229" s="195"/>
      <c r="I229" s="195"/>
      <c r="J229" s="195"/>
    </row>
    <row r="230" spans="3:10">
      <c r="C230" s="195"/>
      <c r="D230" s="195"/>
      <c r="E230" s="195"/>
      <c r="F230" s="195"/>
      <c r="G230" s="195"/>
      <c r="H230" s="195"/>
      <c r="I230" s="195"/>
      <c r="J230" s="195"/>
    </row>
    <row r="231" spans="3:10">
      <c r="C231" s="195"/>
      <c r="D231" s="195"/>
      <c r="E231" s="195"/>
      <c r="F231" s="195"/>
      <c r="G231" s="195"/>
      <c r="H231" s="195"/>
      <c r="I231" s="195"/>
      <c r="J231" s="195"/>
    </row>
    <row r="232" spans="3:10">
      <c r="C232" s="195"/>
      <c r="D232" s="195"/>
      <c r="E232" s="195"/>
      <c r="F232" s="195"/>
      <c r="G232" s="195"/>
      <c r="H232" s="195"/>
      <c r="I232" s="195"/>
      <c r="J232" s="195"/>
    </row>
    <row r="233" spans="3:10">
      <c r="C233" s="195"/>
      <c r="D233" s="195"/>
      <c r="E233" s="195"/>
      <c r="F233" s="195"/>
      <c r="G233" s="195"/>
      <c r="H233" s="195"/>
      <c r="I233" s="195"/>
      <c r="J233" s="195"/>
    </row>
    <row r="234" spans="3:10">
      <c r="C234" s="195"/>
      <c r="D234" s="195"/>
      <c r="E234" s="195"/>
      <c r="F234" s="195"/>
      <c r="G234" s="195"/>
      <c r="H234" s="195"/>
      <c r="I234" s="195"/>
      <c r="J234" s="195"/>
    </row>
    <row r="235" spans="3:10">
      <c r="C235" s="195"/>
      <c r="D235" s="195"/>
      <c r="E235" s="195"/>
      <c r="F235" s="195"/>
      <c r="G235" s="195"/>
      <c r="H235" s="195"/>
      <c r="I235" s="195"/>
      <c r="J235" s="195"/>
    </row>
    <row r="236" spans="3:10">
      <c r="C236" s="195"/>
      <c r="D236" s="195"/>
      <c r="E236" s="195"/>
      <c r="F236" s="195"/>
      <c r="G236" s="195"/>
      <c r="H236" s="195"/>
      <c r="I236" s="195"/>
      <c r="J236" s="195"/>
    </row>
    <row r="237" spans="3:10">
      <c r="C237" s="195"/>
      <c r="D237" s="195"/>
      <c r="E237" s="195"/>
      <c r="F237" s="195"/>
      <c r="G237" s="195"/>
      <c r="H237" s="195"/>
      <c r="I237" s="195"/>
      <c r="J237" s="195"/>
    </row>
    <row r="238" spans="3:10">
      <c r="C238" s="195"/>
      <c r="D238" s="195"/>
      <c r="E238" s="195"/>
      <c r="F238" s="195"/>
      <c r="G238" s="195"/>
      <c r="H238" s="195"/>
      <c r="I238" s="195"/>
      <c r="J238" s="195"/>
    </row>
    <row r="239" spans="3:10">
      <c r="C239" s="195"/>
      <c r="D239" s="195"/>
      <c r="E239" s="195"/>
      <c r="F239" s="195"/>
      <c r="G239" s="195"/>
      <c r="H239" s="195"/>
      <c r="I239" s="195"/>
      <c r="J239" s="195"/>
    </row>
    <row r="240" spans="3:10">
      <c r="C240" s="195"/>
      <c r="D240" s="195"/>
      <c r="E240" s="195"/>
      <c r="F240" s="195"/>
      <c r="G240" s="195"/>
      <c r="H240" s="195"/>
      <c r="I240" s="195"/>
      <c r="J240" s="195"/>
    </row>
    <row r="241" spans="3:10">
      <c r="C241" s="195"/>
      <c r="D241" s="195"/>
      <c r="E241" s="195"/>
      <c r="F241" s="195"/>
      <c r="G241" s="195"/>
      <c r="H241" s="195"/>
      <c r="I241" s="195"/>
      <c r="J241" s="195"/>
    </row>
    <row r="242" spans="3:10">
      <c r="C242" s="195"/>
      <c r="D242" s="195"/>
      <c r="E242" s="195"/>
      <c r="F242" s="195"/>
      <c r="G242" s="195"/>
      <c r="H242" s="195"/>
      <c r="I242" s="195"/>
      <c r="J242" s="195"/>
    </row>
    <row r="243" spans="3:10">
      <c r="C243" s="195"/>
      <c r="D243" s="195"/>
      <c r="E243" s="195"/>
      <c r="F243" s="195"/>
      <c r="G243" s="195"/>
      <c r="H243" s="195"/>
      <c r="I243" s="195"/>
      <c r="J243" s="195"/>
    </row>
    <row r="244" spans="3:10">
      <c r="C244" s="195"/>
      <c r="D244" s="195"/>
      <c r="E244" s="195"/>
      <c r="F244" s="195"/>
      <c r="G244" s="195"/>
      <c r="H244" s="195"/>
      <c r="I244" s="195"/>
      <c r="J244" s="195"/>
    </row>
    <row r="245" spans="3:10">
      <c r="C245" s="195"/>
      <c r="D245" s="195"/>
      <c r="E245" s="195"/>
      <c r="F245" s="195"/>
      <c r="G245" s="195"/>
      <c r="H245" s="195"/>
      <c r="I245" s="195"/>
      <c r="J245" s="195"/>
    </row>
    <row r="246" spans="3:10">
      <c r="C246" s="195"/>
      <c r="D246" s="195"/>
      <c r="E246" s="195"/>
      <c r="F246" s="195"/>
      <c r="G246" s="195"/>
      <c r="H246" s="195"/>
      <c r="I246" s="195"/>
      <c r="J246" s="195"/>
    </row>
    <row r="247" spans="3:10">
      <c r="C247" s="195"/>
      <c r="D247" s="195"/>
      <c r="E247" s="195"/>
      <c r="F247" s="195"/>
      <c r="G247" s="195"/>
      <c r="H247" s="195"/>
      <c r="I247" s="195"/>
      <c r="J247" s="195"/>
    </row>
    <row r="248" spans="3:10">
      <c r="C248" s="195"/>
      <c r="D248" s="195"/>
      <c r="E248" s="195"/>
      <c r="F248" s="195"/>
      <c r="G248" s="195"/>
      <c r="H248" s="195"/>
      <c r="I248" s="195"/>
      <c r="J248" s="195"/>
    </row>
    <row r="249" spans="3:10">
      <c r="C249" s="195"/>
      <c r="D249" s="195"/>
      <c r="E249" s="195"/>
      <c r="F249" s="195"/>
      <c r="G249" s="195"/>
      <c r="H249" s="195"/>
      <c r="I249" s="195"/>
      <c r="J249" s="195"/>
    </row>
    <row r="250" spans="3:10">
      <c r="C250" s="195"/>
      <c r="D250" s="195"/>
      <c r="E250" s="195"/>
      <c r="F250" s="195"/>
      <c r="G250" s="195"/>
      <c r="H250" s="195"/>
      <c r="I250" s="195"/>
      <c r="J250" s="195"/>
    </row>
    <row r="251" spans="3:10">
      <c r="C251" s="195"/>
      <c r="D251" s="195"/>
      <c r="E251" s="195"/>
      <c r="F251" s="195"/>
      <c r="G251" s="195"/>
      <c r="H251" s="195"/>
      <c r="I251" s="195"/>
      <c r="J251" s="195"/>
    </row>
    <row r="252" spans="3:10">
      <c r="C252" s="195"/>
      <c r="D252" s="195"/>
      <c r="E252" s="195"/>
      <c r="F252" s="195"/>
      <c r="G252" s="195"/>
      <c r="H252" s="195"/>
      <c r="I252" s="195"/>
      <c r="J252" s="195"/>
    </row>
    <row r="253" spans="3:10">
      <c r="C253" s="195"/>
      <c r="D253" s="195"/>
      <c r="E253" s="195"/>
      <c r="F253" s="195"/>
      <c r="G253" s="195"/>
      <c r="H253" s="195"/>
      <c r="I253" s="195"/>
      <c r="J253" s="195"/>
    </row>
    <row r="254" spans="3:10">
      <c r="C254" s="195"/>
      <c r="D254" s="195"/>
      <c r="E254" s="195"/>
      <c r="F254" s="195"/>
      <c r="G254" s="195"/>
      <c r="H254" s="195"/>
      <c r="I254" s="195"/>
      <c r="J254" s="195"/>
    </row>
    <row r="255" spans="3:10">
      <c r="C255" s="195"/>
      <c r="D255" s="195"/>
      <c r="E255" s="195"/>
      <c r="F255" s="195"/>
      <c r="G255" s="195"/>
      <c r="H255" s="195"/>
      <c r="I255" s="195"/>
      <c r="J255" s="195"/>
    </row>
    <row r="256" spans="3:10">
      <c r="C256" s="195"/>
      <c r="D256" s="195"/>
      <c r="E256" s="195"/>
      <c r="F256" s="195"/>
      <c r="G256" s="195"/>
      <c r="H256" s="195"/>
      <c r="I256" s="195"/>
      <c r="J256" s="195"/>
    </row>
    <row r="257" spans="3:10">
      <c r="C257" s="195"/>
      <c r="D257" s="195"/>
      <c r="E257" s="195"/>
      <c r="F257" s="195"/>
      <c r="G257" s="195"/>
      <c r="H257" s="195"/>
      <c r="I257" s="195"/>
      <c r="J257" s="195"/>
    </row>
    <row r="258" spans="3:10">
      <c r="C258" s="195"/>
      <c r="D258" s="195"/>
      <c r="E258" s="195"/>
      <c r="F258" s="195"/>
      <c r="G258" s="195"/>
      <c r="H258" s="195"/>
      <c r="I258" s="195"/>
      <c r="J258" s="195"/>
    </row>
    <row r="259" spans="3:10">
      <c r="C259" s="195"/>
      <c r="D259" s="195"/>
      <c r="E259" s="195"/>
      <c r="F259" s="195"/>
      <c r="G259" s="195"/>
      <c r="H259" s="195"/>
      <c r="I259" s="195"/>
      <c r="J259" s="195"/>
    </row>
    <row r="260" spans="3:10">
      <c r="C260" s="195"/>
      <c r="D260" s="195"/>
      <c r="E260" s="195"/>
      <c r="F260" s="195"/>
      <c r="G260" s="195"/>
      <c r="H260" s="195"/>
      <c r="I260" s="195"/>
      <c r="J260" s="195"/>
    </row>
    <row r="261" spans="3:10">
      <c r="C261" s="195"/>
      <c r="D261" s="195"/>
      <c r="E261" s="195"/>
      <c r="F261" s="195"/>
      <c r="G261" s="195"/>
      <c r="H261" s="195"/>
      <c r="I261" s="195"/>
      <c r="J261" s="195"/>
    </row>
    <row r="262" spans="3:10">
      <c r="C262" s="195"/>
      <c r="D262" s="195"/>
      <c r="E262" s="195"/>
      <c r="F262" s="195"/>
      <c r="G262" s="195"/>
      <c r="H262" s="195"/>
      <c r="I262" s="195"/>
      <c r="J262" s="195"/>
    </row>
    <row r="263" spans="3:10">
      <c r="C263" s="195"/>
      <c r="D263" s="195"/>
      <c r="E263" s="195"/>
      <c r="F263" s="195"/>
      <c r="G263" s="195"/>
      <c r="H263" s="195"/>
      <c r="I263" s="195"/>
      <c r="J263" s="195"/>
    </row>
    <row r="264" spans="3:10">
      <c r="C264" s="195"/>
      <c r="D264" s="195"/>
      <c r="E264" s="195"/>
      <c r="F264" s="195"/>
      <c r="G264" s="195"/>
      <c r="H264" s="195"/>
      <c r="I264" s="195"/>
      <c r="J264" s="195"/>
    </row>
    <row r="265" spans="3:10">
      <c r="C265" s="195"/>
      <c r="D265" s="195"/>
      <c r="E265" s="195"/>
      <c r="F265" s="195"/>
      <c r="G265" s="195"/>
      <c r="H265" s="195"/>
      <c r="I265" s="195"/>
      <c r="J265" s="195"/>
    </row>
    <row r="266" spans="3:10">
      <c r="C266" s="195"/>
      <c r="D266" s="195"/>
      <c r="E266" s="195"/>
      <c r="F266" s="195"/>
      <c r="G266" s="195"/>
      <c r="H266" s="195"/>
      <c r="I266" s="195"/>
      <c r="J266" s="195"/>
    </row>
    <row r="267" spans="3:10">
      <c r="C267" s="195"/>
      <c r="D267" s="195"/>
      <c r="E267" s="195"/>
      <c r="F267" s="195"/>
      <c r="G267" s="195"/>
      <c r="H267" s="195"/>
      <c r="I267" s="195"/>
      <c r="J267" s="195"/>
    </row>
    <row r="268" spans="3:10">
      <c r="C268" s="195"/>
      <c r="D268" s="195"/>
      <c r="E268" s="195"/>
      <c r="F268" s="195"/>
      <c r="G268" s="195"/>
      <c r="H268" s="195"/>
      <c r="I268" s="195"/>
      <c r="J268" s="195"/>
    </row>
    <row r="269" spans="3:10">
      <c r="C269" s="195"/>
      <c r="D269" s="195"/>
      <c r="E269" s="195"/>
      <c r="F269" s="195"/>
      <c r="G269" s="195"/>
      <c r="H269" s="195"/>
      <c r="I269" s="195"/>
      <c r="J269" s="195"/>
    </row>
    <row r="270" spans="3:10">
      <c r="C270" s="195"/>
      <c r="D270" s="195"/>
      <c r="E270" s="195"/>
      <c r="F270" s="195"/>
      <c r="G270" s="195"/>
      <c r="H270" s="195"/>
      <c r="I270" s="195"/>
      <c r="J270" s="195"/>
    </row>
    <row r="271" spans="3:10">
      <c r="C271" s="195"/>
      <c r="D271" s="195"/>
      <c r="E271" s="195"/>
      <c r="F271" s="195"/>
      <c r="G271" s="195"/>
      <c r="H271" s="195"/>
      <c r="I271" s="195"/>
      <c r="J271" s="195"/>
    </row>
    <row r="272" spans="3:10">
      <c r="C272" s="195"/>
      <c r="D272" s="195"/>
      <c r="E272" s="195"/>
      <c r="F272" s="195"/>
      <c r="G272" s="195"/>
      <c r="H272" s="195"/>
      <c r="I272" s="195"/>
      <c r="J272" s="195"/>
    </row>
    <row r="273" spans="3:10">
      <c r="C273" s="195"/>
      <c r="D273" s="195"/>
      <c r="E273" s="195"/>
      <c r="F273" s="195"/>
      <c r="G273" s="195"/>
      <c r="H273" s="195"/>
      <c r="I273" s="195"/>
      <c r="J273" s="195"/>
    </row>
    <row r="274" spans="3:10">
      <c r="C274" s="195"/>
      <c r="D274" s="195"/>
      <c r="E274" s="195"/>
      <c r="F274" s="195"/>
      <c r="G274" s="195"/>
      <c r="H274" s="195"/>
      <c r="I274" s="195"/>
      <c r="J274" s="195"/>
    </row>
    <row r="275" spans="3:10">
      <c r="C275" s="195"/>
      <c r="D275" s="195"/>
      <c r="E275" s="195"/>
      <c r="F275" s="195"/>
      <c r="G275" s="195"/>
      <c r="H275" s="195"/>
      <c r="I275" s="195"/>
      <c r="J275" s="195"/>
    </row>
    <row r="276" spans="3:10">
      <c r="C276" s="195"/>
      <c r="D276" s="195"/>
      <c r="E276" s="195"/>
      <c r="F276" s="195"/>
      <c r="G276" s="195"/>
      <c r="H276" s="195"/>
      <c r="I276" s="195"/>
      <c r="J276" s="195"/>
    </row>
    <row r="277" spans="3:10">
      <c r="C277" s="195"/>
      <c r="D277" s="195"/>
      <c r="E277" s="195"/>
      <c r="F277" s="195"/>
      <c r="G277" s="195"/>
      <c r="H277" s="195"/>
      <c r="I277" s="195"/>
      <c r="J277" s="195"/>
    </row>
    <row r="278" spans="3:10">
      <c r="C278" s="195"/>
      <c r="D278" s="195"/>
      <c r="E278" s="195"/>
      <c r="F278" s="195"/>
      <c r="G278" s="195"/>
      <c r="H278" s="195"/>
      <c r="I278" s="195"/>
      <c r="J278" s="195"/>
    </row>
    <row r="279" spans="3:10">
      <c r="C279" s="195"/>
      <c r="D279" s="195"/>
      <c r="E279" s="195"/>
      <c r="F279" s="195"/>
      <c r="G279" s="195"/>
      <c r="H279" s="195"/>
      <c r="I279" s="195"/>
      <c r="J279" s="195"/>
    </row>
    <row r="280" spans="3:10">
      <c r="C280" s="195"/>
      <c r="D280" s="195"/>
      <c r="E280" s="195"/>
      <c r="F280" s="195"/>
      <c r="G280" s="195"/>
      <c r="H280" s="195"/>
      <c r="I280" s="195"/>
      <c r="J280" s="195"/>
    </row>
    <row r="281" spans="3:10">
      <c r="C281" s="195"/>
      <c r="D281" s="195"/>
      <c r="E281" s="195"/>
      <c r="F281" s="195"/>
      <c r="G281" s="195"/>
      <c r="H281" s="195"/>
      <c r="I281" s="195"/>
      <c r="J281" s="195"/>
    </row>
    <row r="282" spans="3:10">
      <c r="C282" s="195"/>
      <c r="D282" s="195"/>
      <c r="E282" s="195"/>
      <c r="F282" s="195"/>
      <c r="G282" s="195"/>
      <c r="H282" s="195"/>
      <c r="I282" s="195"/>
      <c r="J282" s="195"/>
    </row>
    <row r="283" spans="3:10">
      <c r="C283" s="195"/>
      <c r="D283" s="195"/>
      <c r="E283" s="195"/>
      <c r="F283" s="195"/>
      <c r="G283" s="195"/>
      <c r="H283" s="195"/>
      <c r="I283" s="195"/>
      <c r="J283" s="195"/>
    </row>
    <row r="284" spans="3:10">
      <c r="C284" s="195"/>
      <c r="D284" s="195"/>
      <c r="E284" s="195"/>
      <c r="F284" s="195"/>
      <c r="G284" s="195"/>
      <c r="H284" s="195"/>
      <c r="I284" s="195"/>
      <c r="J284" s="195"/>
    </row>
    <row r="285" spans="3:10">
      <c r="C285" s="195"/>
      <c r="D285" s="195"/>
      <c r="E285" s="195"/>
      <c r="F285" s="195"/>
      <c r="G285" s="195"/>
      <c r="H285" s="195"/>
      <c r="I285" s="195"/>
      <c r="J285" s="195"/>
    </row>
    <row r="286" spans="3:10">
      <c r="C286" s="195"/>
      <c r="D286" s="195"/>
      <c r="E286" s="195"/>
      <c r="F286" s="195"/>
      <c r="G286" s="195"/>
      <c r="H286" s="195"/>
      <c r="I286" s="195"/>
      <c r="J286" s="195"/>
    </row>
    <row r="287" spans="3:10">
      <c r="C287" s="195"/>
      <c r="D287" s="195"/>
      <c r="E287" s="195"/>
      <c r="F287" s="195"/>
      <c r="G287" s="195"/>
      <c r="H287" s="195"/>
      <c r="I287" s="195"/>
      <c r="J287" s="195"/>
    </row>
    <row r="288" spans="3:10">
      <c r="C288" s="195"/>
      <c r="D288" s="195"/>
      <c r="E288" s="195"/>
      <c r="F288" s="195"/>
      <c r="G288" s="195"/>
      <c r="H288" s="195"/>
      <c r="I288" s="195"/>
      <c r="J288" s="195"/>
    </row>
    <row r="289" spans="3:10">
      <c r="C289" s="195"/>
      <c r="D289" s="195"/>
      <c r="E289" s="195"/>
      <c r="F289" s="195"/>
      <c r="G289" s="195"/>
      <c r="H289" s="195"/>
      <c r="I289" s="195"/>
      <c r="J289" s="195"/>
    </row>
    <row r="290" spans="3:10">
      <c r="C290" s="195"/>
      <c r="D290" s="195"/>
      <c r="E290" s="195"/>
      <c r="F290" s="195"/>
      <c r="G290" s="195"/>
      <c r="H290" s="195"/>
      <c r="I290" s="195"/>
      <c r="J290" s="195"/>
    </row>
    <row r="291" spans="3:10">
      <c r="C291" s="195"/>
      <c r="D291" s="195"/>
      <c r="E291" s="195"/>
      <c r="F291" s="195"/>
      <c r="G291" s="195"/>
      <c r="H291" s="195"/>
      <c r="I291" s="195"/>
      <c r="J291" s="195"/>
    </row>
    <row r="292" spans="3:10">
      <c r="C292" s="195"/>
      <c r="D292" s="195"/>
      <c r="E292" s="195"/>
      <c r="F292" s="195"/>
      <c r="G292" s="195"/>
      <c r="H292" s="195"/>
      <c r="I292" s="195"/>
      <c r="J292" s="195"/>
    </row>
    <row r="293" spans="3:10">
      <c r="C293" s="195"/>
      <c r="D293" s="195"/>
      <c r="E293" s="195"/>
      <c r="F293" s="195"/>
      <c r="G293" s="195"/>
      <c r="H293" s="195"/>
      <c r="I293" s="195"/>
      <c r="J293" s="195"/>
    </row>
    <row r="294" spans="3:10">
      <c r="C294" s="195"/>
      <c r="D294" s="195"/>
      <c r="E294" s="195"/>
      <c r="F294" s="195"/>
      <c r="G294" s="195"/>
      <c r="H294" s="195"/>
      <c r="I294" s="195"/>
      <c r="J294" s="195"/>
    </row>
    <row r="295" spans="3:10">
      <c r="C295" s="195"/>
      <c r="D295" s="195"/>
      <c r="E295" s="195"/>
      <c r="F295" s="195"/>
      <c r="G295" s="195"/>
      <c r="H295" s="195"/>
      <c r="I295" s="195"/>
      <c r="J295" s="195"/>
    </row>
    <row r="296" spans="3:10">
      <c r="C296" s="195"/>
      <c r="D296" s="195"/>
      <c r="E296" s="195"/>
      <c r="F296" s="195"/>
      <c r="G296" s="195"/>
      <c r="H296" s="195"/>
      <c r="I296" s="195"/>
      <c r="J296" s="195"/>
    </row>
    <row r="297" spans="3:10">
      <c r="C297" s="195"/>
      <c r="D297" s="195"/>
      <c r="E297" s="195"/>
      <c r="F297" s="195"/>
      <c r="G297" s="195"/>
      <c r="H297" s="195"/>
      <c r="I297" s="195"/>
      <c r="J297" s="195"/>
    </row>
    <row r="298" spans="3:10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6" orientation="landscape" horizontalDpi="300" verticalDpi="300" r:id="rId1"/>
  <headerFooter alignWithMargins="0"/>
  <rowBreaks count="1" manualBreakCount="1">
    <brk id="48" min="10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3300"/>
    <pageSetUpPr fitToPage="1"/>
  </sheetPr>
  <dimension ref="A1:BG298"/>
  <sheetViews>
    <sheetView topLeftCell="H49" zoomScale="75" zoomScaleNormal="75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3.21875" style="137" customWidth="1"/>
    <col min="4" max="4" width="1.109375" style="137" customWidth="1"/>
    <col min="5" max="5" width="37.109375" style="137" customWidth="1"/>
    <col min="6" max="6" width="1" style="137" customWidth="1"/>
    <col min="7" max="7" width="14.109375" style="137" customWidth="1"/>
    <col min="8" max="8" width="1" style="137" customWidth="1"/>
    <col min="9" max="9" width="12.77734375" style="137" customWidth="1"/>
    <col min="10" max="10" width="2.109375" style="137" customWidth="1"/>
    <col min="11" max="11" width="4.88671875" style="137" customWidth="1"/>
    <col min="12" max="12" width="2.88671875" style="137" customWidth="1"/>
    <col min="13" max="13" width="26.88671875" style="137" customWidth="1"/>
    <col min="14" max="14" width="9.21875" style="137" customWidth="1"/>
    <col min="15" max="15" width="10.77734375" style="137" customWidth="1"/>
    <col min="16" max="16" width="15.6640625" style="137" bestFit="1" customWidth="1"/>
    <col min="17" max="17" width="13.33203125" style="137" customWidth="1"/>
    <col min="18" max="18" width="11.21875" style="137" customWidth="1"/>
    <col min="19" max="19" width="14" style="137" customWidth="1"/>
    <col min="20" max="20" width="14.21875" style="137" customWidth="1"/>
    <col min="21" max="21" width="11.77734375" style="137" customWidth="1"/>
    <col min="22" max="22" width="15.6640625" style="137" customWidth="1"/>
    <col min="23" max="23" width="12.33203125" style="137" customWidth="1"/>
    <col min="24" max="24" width="16.33203125" style="137" customWidth="1"/>
    <col min="25" max="250" width="8.77734375" style="137"/>
    <col min="251" max="251" width="6" style="137" customWidth="1"/>
    <col min="252" max="252" width="1.44140625" style="137" customWidth="1"/>
    <col min="253" max="253" width="39.109375" style="137" customWidth="1"/>
    <col min="254" max="254" width="12" style="137" customWidth="1"/>
    <col min="255" max="255" width="14.44140625" style="137" customWidth="1"/>
    <col min="256" max="256" width="11.88671875" style="137" customWidth="1"/>
    <col min="257" max="257" width="14.109375" style="137" customWidth="1"/>
    <col min="258" max="258" width="13.88671875" style="137" customWidth="1"/>
    <col min="259" max="260" width="12.77734375" style="137" customWidth="1"/>
    <col min="261" max="261" width="13.5546875" style="137" customWidth="1"/>
    <col min="262" max="262" width="15.33203125" style="137" customWidth="1"/>
    <col min="263" max="263" width="12.77734375" style="137" customWidth="1"/>
    <col min="264" max="264" width="13.88671875" style="137" customWidth="1"/>
    <col min="265" max="265" width="1.88671875" style="137" customWidth="1"/>
    <col min="266" max="266" width="13" style="137" customWidth="1"/>
    <col min="267" max="506" width="8.77734375" style="137"/>
    <col min="507" max="507" width="6" style="137" customWidth="1"/>
    <col min="508" max="508" width="1.44140625" style="137" customWidth="1"/>
    <col min="509" max="509" width="39.109375" style="137" customWidth="1"/>
    <col min="510" max="510" width="12" style="137" customWidth="1"/>
    <col min="511" max="511" width="14.44140625" style="137" customWidth="1"/>
    <col min="512" max="512" width="11.88671875" style="137" customWidth="1"/>
    <col min="513" max="513" width="14.109375" style="137" customWidth="1"/>
    <col min="514" max="514" width="13.88671875" style="137" customWidth="1"/>
    <col min="515" max="516" width="12.77734375" style="137" customWidth="1"/>
    <col min="517" max="517" width="13.5546875" style="137" customWidth="1"/>
    <col min="518" max="518" width="15.33203125" style="137" customWidth="1"/>
    <col min="519" max="519" width="12.77734375" style="137" customWidth="1"/>
    <col min="520" max="520" width="13.88671875" style="137" customWidth="1"/>
    <col min="521" max="521" width="1.88671875" style="137" customWidth="1"/>
    <col min="522" max="522" width="13" style="137" customWidth="1"/>
    <col min="523" max="762" width="8.77734375" style="137"/>
    <col min="763" max="763" width="6" style="137" customWidth="1"/>
    <col min="764" max="764" width="1.44140625" style="137" customWidth="1"/>
    <col min="765" max="765" width="39.109375" style="137" customWidth="1"/>
    <col min="766" max="766" width="12" style="137" customWidth="1"/>
    <col min="767" max="767" width="14.44140625" style="137" customWidth="1"/>
    <col min="768" max="768" width="11.88671875" style="137" customWidth="1"/>
    <col min="769" max="769" width="14.109375" style="137" customWidth="1"/>
    <col min="770" max="770" width="13.88671875" style="137" customWidth="1"/>
    <col min="771" max="772" width="12.77734375" style="137" customWidth="1"/>
    <col min="773" max="773" width="13.5546875" style="137" customWidth="1"/>
    <col min="774" max="774" width="15.33203125" style="137" customWidth="1"/>
    <col min="775" max="775" width="12.77734375" style="137" customWidth="1"/>
    <col min="776" max="776" width="13.88671875" style="137" customWidth="1"/>
    <col min="777" max="777" width="1.88671875" style="137" customWidth="1"/>
    <col min="778" max="778" width="13" style="137" customWidth="1"/>
    <col min="779" max="1018" width="8.77734375" style="137"/>
    <col min="1019" max="1019" width="6" style="137" customWidth="1"/>
    <col min="1020" max="1020" width="1.44140625" style="137" customWidth="1"/>
    <col min="1021" max="1021" width="39.109375" style="137" customWidth="1"/>
    <col min="1022" max="1022" width="12" style="137" customWidth="1"/>
    <col min="1023" max="1023" width="14.44140625" style="137" customWidth="1"/>
    <col min="1024" max="1024" width="11.88671875" style="137" customWidth="1"/>
    <col min="1025" max="1025" width="14.109375" style="137" customWidth="1"/>
    <col min="1026" max="1026" width="13.88671875" style="137" customWidth="1"/>
    <col min="1027" max="1028" width="12.77734375" style="137" customWidth="1"/>
    <col min="1029" max="1029" width="13.5546875" style="137" customWidth="1"/>
    <col min="1030" max="1030" width="15.33203125" style="137" customWidth="1"/>
    <col min="1031" max="1031" width="12.77734375" style="137" customWidth="1"/>
    <col min="1032" max="1032" width="13.88671875" style="137" customWidth="1"/>
    <col min="1033" max="1033" width="1.88671875" style="137" customWidth="1"/>
    <col min="1034" max="1034" width="13" style="137" customWidth="1"/>
    <col min="1035" max="1274" width="8.77734375" style="137"/>
    <col min="1275" max="1275" width="6" style="137" customWidth="1"/>
    <col min="1276" max="1276" width="1.44140625" style="137" customWidth="1"/>
    <col min="1277" max="1277" width="39.109375" style="137" customWidth="1"/>
    <col min="1278" max="1278" width="12" style="137" customWidth="1"/>
    <col min="1279" max="1279" width="14.44140625" style="137" customWidth="1"/>
    <col min="1280" max="1280" width="11.88671875" style="137" customWidth="1"/>
    <col min="1281" max="1281" width="14.109375" style="137" customWidth="1"/>
    <col min="1282" max="1282" width="13.88671875" style="137" customWidth="1"/>
    <col min="1283" max="1284" width="12.77734375" style="137" customWidth="1"/>
    <col min="1285" max="1285" width="13.5546875" style="137" customWidth="1"/>
    <col min="1286" max="1286" width="15.33203125" style="137" customWidth="1"/>
    <col min="1287" max="1287" width="12.77734375" style="137" customWidth="1"/>
    <col min="1288" max="1288" width="13.88671875" style="137" customWidth="1"/>
    <col min="1289" max="1289" width="1.88671875" style="137" customWidth="1"/>
    <col min="1290" max="1290" width="13" style="137" customWidth="1"/>
    <col min="1291" max="1530" width="8.77734375" style="137"/>
    <col min="1531" max="1531" width="6" style="137" customWidth="1"/>
    <col min="1532" max="1532" width="1.44140625" style="137" customWidth="1"/>
    <col min="1533" max="1533" width="39.109375" style="137" customWidth="1"/>
    <col min="1534" max="1534" width="12" style="137" customWidth="1"/>
    <col min="1535" max="1535" width="14.44140625" style="137" customWidth="1"/>
    <col min="1536" max="1536" width="11.88671875" style="137" customWidth="1"/>
    <col min="1537" max="1537" width="14.109375" style="137" customWidth="1"/>
    <col min="1538" max="1538" width="13.88671875" style="137" customWidth="1"/>
    <col min="1539" max="1540" width="12.77734375" style="137" customWidth="1"/>
    <col min="1541" max="1541" width="13.5546875" style="137" customWidth="1"/>
    <col min="1542" max="1542" width="15.33203125" style="137" customWidth="1"/>
    <col min="1543" max="1543" width="12.77734375" style="137" customWidth="1"/>
    <col min="1544" max="1544" width="13.88671875" style="137" customWidth="1"/>
    <col min="1545" max="1545" width="1.88671875" style="137" customWidth="1"/>
    <col min="1546" max="1546" width="13" style="137" customWidth="1"/>
    <col min="1547" max="1786" width="8.77734375" style="137"/>
    <col min="1787" max="1787" width="6" style="137" customWidth="1"/>
    <col min="1788" max="1788" width="1.44140625" style="137" customWidth="1"/>
    <col min="1789" max="1789" width="39.109375" style="137" customWidth="1"/>
    <col min="1790" max="1790" width="12" style="137" customWidth="1"/>
    <col min="1791" max="1791" width="14.44140625" style="137" customWidth="1"/>
    <col min="1792" max="1792" width="11.88671875" style="137" customWidth="1"/>
    <col min="1793" max="1793" width="14.109375" style="137" customWidth="1"/>
    <col min="1794" max="1794" width="13.88671875" style="137" customWidth="1"/>
    <col min="1795" max="1796" width="12.77734375" style="137" customWidth="1"/>
    <col min="1797" max="1797" width="13.5546875" style="137" customWidth="1"/>
    <col min="1798" max="1798" width="15.33203125" style="137" customWidth="1"/>
    <col min="1799" max="1799" width="12.77734375" style="137" customWidth="1"/>
    <col min="1800" max="1800" width="13.88671875" style="137" customWidth="1"/>
    <col min="1801" max="1801" width="1.88671875" style="137" customWidth="1"/>
    <col min="1802" max="1802" width="13" style="137" customWidth="1"/>
    <col min="1803" max="2042" width="8.77734375" style="137"/>
    <col min="2043" max="2043" width="6" style="137" customWidth="1"/>
    <col min="2044" max="2044" width="1.44140625" style="137" customWidth="1"/>
    <col min="2045" max="2045" width="39.109375" style="137" customWidth="1"/>
    <col min="2046" max="2046" width="12" style="137" customWidth="1"/>
    <col min="2047" max="2047" width="14.44140625" style="137" customWidth="1"/>
    <col min="2048" max="2048" width="11.88671875" style="137" customWidth="1"/>
    <col min="2049" max="2049" width="14.109375" style="137" customWidth="1"/>
    <col min="2050" max="2050" width="13.88671875" style="137" customWidth="1"/>
    <col min="2051" max="2052" width="12.77734375" style="137" customWidth="1"/>
    <col min="2053" max="2053" width="13.5546875" style="137" customWidth="1"/>
    <col min="2054" max="2054" width="15.33203125" style="137" customWidth="1"/>
    <col min="2055" max="2055" width="12.77734375" style="137" customWidth="1"/>
    <col min="2056" max="2056" width="13.88671875" style="137" customWidth="1"/>
    <col min="2057" max="2057" width="1.88671875" style="137" customWidth="1"/>
    <col min="2058" max="2058" width="13" style="137" customWidth="1"/>
    <col min="2059" max="2298" width="8.77734375" style="137"/>
    <col min="2299" max="2299" width="6" style="137" customWidth="1"/>
    <col min="2300" max="2300" width="1.44140625" style="137" customWidth="1"/>
    <col min="2301" max="2301" width="39.109375" style="137" customWidth="1"/>
    <col min="2302" max="2302" width="12" style="137" customWidth="1"/>
    <col min="2303" max="2303" width="14.44140625" style="137" customWidth="1"/>
    <col min="2304" max="2304" width="11.88671875" style="137" customWidth="1"/>
    <col min="2305" max="2305" width="14.109375" style="137" customWidth="1"/>
    <col min="2306" max="2306" width="13.88671875" style="137" customWidth="1"/>
    <col min="2307" max="2308" width="12.77734375" style="137" customWidth="1"/>
    <col min="2309" max="2309" width="13.5546875" style="137" customWidth="1"/>
    <col min="2310" max="2310" width="15.33203125" style="137" customWidth="1"/>
    <col min="2311" max="2311" width="12.77734375" style="137" customWidth="1"/>
    <col min="2312" max="2312" width="13.88671875" style="137" customWidth="1"/>
    <col min="2313" max="2313" width="1.88671875" style="137" customWidth="1"/>
    <col min="2314" max="2314" width="13" style="137" customWidth="1"/>
    <col min="2315" max="2554" width="8.77734375" style="137"/>
    <col min="2555" max="2555" width="6" style="137" customWidth="1"/>
    <col min="2556" max="2556" width="1.44140625" style="137" customWidth="1"/>
    <col min="2557" max="2557" width="39.109375" style="137" customWidth="1"/>
    <col min="2558" max="2558" width="12" style="137" customWidth="1"/>
    <col min="2559" max="2559" width="14.44140625" style="137" customWidth="1"/>
    <col min="2560" max="2560" width="11.88671875" style="137" customWidth="1"/>
    <col min="2561" max="2561" width="14.109375" style="137" customWidth="1"/>
    <col min="2562" max="2562" width="13.88671875" style="137" customWidth="1"/>
    <col min="2563" max="2564" width="12.77734375" style="137" customWidth="1"/>
    <col min="2565" max="2565" width="13.5546875" style="137" customWidth="1"/>
    <col min="2566" max="2566" width="15.33203125" style="137" customWidth="1"/>
    <col min="2567" max="2567" width="12.77734375" style="137" customWidth="1"/>
    <col min="2568" max="2568" width="13.88671875" style="137" customWidth="1"/>
    <col min="2569" max="2569" width="1.88671875" style="137" customWidth="1"/>
    <col min="2570" max="2570" width="13" style="137" customWidth="1"/>
    <col min="2571" max="2810" width="8.77734375" style="137"/>
    <col min="2811" max="2811" width="6" style="137" customWidth="1"/>
    <col min="2812" max="2812" width="1.44140625" style="137" customWidth="1"/>
    <col min="2813" max="2813" width="39.109375" style="137" customWidth="1"/>
    <col min="2814" max="2814" width="12" style="137" customWidth="1"/>
    <col min="2815" max="2815" width="14.44140625" style="137" customWidth="1"/>
    <col min="2816" max="2816" width="11.88671875" style="137" customWidth="1"/>
    <col min="2817" max="2817" width="14.109375" style="137" customWidth="1"/>
    <col min="2818" max="2818" width="13.88671875" style="137" customWidth="1"/>
    <col min="2819" max="2820" width="12.77734375" style="137" customWidth="1"/>
    <col min="2821" max="2821" width="13.5546875" style="137" customWidth="1"/>
    <col min="2822" max="2822" width="15.33203125" style="137" customWidth="1"/>
    <col min="2823" max="2823" width="12.77734375" style="137" customWidth="1"/>
    <col min="2824" max="2824" width="13.88671875" style="137" customWidth="1"/>
    <col min="2825" max="2825" width="1.88671875" style="137" customWidth="1"/>
    <col min="2826" max="2826" width="13" style="137" customWidth="1"/>
    <col min="2827" max="3066" width="8.77734375" style="137"/>
    <col min="3067" max="3067" width="6" style="137" customWidth="1"/>
    <col min="3068" max="3068" width="1.44140625" style="137" customWidth="1"/>
    <col min="3069" max="3069" width="39.109375" style="137" customWidth="1"/>
    <col min="3070" max="3070" width="12" style="137" customWidth="1"/>
    <col min="3071" max="3071" width="14.44140625" style="137" customWidth="1"/>
    <col min="3072" max="3072" width="11.88671875" style="137" customWidth="1"/>
    <col min="3073" max="3073" width="14.109375" style="137" customWidth="1"/>
    <col min="3074" max="3074" width="13.88671875" style="137" customWidth="1"/>
    <col min="3075" max="3076" width="12.77734375" style="137" customWidth="1"/>
    <col min="3077" max="3077" width="13.5546875" style="137" customWidth="1"/>
    <col min="3078" max="3078" width="15.33203125" style="137" customWidth="1"/>
    <col min="3079" max="3079" width="12.77734375" style="137" customWidth="1"/>
    <col min="3080" max="3080" width="13.88671875" style="137" customWidth="1"/>
    <col min="3081" max="3081" width="1.88671875" style="137" customWidth="1"/>
    <col min="3082" max="3082" width="13" style="137" customWidth="1"/>
    <col min="3083" max="3322" width="8.77734375" style="137"/>
    <col min="3323" max="3323" width="6" style="137" customWidth="1"/>
    <col min="3324" max="3324" width="1.44140625" style="137" customWidth="1"/>
    <col min="3325" max="3325" width="39.109375" style="137" customWidth="1"/>
    <col min="3326" max="3326" width="12" style="137" customWidth="1"/>
    <col min="3327" max="3327" width="14.44140625" style="137" customWidth="1"/>
    <col min="3328" max="3328" width="11.88671875" style="137" customWidth="1"/>
    <col min="3329" max="3329" width="14.109375" style="137" customWidth="1"/>
    <col min="3330" max="3330" width="13.88671875" style="137" customWidth="1"/>
    <col min="3331" max="3332" width="12.77734375" style="137" customWidth="1"/>
    <col min="3333" max="3333" width="13.5546875" style="137" customWidth="1"/>
    <col min="3334" max="3334" width="15.33203125" style="137" customWidth="1"/>
    <col min="3335" max="3335" width="12.77734375" style="137" customWidth="1"/>
    <col min="3336" max="3336" width="13.88671875" style="137" customWidth="1"/>
    <col min="3337" max="3337" width="1.88671875" style="137" customWidth="1"/>
    <col min="3338" max="3338" width="13" style="137" customWidth="1"/>
    <col min="3339" max="3578" width="8.77734375" style="137"/>
    <col min="3579" max="3579" width="6" style="137" customWidth="1"/>
    <col min="3580" max="3580" width="1.44140625" style="137" customWidth="1"/>
    <col min="3581" max="3581" width="39.109375" style="137" customWidth="1"/>
    <col min="3582" max="3582" width="12" style="137" customWidth="1"/>
    <col min="3583" max="3583" width="14.44140625" style="137" customWidth="1"/>
    <col min="3584" max="3584" width="11.88671875" style="137" customWidth="1"/>
    <col min="3585" max="3585" width="14.109375" style="137" customWidth="1"/>
    <col min="3586" max="3586" width="13.88671875" style="137" customWidth="1"/>
    <col min="3587" max="3588" width="12.77734375" style="137" customWidth="1"/>
    <col min="3589" max="3589" width="13.5546875" style="137" customWidth="1"/>
    <col min="3590" max="3590" width="15.33203125" style="137" customWidth="1"/>
    <col min="3591" max="3591" width="12.77734375" style="137" customWidth="1"/>
    <col min="3592" max="3592" width="13.88671875" style="137" customWidth="1"/>
    <col min="3593" max="3593" width="1.88671875" style="137" customWidth="1"/>
    <col min="3594" max="3594" width="13" style="137" customWidth="1"/>
    <col min="3595" max="3834" width="8.77734375" style="137"/>
    <col min="3835" max="3835" width="6" style="137" customWidth="1"/>
    <col min="3836" max="3836" width="1.44140625" style="137" customWidth="1"/>
    <col min="3837" max="3837" width="39.109375" style="137" customWidth="1"/>
    <col min="3838" max="3838" width="12" style="137" customWidth="1"/>
    <col min="3839" max="3839" width="14.44140625" style="137" customWidth="1"/>
    <col min="3840" max="3840" width="11.88671875" style="137" customWidth="1"/>
    <col min="3841" max="3841" width="14.109375" style="137" customWidth="1"/>
    <col min="3842" max="3842" width="13.88671875" style="137" customWidth="1"/>
    <col min="3843" max="3844" width="12.77734375" style="137" customWidth="1"/>
    <col min="3845" max="3845" width="13.5546875" style="137" customWidth="1"/>
    <col min="3846" max="3846" width="15.33203125" style="137" customWidth="1"/>
    <col min="3847" max="3847" width="12.77734375" style="137" customWidth="1"/>
    <col min="3848" max="3848" width="13.88671875" style="137" customWidth="1"/>
    <col min="3849" max="3849" width="1.88671875" style="137" customWidth="1"/>
    <col min="3850" max="3850" width="13" style="137" customWidth="1"/>
    <col min="3851" max="4090" width="8.77734375" style="137"/>
    <col min="4091" max="4091" width="6" style="137" customWidth="1"/>
    <col min="4092" max="4092" width="1.44140625" style="137" customWidth="1"/>
    <col min="4093" max="4093" width="39.109375" style="137" customWidth="1"/>
    <col min="4094" max="4094" width="12" style="137" customWidth="1"/>
    <col min="4095" max="4095" width="14.44140625" style="137" customWidth="1"/>
    <col min="4096" max="4096" width="11.88671875" style="137" customWidth="1"/>
    <col min="4097" max="4097" width="14.109375" style="137" customWidth="1"/>
    <col min="4098" max="4098" width="13.88671875" style="137" customWidth="1"/>
    <col min="4099" max="4100" width="12.77734375" style="137" customWidth="1"/>
    <col min="4101" max="4101" width="13.5546875" style="137" customWidth="1"/>
    <col min="4102" max="4102" width="15.33203125" style="137" customWidth="1"/>
    <col min="4103" max="4103" width="12.77734375" style="137" customWidth="1"/>
    <col min="4104" max="4104" width="13.88671875" style="137" customWidth="1"/>
    <col min="4105" max="4105" width="1.88671875" style="137" customWidth="1"/>
    <col min="4106" max="4106" width="13" style="137" customWidth="1"/>
    <col min="4107" max="4346" width="8.77734375" style="137"/>
    <col min="4347" max="4347" width="6" style="137" customWidth="1"/>
    <col min="4348" max="4348" width="1.44140625" style="137" customWidth="1"/>
    <col min="4349" max="4349" width="39.109375" style="137" customWidth="1"/>
    <col min="4350" max="4350" width="12" style="137" customWidth="1"/>
    <col min="4351" max="4351" width="14.44140625" style="137" customWidth="1"/>
    <col min="4352" max="4352" width="11.88671875" style="137" customWidth="1"/>
    <col min="4353" max="4353" width="14.109375" style="137" customWidth="1"/>
    <col min="4354" max="4354" width="13.88671875" style="137" customWidth="1"/>
    <col min="4355" max="4356" width="12.77734375" style="137" customWidth="1"/>
    <col min="4357" max="4357" width="13.5546875" style="137" customWidth="1"/>
    <col min="4358" max="4358" width="15.33203125" style="137" customWidth="1"/>
    <col min="4359" max="4359" width="12.77734375" style="137" customWidth="1"/>
    <col min="4360" max="4360" width="13.88671875" style="137" customWidth="1"/>
    <col min="4361" max="4361" width="1.88671875" style="137" customWidth="1"/>
    <col min="4362" max="4362" width="13" style="137" customWidth="1"/>
    <col min="4363" max="4602" width="8.77734375" style="137"/>
    <col min="4603" max="4603" width="6" style="137" customWidth="1"/>
    <col min="4604" max="4604" width="1.44140625" style="137" customWidth="1"/>
    <col min="4605" max="4605" width="39.109375" style="137" customWidth="1"/>
    <col min="4606" max="4606" width="12" style="137" customWidth="1"/>
    <col min="4607" max="4607" width="14.44140625" style="137" customWidth="1"/>
    <col min="4608" max="4608" width="11.88671875" style="137" customWidth="1"/>
    <col min="4609" max="4609" width="14.109375" style="137" customWidth="1"/>
    <col min="4610" max="4610" width="13.88671875" style="137" customWidth="1"/>
    <col min="4611" max="4612" width="12.77734375" style="137" customWidth="1"/>
    <col min="4613" max="4613" width="13.5546875" style="137" customWidth="1"/>
    <col min="4614" max="4614" width="15.33203125" style="137" customWidth="1"/>
    <col min="4615" max="4615" width="12.77734375" style="137" customWidth="1"/>
    <col min="4616" max="4616" width="13.88671875" style="137" customWidth="1"/>
    <col min="4617" max="4617" width="1.88671875" style="137" customWidth="1"/>
    <col min="4618" max="4618" width="13" style="137" customWidth="1"/>
    <col min="4619" max="4858" width="8.77734375" style="137"/>
    <col min="4859" max="4859" width="6" style="137" customWidth="1"/>
    <col min="4860" max="4860" width="1.44140625" style="137" customWidth="1"/>
    <col min="4861" max="4861" width="39.109375" style="137" customWidth="1"/>
    <col min="4862" max="4862" width="12" style="137" customWidth="1"/>
    <col min="4863" max="4863" width="14.44140625" style="137" customWidth="1"/>
    <col min="4864" max="4864" width="11.88671875" style="137" customWidth="1"/>
    <col min="4865" max="4865" width="14.109375" style="137" customWidth="1"/>
    <col min="4866" max="4866" width="13.88671875" style="137" customWidth="1"/>
    <col min="4867" max="4868" width="12.77734375" style="137" customWidth="1"/>
    <col min="4869" max="4869" width="13.5546875" style="137" customWidth="1"/>
    <col min="4870" max="4870" width="15.33203125" style="137" customWidth="1"/>
    <col min="4871" max="4871" width="12.77734375" style="137" customWidth="1"/>
    <col min="4872" max="4872" width="13.88671875" style="137" customWidth="1"/>
    <col min="4873" max="4873" width="1.88671875" style="137" customWidth="1"/>
    <col min="4874" max="4874" width="13" style="137" customWidth="1"/>
    <col min="4875" max="5114" width="8.77734375" style="137"/>
    <col min="5115" max="5115" width="6" style="137" customWidth="1"/>
    <col min="5116" max="5116" width="1.44140625" style="137" customWidth="1"/>
    <col min="5117" max="5117" width="39.109375" style="137" customWidth="1"/>
    <col min="5118" max="5118" width="12" style="137" customWidth="1"/>
    <col min="5119" max="5119" width="14.44140625" style="137" customWidth="1"/>
    <col min="5120" max="5120" width="11.88671875" style="137" customWidth="1"/>
    <col min="5121" max="5121" width="14.109375" style="137" customWidth="1"/>
    <col min="5122" max="5122" width="13.88671875" style="137" customWidth="1"/>
    <col min="5123" max="5124" width="12.77734375" style="137" customWidth="1"/>
    <col min="5125" max="5125" width="13.5546875" style="137" customWidth="1"/>
    <col min="5126" max="5126" width="15.33203125" style="137" customWidth="1"/>
    <col min="5127" max="5127" width="12.77734375" style="137" customWidth="1"/>
    <col min="5128" max="5128" width="13.88671875" style="137" customWidth="1"/>
    <col min="5129" max="5129" width="1.88671875" style="137" customWidth="1"/>
    <col min="5130" max="5130" width="13" style="137" customWidth="1"/>
    <col min="5131" max="5370" width="8.77734375" style="137"/>
    <col min="5371" max="5371" width="6" style="137" customWidth="1"/>
    <col min="5372" max="5372" width="1.44140625" style="137" customWidth="1"/>
    <col min="5373" max="5373" width="39.109375" style="137" customWidth="1"/>
    <col min="5374" max="5374" width="12" style="137" customWidth="1"/>
    <col min="5375" max="5375" width="14.44140625" style="137" customWidth="1"/>
    <col min="5376" max="5376" width="11.88671875" style="137" customWidth="1"/>
    <col min="5377" max="5377" width="14.109375" style="137" customWidth="1"/>
    <col min="5378" max="5378" width="13.88671875" style="137" customWidth="1"/>
    <col min="5379" max="5380" width="12.77734375" style="137" customWidth="1"/>
    <col min="5381" max="5381" width="13.5546875" style="137" customWidth="1"/>
    <col min="5382" max="5382" width="15.33203125" style="137" customWidth="1"/>
    <col min="5383" max="5383" width="12.77734375" style="137" customWidth="1"/>
    <col min="5384" max="5384" width="13.88671875" style="137" customWidth="1"/>
    <col min="5385" max="5385" width="1.88671875" style="137" customWidth="1"/>
    <col min="5386" max="5386" width="13" style="137" customWidth="1"/>
    <col min="5387" max="5626" width="8.77734375" style="137"/>
    <col min="5627" max="5627" width="6" style="137" customWidth="1"/>
    <col min="5628" max="5628" width="1.44140625" style="137" customWidth="1"/>
    <col min="5629" max="5629" width="39.109375" style="137" customWidth="1"/>
    <col min="5630" max="5630" width="12" style="137" customWidth="1"/>
    <col min="5631" max="5631" width="14.44140625" style="137" customWidth="1"/>
    <col min="5632" max="5632" width="11.88671875" style="137" customWidth="1"/>
    <col min="5633" max="5633" width="14.109375" style="137" customWidth="1"/>
    <col min="5634" max="5634" width="13.88671875" style="137" customWidth="1"/>
    <col min="5635" max="5636" width="12.77734375" style="137" customWidth="1"/>
    <col min="5637" max="5637" width="13.5546875" style="137" customWidth="1"/>
    <col min="5638" max="5638" width="15.33203125" style="137" customWidth="1"/>
    <col min="5639" max="5639" width="12.77734375" style="137" customWidth="1"/>
    <col min="5640" max="5640" width="13.88671875" style="137" customWidth="1"/>
    <col min="5641" max="5641" width="1.88671875" style="137" customWidth="1"/>
    <col min="5642" max="5642" width="13" style="137" customWidth="1"/>
    <col min="5643" max="5882" width="8.77734375" style="137"/>
    <col min="5883" max="5883" width="6" style="137" customWidth="1"/>
    <col min="5884" max="5884" width="1.44140625" style="137" customWidth="1"/>
    <col min="5885" max="5885" width="39.109375" style="137" customWidth="1"/>
    <col min="5886" max="5886" width="12" style="137" customWidth="1"/>
    <col min="5887" max="5887" width="14.44140625" style="137" customWidth="1"/>
    <col min="5888" max="5888" width="11.88671875" style="137" customWidth="1"/>
    <col min="5889" max="5889" width="14.109375" style="137" customWidth="1"/>
    <col min="5890" max="5890" width="13.88671875" style="137" customWidth="1"/>
    <col min="5891" max="5892" width="12.77734375" style="137" customWidth="1"/>
    <col min="5893" max="5893" width="13.5546875" style="137" customWidth="1"/>
    <col min="5894" max="5894" width="15.33203125" style="137" customWidth="1"/>
    <col min="5895" max="5895" width="12.77734375" style="137" customWidth="1"/>
    <col min="5896" max="5896" width="13.88671875" style="137" customWidth="1"/>
    <col min="5897" max="5897" width="1.88671875" style="137" customWidth="1"/>
    <col min="5898" max="5898" width="13" style="137" customWidth="1"/>
    <col min="5899" max="6138" width="8.77734375" style="137"/>
    <col min="6139" max="6139" width="6" style="137" customWidth="1"/>
    <col min="6140" max="6140" width="1.44140625" style="137" customWidth="1"/>
    <col min="6141" max="6141" width="39.109375" style="137" customWidth="1"/>
    <col min="6142" max="6142" width="12" style="137" customWidth="1"/>
    <col min="6143" max="6143" width="14.44140625" style="137" customWidth="1"/>
    <col min="6144" max="6144" width="11.88671875" style="137" customWidth="1"/>
    <col min="6145" max="6145" width="14.109375" style="137" customWidth="1"/>
    <col min="6146" max="6146" width="13.88671875" style="137" customWidth="1"/>
    <col min="6147" max="6148" width="12.77734375" style="137" customWidth="1"/>
    <col min="6149" max="6149" width="13.5546875" style="137" customWidth="1"/>
    <col min="6150" max="6150" width="15.33203125" style="137" customWidth="1"/>
    <col min="6151" max="6151" width="12.77734375" style="137" customWidth="1"/>
    <col min="6152" max="6152" width="13.88671875" style="137" customWidth="1"/>
    <col min="6153" max="6153" width="1.88671875" style="137" customWidth="1"/>
    <col min="6154" max="6154" width="13" style="137" customWidth="1"/>
    <col min="6155" max="6394" width="8.77734375" style="137"/>
    <col min="6395" max="6395" width="6" style="137" customWidth="1"/>
    <col min="6396" max="6396" width="1.44140625" style="137" customWidth="1"/>
    <col min="6397" max="6397" width="39.109375" style="137" customWidth="1"/>
    <col min="6398" max="6398" width="12" style="137" customWidth="1"/>
    <col min="6399" max="6399" width="14.44140625" style="137" customWidth="1"/>
    <col min="6400" max="6400" width="11.88671875" style="137" customWidth="1"/>
    <col min="6401" max="6401" width="14.109375" style="137" customWidth="1"/>
    <col min="6402" max="6402" width="13.88671875" style="137" customWidth="1"/>
    <col min="6403" max="6404" width="12.77734375" style="137" customWidth="1"/>
    <col min="6405" max="6405" width="13.5546875" style="137" customWidth="1"/>
    <col min="6406" max="6406" width="15.33203125" style="137" customWidth="1"/>
    <col min="6407" max="6407" width="12.77734375" style="137" customWidth="1"/>
    <col min="6408" max="6408" width="13.88671875" style="137" customWidth="1"/>
    <col min="6409" max="6409" width="1.88671875" style="137" customWidth="1"/>
    <col min="6410" max="6410" width="13" style="137" customWidth="1"/>
    <col min="6411" max="6650" width="8.77734375" style="137"/>
    <col min="6651" max="6651" width="6" style="137" customWidth="1"/>
    <col min="6652" max="6652" width="1.44140625" style="137" customWidth="1"/>
    <col min="6653" max="6653" width="39.109375" style="137" customWidth="1"/>
    <col min="6654" max="6654" width="12" style="137" customWidth="1"/>
    <col min="6655" max="6655" width="14.44140625" style="137" customWidth="1"/>
    <col min="6656" max="6656" width="11.88671875" style="137" customWidth="1"/>
    <col min="6657" max="6657" width="14.109375" style="137" customWidth="1"/>
    <col min="6658" max="6658" width="13.88671875" style="137" customWidth="1"/>
    <col min="6659" max="6660" width="12.77734375" style="137" customWidth="1"/>
    <col min="6661" max="6661" width="13.5546875" style="137" customWidth="1"/>
    <col min="6662" max="6662" width="15.33203125" style="137" customWidth="1"/>
    <col min="6663" max="6663" width="12.77734375" style="137" customWidth="1"/>
    <col min="6664" max="6664" width="13.88671875" style="137" customWidth="1"/>
    <col min="6665" max="6665" width="1.88671875" style="137" customWidth="1"/>
    <col min="6666" max="6666" width="13" style="137" customWidth="1"/>
    <col min="6667" max="6906" width="8.77734375" style="137"/>
    <col min="6907" max="6907" width="6" style="137" customWidth="1"/>
    <col min="6908" max="6908" width="1.44140625" style="137" customWidth="1"/>
    <col min="6909" max="6909" width="39.109375" style="137" customWidth="1"/>
    <col min="6910" max="6910" width="12" style="137" customWidth="1"/>
    <col min="6911" max="6911" width="14.44140625" style="137" customWidth="1"/>
    <col min="6912" max="6912" width="11.88671875" style="137" customWidth="1"/>
    <col min="6913" max="6913" width="14.109375" style="137" customWidth="1"/>
    <col min="6914" max="6914" width="13.88671875" style="137" customWidth="1"/>
    <col min="6915" max="6916" width="12.77734375" style="137" customWidth="1"/>
    <col min="6917" max="6917" width="13.5546875" style="137" customWidth="1"/>
    <col min="6918" max="6918" width="15.33203125" style="137" customWidth="1"/>
    <col min="6919" max="6919" width="12.77734375" style="137" customWidth="1"/>
    <col min="6920" max="6920" width="13.88671875" style="137" customWidth="1"/>
    <col min="6921" max="6921" width="1.88671875" style="137" customWidth="1"/>
    <col min="6922" max="6922" width="13" style="137" customWidth="1"/>
    <col min="6923" max="7162" width="8.77734375" style="137"/>
    <col min="7163" max="7163" width="6" style="137" customWidth="1"/>
    <col min="7164" max="7164" width="1.44140625" style="137" customWidth="1"/>
    <col min="7165" max="7165" width="39.109375" style="137" customWidth="1"/>
    <col min="7166" max="7166" width="12" style="137" customWidth="1"/>
    <col min="7167" max="7167" width="14.44140625" style="137" customWidth="1"/>
    <col min="7168" max="7168" width="11.88671875" style="137" customWidth="1"/>
    <col min="7169" max="7169" width="14.109375" style="137" customWidth="1"/>
    <col min="7170" max="7170" width="13.88671875" style="137" customWidth="1"/>
    <col min="7171" max="7172" width="12.77734375" style="137" customWidth="1"/>
    <col min="7173" max="7173" width="13.5546875" style="137" customWidth="1"/>
    <col min="7174" max="7174" width="15.33203125" style="137" customWidth="1"/>
    <col min="7175" max="7175" width="12.77734375" style="137" customWidth="1"/>
    <col min="7176" max="7176" width="13.88671875" style="137" customWidth="1"/>
    <col min="7177" max="7177" width="1.88671875" style="137" customWidth="1"/>
    <col min="7178" max="7178" width="13" style="137" customWidth="1"/>
    <col min="7179" max="7418" width="8.77734375" style="137"/>
    <col min="7419" max="7419" width="6" style="137" customWidth="1"/>
    <col min="7420" max="7420" width="1.44140625" style="137" customWidth="1"/>
    <col min="7421" max="7421" width="39.109375" style="137" customWidth="1"/>
    <col min="7422" max="7422" width="12" style="137" customWidth="1"/>
    <col min="7423" max="7423" width="14.44140625" style="137" customWidth="1"/>
    <col min="7424" max="7424" width="11.88671875" style="137" customWidth="1"/>
    <col min="7425" max="7425" width="14.109375" style="137" customWidth="1"/>
    <col min="7426" max="7426" width="13.88671875" style="137" customWidth="1"/>
    <col min="7427" max="7428" width="12.77734375" style="137" customWidth="1"/>
    <col min="7429" max="7429" width="13.5546875" style="137" customWidth="1"/>
    <col min="7430" max="7430" width="15.33203125" style="137" customWidth="1"/>
    <col min="7431" max="7431" width="12.77734375" style="137" customWidth="1"/>
    <col min="7432" max="7432" width="13.88671875" style="137" customWidth="1"/>
    <col min="7433" max="7433" width="1.88671875" style="137" customWidth="1"/>
    <col min="7434" max="7434" width="13" style="137" customWidth="1"/>
    <col min="7435" max="7674" width="8.77734375" style="137"/>
    <col min="7675" max="7675" width="6" style="137" customWidth="1"/>
    <col min="7676" max="7676" width="1.44140625" style="137" customWidth="1"/>
    <col min="7677" max="7677" width="39.109375" style="137" customWidth="1"/>
    <col min="7678" max="7678" width="12" style="137" customWidth="1"/>
    <col min="7679" max="7679" width="14.44140625" style="137" customWidth="1"/>
    <col min="7680" max="7680" width="11.88671875" style="137" customWidth="1"/>
    <col min="7681" max="7681" width="14.109375" style="137" customWidth="1"/>
    <col min="7682" max="7682" width="13.88671875" style="137" customWidth="1"/>
    <col min="7683" max="7684" width="12.77734375" style="137" customWidth="1"/>
    <col min="7685" max="7685" width="13.5546875" style="137" customWidth="1"/>
    <col min="7686" max="7686" width="15.33203125" style="137" customWidth="1"/>
    <col min="7687" max="7687" width="12.77734375" style="137" customWidth="1"/>
    <col min="7688" max="7688" width="13.88671875" style="137" customWidth="1"/>
    <col min="7689" max="7689" width="1.88671875" style="137" customWidth="1"/>
    <col min="7690" max="7690" width="13" style="137" customWidth="1"/>
    <col min="7691" max="7930" width="8.77734375" style="137"/>
    <col min="7931" max="7931" width="6" style="137" customWidth="1"/>
    <col min="7932" max="7932" width="1.44140625" style="137" customWidth="1"/>
    <col min="7933" max="7933" width="39.109375" style="137" customWidth="1"/>
    <col min="7934" max="7934" width="12" style="137" customWidth="1"/>
    <col min="7935" max="7935" width="14.44140625" style="137" customWidth="1"/>
    <col min="7936" max="7936" width="11.88671875" style="137" customWidth="1"/>
    <col min="7937" max="7937" width="14.109375" style="137" customWidth="1"/>
    <col min="7938" max="7938" width="13.88671875" style="137" customWidth="1"/>
    <col min="7939" max="7940" width="12.77734375" style="137" customWidth="1"/>
    <col min="7941" max="7941" width="13.5546875" style="137" customWidth="1"/>
    <col min="7942" max="7942" width="15.33203125" style="137" customWidth="1"/>
    <col min="7943" max="7943" width="12.77734375" style="137" customWidth="1"/>
    <col min="7944" max="7944" width="13.88671875" style="137" customWidth="1"/>
    <col min="7945" max="7945" width="1.88671875" style="137" customWidth="1"/>
    <col min="7946" max="7946" width="13" style="137" customWidth="1"/>
    <col min="7947" max="8186" width="8.77734375" style="137"/>
    <col min="8187" max="8187" width="6" style="137" customWidth="1"/>
    <col min="8188" max="8188" width="1.44140625" style="137" customWidth="1"/>
    <col min="8189" max="8189" width="39.109375" style="137" customWidth="1"/>
    <col min="8190" max="8190" width="12" style="137" customWidth="1"/>
    <col min="8191" max="8191" width="14.44140625" style="137" customWidth="1"/>
    <col min="8192" max="8192" width="11.88671875" style="137" customWidth="1"/>
    <col min="8193" max="8193" width="14.109375" style="137" customWidth="1"/>
    <col min="8194" max="8194" width="13.88671875" style="137" customWidth="1"/>
    <col min="8195" max="8196" width="12.77734375" style="137" customWidth="1"/>
    <col min="8197" max="8197" width="13.5546875" style="137" customWidth="1"/>
    <col min="8198" max="8198" width="15.33203125" style="137" customWidth="1"/>
    <col min="8199" max="8199" width="12.77734375" style="137" customWidth="1"/>
    <col min="8200" max="8200" width="13.88671875" style="137" customWidth="1"/>
    <col min="8201" max="8201" width="1.88671875" style="137" customWidth="1"/>
    <col min="8202" max="8202" width="13" style="137" customWidth="1"/>
    <col min="8203" max="8442" width="8.77734375" style="137"/>
    <col min="8443" max="8443" width="6" style="137" customWidth="1"/>
    <col min="8444" max="8444" width="1.44140625" style="137" customWidth="1"/>
    <col min="8445" max="8445" width="39.109375" style="137" customWidth="1"/>
    <col min="8446" max="8446" width="12" style="137" customWidth="1"/>
    <col min="8447" max="8447" width="14.44140625" style="137" customWidth="1"/>
    <col min="8448" max="8448" width="11.88671875" style="137" customWidth="1"/>
    <col min="8449" max="8449" width="14.109375" style="137" customWidth="1"/>
    <col min="8450" max="8450" width="13.88671875" style="137" customWidth="1"/>
    <col min="8451" max="8452" width="12.77734375" style="137" customWidth="1"/>
    <col min="8453" max="8453" width="13.5546875" style="137" customWidth="1"/>
    <col min="8454" max="8454" width="15.33203125" style="137" customWidth="1"/>
    <col min="8455" max="8455" width="12.77734375" style="137" customWidth="1"/>
    <col min="8456" max="8456" width="13.88671875" style="137" customWidth="1"/>
    <col min="8457" max="8457" width="1.88671875" style="137" customWidth="1"/>
    <col min="8458" max="8458" width="13" style="137" customWidth="1"/>
    <col min="8459" max="8698" width="8.77734375" style="137"/>
    <col min="8699" max="8699" width="6" style="137" customWidth="1"/>
    <col min="8700" max="8700" width="1.44140625" style="137" customWidth="1"/>
    <col min="8701" max="8701" width="39.109375" style="137" customWidth="1"/>
    <col min="8702" max="8702" width="12" style="137" customWidth="1"/>
    <col min="8703" max="8703" width="14.44140625" style="137" customWidth="1"/>
    <col min="8704" max="8704" width="11.88671875" style="137" customWidth="1"/>
    <col min="8705" max="8705" width="14.109375" style="137" customWidth="1"/>
    <col min="8706" max="8706" width="13.88671875" style="137" customWidth="1"/>
    <col min="8707" max="8708" width="12.77734375" style="137" customWidth="1"/>
    <col min="8709" max="8709" width="13.5546875" style="137" customWidth="1"/>
    <col min="8710" max="8710" width="15.33203125" style="137" customWidth="1"/>
    <col min="8711" max="8711" width="12.77734375" style="137" customWidth="1"/>
    <col min="8712" max="8712" width="13.88671875" style="137" customWidth="1"/>
    <col min="8713" max="8713" width="1.88671875" style="137" customWidth="1"/>
    <col min="8714" max="8714" width="13" style="137" customWidth="1"/>
    <col min="8715" max="8954" width="8.77734375" style="137"/>
    <col min="8955" max="8955" width="6" style="137" customWidth="1"/>
    <col min="8956" max="8956" width="1.44140625" style="137" customWidth="1"/>
    <col min="8957" max="8957" width="39.109375" style="137" customWidth="1"/>
    <col min="8958" max="8958" width="12" style="137" customWidth="1"/>
    <col min="8959" max="8959" width="14.44140625" style="137" customWidth="1"/>
    <col min="8960" max="8960" width="11.88671875" style="137" customWidth="1"/>
    <col min="8961" max="8961" width="14.109375" style="137" customWidth="1"/>
    <col min="8962" max="8962" width="13.88671875" style="137" customWidth="1"/>
    <col min="8963" max="8964" width="12.77734375" style="137" customWidth="1"/>
    <col min="8965" max="8965" width="13.5546875" style="137" customWidth="1"/>
    <col min="8966" max="8966" width="15.33203125" style="137" customWidth="1"/>
    <col min="8967" max="8967" width="12.77734375" style="137" customWidth="1"/>
    <col min="8968" max="8968" width="13.88671875" style="137" customWidth="1"/>
    <col min="8969" max="8969" width="1.88671875" style="137" customWidth="1"/>
    <col min="8970" max="8970" width="13" style="137" customWidth="1"/>
    <col min="8971" max="9210" width="8.77734375" style="137"/>
    <col min="9211" max="9211" width="6" style="137" customWidth="1"/>
    <col min="9212" max="9212" width="1.44140625" style="137" customWidth="1"/>
    <col min="9213" max="9213" width="39.109375" style="137" customWidth="1"/>
    <col min="9214" max="9214" width="12" style="137" customWidth="1"/>
    <col min="9215" max="9215" width="14.44140625" style="137" customWidth="1"/>
    <col min="9216" max="9216" width="11.88671875" style="137" customWidth="1"/>
    <col min="9217" max="9217" width="14.109375" style="137" customWidth="1"/>
    <col min="9218" max="9218" width="13.88671875" style="137" customWidth="1"/>
    <col min="9219" max="9220" width="12.77734375" style="137" customWidth="1"/>
    <col min="9221" max="9221" width="13.5546875" style="137" customWidth="1"/>
    <col min="9222" max="9222" width="15.33203125" style="137" customWidth="1"/>
    <col min="9223" max="9223" width="12.77734375" style="137" customWidth="1"/>
    <col min="9224" max="9224" width="13.88671875" style="137" customWidth="1"/>
    <col min="9225" max="9225" width="1.88671875" style="137" customWidth="1"/>
    <col min="9226" max="9226" width="13" style="137" customWidth="1"/>
    <col min="9227" max="9466" width="8.77734375" style="137"/>
    <col min="9467" max="9467" width="6" style="137" customWidth="1"/>
    <col min="9468" max="9468" width="1.44140625" style="137" customWidth="1"/>
    <col min="9469" max="9469" width="39.109375" style="137" customWidth="1"/>
    <col min="9470" max="9470" width="12" style="137" customWidth="1"/>
    <col min="9471" max="9471" width="14.44140625" style="137" customWidth="1"/>
    <col min="9472" max="9472" width="11.88671875" style="137" customWidth="1"/>
    <col min="9473" max="9473" width="14.109375" style="137" customWidth="1"/>
    <col min="9474" max="9474" width="13.88671875" style="137" customWidth="1"/>
    <col min="9475" max="9476" width="12.77734375" style="137" customWidth="1"/>
    <col min="9477" max="9477" width="13.5546875" style="137" customWidth="1"/>
    <col min="9478" max="9478" width="15.33203125" style="137" customWidth="1"/>
    <col min="9479" max="9479" width="12.77734375" style="137" customWidth="1"/>
    <col min="9480" max="9480" width="13.88671875" style="137" customWidth="1"/>
    <col min="9481" max="9481" width="1.88671875" style="137" customWidth="1"/>
    <col min="9482" max="9482" width="13" style="137" customWidth="1"/>
    <col min="9483" max="9722" width="8.77734375" style="137"/>
    <col min="9723" max="9723" width="6" style="137" customWidth="1"/>
    <col min="9724" max="9724" width="1.44140625" style="137" customWidth="1"/>
    <col min="9725" max="9725" width="39.109375" style="137" customWidth="1"/>
    <col min="9726" max="9726" width="12" style="137" customWidth="1"/>
    <col min="9727" max="9727" width="14.44140625" style="137" customWidth="1"/>
    <col min="9728" max="9728" width="11.88671875" style="137" customWidth="1"/>
    <col min="9729" max="9729" width="14.109375" style="137" customWidth="1"/>
    <col min="9730" max="9730" width="13.88671875" style="137" customWidth="1"/>
    <col min="9731" max="9732" width="12.77734375" style="137" customWidth="1"/>
    <col min="9733" max="9733" width="13.5546875" style="137" customWidth="1"/>
    <col min="9734" max="9734" width="15.33203125" style="137" customWidth="1"/>
    <col min="9735" max="9735" width="12.77734375" style="137" customWidth="1"/>
    <col min="9736" max="9736" width="13.88671875" style="137" customWidth="1"/>
    <col min="9737" max="9737" width="1.88671875" style="137" customWidth="1"/>
    <col min="9738" max="9738" width="13" style="137" customWidth="1"/>
    <col min="9739" max="9978" width="8.77734375" style="137"/>
    <col min="9979" max="9979" width="6" style="137" customWidth="1"/>
    <col min="9980" max="9980" width="1.44140625" style="137" customWidth="1"/>
    <col min="9981" max="9981" width="39.109375" style="137" customWidth="1"/>
    <col min="9982" max="9982" width="12" style="137" customWidth="1"/>
    <col min="9983" max="9983" width="14.44140625" style="137" customWidth="1"/>
    <col min="9984" max="9984" width="11.88671875" style="137" customWidth="1"/>
    <col min="9985" max="9985" width="14.109375" style="137" customWidth="1"/>
    <col min="9986" max="9986" width="13.88671875" style="137" customWidth="1"/>
    <col min="9987" max="9988" width="12.77734375" style="137" customWidth="1"/>
    <col min="9989" max="9989" width="13.5546875" style="137" customWidth="1"/>
    <col min="9990" max="9990" width="15.33203125" style="137" customWidth="1"/>
    <col min="9991" max="9991" width="12.77734375" style="137" customWidth="1"/>
    <col min="9992" max="9992" width="13.88671875" style="137" customWidth="1"/>
    <col min="9993" max="9993" width="1.88671875" style="137" customWidth="1"/>
    <col min="9994" max="9994" width="13" style="137" customWidth="1"/>
    <col min="9995" max="10234" width="8.77734375" style="137"/>
    <col min="10235" max="10235" width="6" style="137" customWidth="1"/>
    <col min="10236" max="10236" width="1.44140625" style="137" customWidth="1"/>
    <col min="10237" max="10237" width="39.109375" style="137" customWidth="1"/>
    <col min="10238" max="10238" width="12" style="137" customWidth="1"/>
    <col min="10239" max="10239" width="14.44140625" style="137" customWidth="1"/>
    <col min="10240" max="10240" width="11.88671875" style="137" customWidth="1"/>
    <col min="10241" max="10241" width="14.109375" style="137" customWidth="1"/>
    <col min="10242" max="10242" width="13.88671875" style="137" customWidth="1"/>
    <col min="10243" max="10244" width="12.77734375" style="137" customWidth="1"/>
    <col min="10245" max="10245" width="13.5546875" style="137" customWidth="1"/>
    <col min="10246" max="10246" width="15.33203125" style="137" customWidth="1"/>
    <col min="10247" max="10247" width="12.77734375" style="137" customWidth="1"/>
    <col min="10248" max="10248" width="13.88671875" style="137" customWidth="1"/>
    <col min="10249" max="10249" width="1.88671875" style="137" customWidth="1"/>
    <col min="10250" max="10250" width="13" style="137" customWidth="1"/>
    <col min="10251" max="10490" width="8.77734375" style="137"/>
    <col min="10491" max="10491" width="6" style="137" customWidth="1"/>
    <col min="10492" max="10492" width="1.44140625" style="137" customWidth="1"/>
    <col min="10493" max="10493" width="39.109375" style="137" customWidth="1"/>
    <col min="10494" max="10494" width="12" style="137" customWidth="1"/>
    <col min="10495" max="10495" width="14.44140625" style="137" customWidth="1"/>
    <col min="10496" max="10496" width="11.88671875" style="137" customWidth="1"/>
    <col min="10497" max="10497" width="14.109375" style="137" customWidth="1"/>
    <col min="10498" max="10498" width="13.88671875" style="137" customWidth="1"/>
    <col min="10499" max="10500" width="12.77734375" style="137" customWidth="1"/>
    <col min="10501" max="10501" width="13.5546875" style="137" customWidth="1"/>
    <col min="10502" max="10502" width="15.33203125" style="137" customWidth="1"/>
    <col min="10503" max="10503" width="12.77734375" style="137" customWidth="1"/>
    <col min="10504" max="10504" width="13.88671875" style="137" customWidth="1"/>
    <col min="10505" max="10505" width="1.88671875" style="137" customWidth="1"/>
    <col min="10506" max="10506" width="13" style="137" customWidth="1"/>
    <col min="10507" max="10746" width="8.77734375" style="137"/>
    <col min="10747" max="10747" width="6" style="137" customWidth="1"/>
    <col min="10748" max="10748" width="1.44140625" style="137" customWidth="1"/>
    <col min="10749" max="10749" width="39.109375" style="137" customWidth="1"/>
    <col min="10750" max="10750" width="12" style="137" customWidth="1"/>
    <col min="10751" max="10751" width="14.44140625" style="137" customWidth="1"/>
    <col min="10752" max="10752" width="11.88671875" style="137" customWidth="1"/>
    <col min="10753" max="10753" width="14.109375" style="137" customWidth="1"/>
    <col min="10754" max="10754" width="13.88671875" style="137" customWidth="1"/>
    <col min="10755" max="10756" width="12.77734375" style="137" customWidth="1"/>
    <col min="10757" max="10757" width="13.5546875" style="137" customWidth="1"/>
    <col min="10758" max="10758" width="15.33203125" style="137" customWidth="1"/>
    <col min="10759" max="10759" width="12.77734375" style="137" customWidth="1"/>
    <col min="10760" max="10760" width="13.88671875" style="137" customWidth="1"/>
    <col min="10761" max="10761" width="1.88671875" style="137" customWidth="1"/>
    <col min="10762" max="10762" width="13" style="137" customWidth="1"/>
    <col min="10763" max="11002" width="8.77734375" style="137"/>
    <col min="11003" max="11003" width="6" style="137" customWidth="1"/>
    <col min="11004" max="11004" width="1.44140625" style="137" customWidth="1"/>
    <col min="11005" max="11005" width="39.109375" style="137" customWidth="1"/>
    <col min="11006" max="11006" width="12" style="137" customWidth="1"/>
    <col min="11007" max="11007" width="14.44140625" style="137" customWidth="1"/>
    <col min="11008" max="11008" width="11.88671875" style="137" customWidth="1"/>
    <col min="11009" max="11009" width="14.109375" style="137" customWidth="1"/>
    <col min="11010" max="11010" width="13.88671875" style="137" customWidth="1"/>
    <col min="11011" max="11012" width="12.77734375" style="137" customWidth="1"/>
    <col min="11013" max="11013" width="13.5546875" style="137" customWidth="1"/>
    <col min="11014" max="11014" width="15.33203125" style="137" customWidth="1"/>
    <col min="11015" max="11015" width="12.77734375" style="137" customWidth="1"/>
    <col min="11016" max="11016" width="13.88671875" style="137" customWidth="1"/>
    <col min="11017" max="11017" width="1.88671875" style="137" customWidth="1"/>
    <col min="11018" max="11018" width="13" style="137" customWidth="1"/>
    <col min="11019" max="11258" width="8.77734375" style="137"/>
    <col min="11259" max="11259" width="6" style="137" customWidth="1"/>
    <col min="11260" max="11260" width="1.44140625" style="137" customWidth="1"/>
    <col min="11261" max="11261" width="39.109375" style="137" customWidth="1"/>
    <col min="11262" max="11262" width="12" style="137" customWidth="1"/>
    <col min="11263" max="11263" width="14.44140625" style="137" customWidth="1"/>
    <col min="11264" max="11264" width="11.88671875" style="137" customWidth="1"/>
    <col min="11265" max="11265" width="14.109375" style="137" customWidth="1"/>
    <col min="11266" max="11266" width="13.88671875" style="137" customWidth="1"/>
    <col min="11267" max="11268" width="12.77734375" style="137" customWidth="1"/>
    <col min="11269" max="11269" width="13.5546875" style="137" customWidth="1"/>
    <col min="11270" max="11270" width="15.33203125" style="137" customWidth="1"/>
    <col min="11271" max="11271" width="12.77734375" style="137" customWidth="1"/>
    <col min="11272" max="11272" width="13.88671875" style="137" customWidth="1"/>
    <col min="11273" max="11273" width="1.88671875" style="137" customWidth="1"/>
    <col min="11274" max="11274" width="13" style="137" customWidth="1"/>
    <col min="11275" max="11514" width="8.77734375" style="137"/>
    <col min="11515" max="11515" width="6" style="137" customWidth="1"/>
    <col min="11516" max="11516" width="1.44140625" style="137" customWidth="1"/>
    <col min="11517" max="11517" width="39.109375" style="137" customWidth="1"/>
    <col min="11518" max="11518" width="12" style="137" customWidth="1"/>
    <col min="11519" max="11519" width="14.44140625" style="137" customWidth="1"/>
    <col min="11520" max="11520" width="11.88671875" style="137" customWidth="1"/>
    <col min="11521" max="11521" width="14.109375" style="137" customWidth="1"/>
    <col min="11522" max="11522" width="13.88671875" style="137" customWidth="1"/>
    <col min="11523" max="11524" width="12.77734375" style="137" customWidth="1"/>
    <col min="11525" max="11525" width="13.5546875" style="137" customWidth="1"/>
    <col min="11526" max="11526" width="15.33203125" style="137" customWidth="1"/>
    <col min="11527" max="11527" width="12.77734375" style="137" customWidth="1"/>
    <col min="11528" max="11528" width="13.88671875" style="137" customWidth="1"/>
    <col min="11529" max="11529" width="1.88671875" style="137" customWidth="1"/>
    <col min="11530" max="11530" width="13" style="137" customWidth="1"/>
    <col min="11531" max="11770" width="8.77734375" style="137"/>
    <col min="11771" max="11771" width="6" style="137" customWidth="1"/>
    <col min="11772" max="11772" width="1.44140625" style="137" customWidth="1"/>
    <col min="11773" max="11773" width="39.109375" style="137" customWidth="1"/>
    <col min="11774" max="11774" width="12" style="137" customWidth="1"/>
    <col min="11775" max="11775" width="14.44140625" style="137" customWidth="1"/>
    <col min="11776" max="11776" width="11.88671875" style="137" customWidth="1"/>
    <col min="11777" max="11777" width="14.109375" style="137" customWidth="1"/>
    <col min="11778" max="11778" width="13.88671875" style="137" customWidth="1"/>
    <col min="11779" max="11780" width="12.77734375" style="137" customWidth="1"/>
    <col min="11781" max="11781" width="13.5546875" style="137" customWidth="1"/>
    <col min="11782" max="11782" width="15.33203125" style="137" customWidth="1"/>
    <col min="11783" max="11783" width="12.77734375" style="137" customWidth="1"/>
    <col min="11784" max="11784" width="13.88671875" style="137" customWidth="1"/>
    <col min="11785" max="11785" width="1.88671875" style="137" customWidth="1"/>
    <col min="11786" max="11786" width="13" style="137" customWidth="1"/>
    <col min="11787" max="12026" width="8.77734375" style="137"/>
    <col min="12027" max="12027" width="6" style="137" customWidth="1"/>
    <col min="12028" max="12028" width="1.44140625" style="137" customWidth="1"/>
    <col min="12029" max="12029" width="39.109375" style="137" customWidth="1"/>
    <col min="12030" max="12030" width="12" style="137" customWidth="1"/>
    <col min="12031" max="12031" width="14.44140625" style="137" customWidth="1"/>
    <col min="12032" max="12032" width="11.88671875" style="137" customWidth="1"/>
    <col min="12033" max="12033" width="14.109375" style="137" customWidth="1"/>
    <col min="12034" max="12034" width="13.88671875" style="137" customWidth="1"/>
    <col min="12035" max="12036" width="12.77734375" style="137" customWidth="1"/>
    <col min="12037" max="12037" width="13.5546875" style="137" customWidth="1"/>
    <col min="12038" max="12038" width="15.33203125" style="137" customWidth="1"/>
    <col min="12039" max="12039" width="12.77734375" style="137" customWidth="1"/>
    <col min="12040" max="12040" width="13.88671875" style="137" customWidth="1"/>
    <col min="12041" max="12041" width="1.88671875" style="137" customWidth="1"/>
    <col min="12042" max="12042" width="13" style="137" customWidth="1"/>
    <col min="12043" max="12282" width="8.77734375" style="137"/>
    <col min="12283" max="12283" width="6" style="137" customWidth="1"/>
    <col min="12284" max="12284" width="1.44140625" style="137" customWidth="1"/>
    <col min="12285" max="12285" width="39.109375" style="137" customWidth="1"/>
    <col min="12286" max="12286" width="12" style="137" customWidth="1"/>
    <col min="12287" max="12287" width="14.44140625" style="137" customWidth="1"/>
    <col min="12288" max="12288" width="11.88671875" style="137" customWidth="1"/>
    <col min="12289" max="12289" width="14.109375" style="137" customWidth="1"/>
    <col min="12290" max="12290" width="13.88671875" style="137" customWidth="1"/>
    <col min="12291" max="12292" width="12.77734375" style="137" customWidth="1"/>
    <col min="12293" max="12293" width="13.5546875" style="137" customWidth="1"/>
    <col min="12294" max="12294" width="15.33203125" style="137" customWidth="1"/>
    <col min="12295" max="12295" width="12.77734375" style="137" customWidth="1"/>
    <col min="12296" max="12296" width="13.88671875" style="137" customWidth="1"/>
    <col min="12297" max="12297" width="1.88671875" style="137" customWidth="1"/>
    <col min="12298" max="12298" width="13" style="137" customWidth="1"/>
    <col min="12299" max="12538" width="8.77734375" style="137"/>
    <col min="12539" max="12539" width="6" style="137" customWidth="1"/>
    <col min="12540" max="12540" width="1.44140625" style="137" customWidth="1"/>
    <col min="12541" max="12541" width="39.109375" style="137" customWidth="1"/>
    <col min="12542" max="12542" width="12" style="137" customWidth="1"/>
    <col min="12543" max="12543" width="14.44140625" style="137" customWidth="1"/>
    <col min="12544" max="12544" width="11.88671875" style="137" customWidth="1"/>
    <col min="12545" max="12545" width="14.109375" style="137" customWidth="1"/>
    <col min="12546" max="12546" width="13.88671875" style="137" customWidth="1"/>
    <col min="12547" max="12548" width="12.77734375" style="137" customWidth="1"/>
    <col min="12549" max="12549" width="13.5546875" style="137" customWidth="1"/>
    <col min="12550" max="12550" width="15.33203125" style="137" customWidth="1"/>
    <col min="12551" max="12551" width="12.77734375" style="137" customWidth="1"/>
    <col min="12552" max="12552" width="13.88671875" style="137" customWidth="1"/>
    <col min="12553" max="12553" width="1.88671875" style="137" customWidth="1"/>
    <col min="12554" max="12554" width="13" style="137" customWidth="1"/>
    <col min="12555" max="12794" width="8.77734375" style="137"/>
    <col min="12795" max="12795" width="6" style="137" customWidth="1"/>
    <col min="12796" max="12796" width="1.44140625" style="137" customWidth="1"/>
    <col min="12797" max="12797" width="39.109375" style="137" customWidth="1"/>
    <col min="12798" max="12798" width="12" style="137" customWidth="1"/>
    <col min="12799" max="12799" width="14.44140625" style="137" customWidth="1"/>
    <col min="12800" max="12800" width="11.88671875" style="137" customWidth="1"/>
    <col min="12801" max="12801" width="14.109375" style="137" customWidth="1"/>
    <col min="12802" max="12802" width="13.88671875" style="137" customWidth="1"/>
    <col min="12803" max="12804" width="12.77734375" style="137" customWidth="1"/>
    <col min="12805" max="12805" width="13.5546875" style="137" customWidth="1"/>
    <col min="12806" max="12806" width="15.33203125" style="137" customWidth="1"/>
    <col min="12807" max="12807" width="12.77734375" style="137" customWidth="1"/>
    <col min="12808" max="12808" width="13.88671875" style="137" customWidth="1"/>
    <col min="12809" max="12809" width="1.88671875" style="137" customWidth="1"/>
    <col min="12810" max="12810" width="13" style="137" customWidth="1"/>
    <col min="12811" max="13050" width="8.77734375" style="137"/>
    <col min="13051" max="13051" width="6" style="137" customWidth="1"/>
    <col min="13052" max="13052" width="1.44140625" style="137" customWidth="1"/>
    <col min="13053" max="13053" width="39.109375" style="137" customWidth="1"/>
    <col min="13054" max="13054" width="12" style="137" customWidth="1"/>
    <col min="13055" max="13055" width="14.44140625" style="137" customWidth="1"/>
    <col min="13056" max="13056" width="11.88671875" style="137" customWidth="1"/>
    <col min="13057" max="13057" width="14.109375" style="137" customWidth="1"/>
    <col min="13058" max="13058" width="13.88671875" style="137" customWidth="1"/>
    <col min="13059" max="13060" width="12.77734375" style="137" customWidth="1"/>
    <col min="13061" max="13061" width="13.5546875" style="137" customWidth="1"/>
    <col min="13062" max="13062" width="15.33203125" style="137" customWidth="1"/>
    <col min="13063" max="13063" width="12.77734375" style="137" customWidth="1"/>
    <col min="13064" max="13064" width="13.88671875" style="137" customWidth="1"/>
    <col min="13065" max="13065" width="1.88671875" style="137" customWidth="1"/>
    <col min="13066" max="13066" width="13" style="137" customWidth="1"/>
    <col min="13067" max="13306" width="8.77734375" style="137"/>
    <col min="13307" max="13307" width="6" style="137" customWidth="1"/>
    <col min="13308" max="13308" width="1.44140625" style="137" customWidth="1"/>
    <col min="13309" max="13309" width="39.109375" style="137" customWidth="1"/>
    <col min="13310" max="13310" width="12" style="137" customWidth="1"/>
    <col min="13311" max="13311" width="14.44140625" style="137" customWidth="1"/>
    <col min="13312" max="13312" width="11.88671875" style="137" customWidth="1"/>
    <col min="13313" max="13313" width="14.109375" style="137" customWidth="1"/>
    <col min="13314" max="13314" width="13.88671875" style="137" customWidth="1"/>
    <col min="13315" max="13316" width="12.77734375" style="137" customWidth="1"/>
    <col min="13317" max="13317" width="13.5546875" style="137" customWidth="1"/>
    <col min="13318" max="13318" width="15.33203125" style="137" customWidth="1"/>
    <col min="13319" max="13319" width="12.77734375" style="137" customWidth="1"/>
    <col min="13320" max="13320" width="13.88671875" style="137" customWidth="1"/>
    <col min="13321" max="13321" width="1.88671875" style="137" customWidth="1"/>
    <col min="13322" max="13322" width="13" style="137" customWidth="1"/>
    <col min="13323" max="13562" width="8.77734375" style="137"/>
    <col min="13563" max="13563" width="6" style="137" customWidth="1"/>
    <col min="13564" max="13564" width="1.44140625" style="137" customWidth="1"/>
    <col min="13565" max="13565" width="39.109375" style="137" customWidth="1"/>
    <col min="13566" max="13566" width="12" style="137" customWidth="1"/>
    <col min="13567" max="13567" width="14.44140625" style="137" customWidth="1"/>
    <col min="13568" max="13568" width="11.88671875" style="137" customWidth="1"/>
    <col min="13569" max="13569" width="14.109375" style="137" customWidth="1"/>
    <col min="13570" max="13570" width="13.88671875" style="137" customWidth="1"/>
    <col min="13571" max="13572" width="12.77734375" style="137" customWidth="1"/>
    <col min="13573" max="13573" width="13.5546875" style="137" customWidth="1"/>
    <col min="13574" max="13574" width="15.33203125" style="137" customWidth="1"/>
    <col min="13575" max="13575" width="12.77734375" style="137" customWidth="1"/>
    <col min="13576" max="13576" width="13.88671875" style="137" customWidth="1"/>
    <col min="13577" max="13577" width="1.88671875" style="137" customWidth="1"/>
    <col min="13578" max="13578" width="13" style="137" customWidth="1"/>
    <col min="13579" max="13818" width="8.77734375" style="137"/>
    <col min="13819" max="13819" width="6" style="137" customWidth="1"/>
    <col min="13820" max="13820" width="1.44140625" style="137" customWidth="1"/>
    <col min="13821" max="13821" width="39.109375" style="137" customWidth="1"/>
    <col min="13822" max="13822" width="12" style="137" customWidth="1"/>
    <col min="13823" max="13823" width="14.44140625" style="137" customWidth="1"/>
    <col min="13824" max="13824" width="11.88671875" style="137" customWidth="1"/>
    <col min="13825" max="13825" width="14.109375" style="137" customWidth="1"/>
    <col min="13826" max="13826" width="13.88671875" style="137" customWidth="1"/>
    <col min="13827" max="13828" width="12.77734375" style="137" customWidth="1"/>
    <col min="13829" max="13829" width="13.5546875" style="137" customWidth="1"/>
    <col min="13830" max="13830" width="15.33203125" style="137" customWidth="1"/>
    <col min="13831" max="13831" width="12.77734375" style="137" customWidth="1"/>
    <col min="13832" max="13832" width="13.88671875" style="137" customWidth="1"/>
    <col min="13833" max="13833" width="1.88671875" style="137" customWidth="1"/>
    <col min="13834" max="13834" width="13" style="137" customWidth="1"/>
    <col min="13835" max="14074" width="8.77734375" style="137"/>
    <col min="14075" max="14075" width="6" style="137" customWidth="1"/>
    <col min="14076" max="14076" width="1.44140625" style="137" customWidth="1"/>
    <col min="14077" max="14077" width="39.109375" style="137" customWidth="1"/>
    <col min="14078" max="14078" width="12" style="137" customWidth="1"/>
    <col min="14079" max="14079" width="14.44140625" style="137" customWidth="1"/>
    <col min="14080" max="14080" width="11.88671875" style="137" customWidth="1"/>
    <col min="14081" max="14081" width="14.109375" style="137" customWidth="1"/>
    <col min="14082" max="14082" width="13.88671875" style="137" customWidth="1"/>
    <col min="14083" max="14084" width="12.77734375" style="137" customWidth="1"/>
    <col min="14085" max="14085" width="13.5546875" style="137" customWidth="1"/>
    <col min="14086" max="14086" width="15.33203125" style="137" customWidth="1"/>
    <col min="14087" max="14087" width="12.77734375" style="137" customWidth="1"/>
    <col min="14088" max="14088" width="13.88671875" style="137" customWidth="1"/>
    <col min="14089" max="14089" width="1.88671875" style="137" customWidth="1"/>
    <col min="14090" max="14090" width="13" style="137" customWidth="1"/>
    <col min="14091" max="14330" width="8.77734375" style="137"/>
    <col min="14331" max="14331" width="6" style="137" customWidth="1"/>
    <col min="14332" max="14332" width="1.44140625" style="137" customWidth="1"/>
    <col min="14333" max="14333" width="39.109375" style="137" customWidth="1"/>
    <col min="14334" max="14334" width="12" style="137" customWidth="1"/>
    <col min="14335" max="14335" width="14.44140625" style="137" customWidth="1"/>
    <col min="14336" max="14336" width="11.88671875" style="137" customWidth="1"/>
    <col min="14337" max="14337" width="14.109375" style="137" customWidth="1"/>
    <col min="14338" max="14338" width="13.88671875" style="137" customWidth="1"/>
    <col min="14339" max="14340" width="12.77734375" style="137" customWidth="1"/>
    <col min="14341" max="14341" width="13.5546875" style="137" customWidth="1"/>
    <col min="14342" max="14342" width="15.33203125" style="137" customWidth="1"/>
    <col min="14343" max="14343" width="12.77734375" style="137" customWidth="1"/>
    <col min="14344" max="14344" width="13.88671875" style="137" customWidth="1"/>
    <col min="14345" max="14345" width="1.88671875" style="137" customWidth="1"/>
    <col min="14346" max="14346" width="13" style="137" customWidth="1"/>
    <col min="14347" max="14586" width="8.77734375" style="137"/>
    <col min="14587" max="14587" width="6" style="137" customWidth="1"/>
    <col min="14588" max="14588" width="1.44140625" style="137" customWidth="1"/>
    <col min="14589" max="14589" width="39.109375" style="137" customWidth="1"/>
    <col min="14590" max="14590" width="12" style="137" customWidth="1"/>
    <col min="14591" max="14591" width="14.44140625" style="137" customWidth="1"/>
    <col min="14592" max="14592" width="11.88671875" style="137" customWidth="1"/>
    <col min="14593" max="14593" width="14.109375" style="137" customWidth="1"/>
    <col min="14594" max="14594" width="13.88671875" style="137" customWidth="1"/>
    <col min="14595" max="14596" width="12.77734375" style="137" customWidth="1"/>
    <col min="14597" max="14597" width="13.5546875" style="137" customWidth="1"/>
    <col min="14598" max="14598" width="15.33203125" style="137" customWidth="1"/>
    <col min="14599" max="14599" width="12.77734375" style="137" customWidth="1"/>
    <col min="14600" max="14600" width="13.88671875" style="137" customWidth="1"/>
    <col min="14601" max="14601" width="1.88671875" style="137" customWidth="1"/>
    <col min="14602" max="14602" width="13" style="137" customWidth="1"/>
    <col min="14603" max="14842" width="8.77734375" style="137"/>
    <col min="14843" max="14843" width="6" style="137" customWidth="1"/>
    <col min="14844" max="14844" width="1.44140625" style="137" customWidth="1"/>
    <col min="14845" max="14845" width="39.109375" style="137" customWidth="1"/>
    <col min="14846" max="14846" width="12" style="137" customWidth="1"/>
    <col min="14847" max="14847" width="14.44140625" style="137" customWidth="1"/>
    <col min="14848" max="14848" width="11.88671875" style="137" customWidth="1"/>
    <col min="14849" max="14849" width="14.109375" style="137" customWidth="1"/>
    <col min="14850" max="14850" width="13.88671875" style="137" customWidth="1"/>
    <col min="14851" max="14852" width="12.77734375" style="137" customWidth="1"/>
    <col min="14853" max="14853" width="13.5546875" style="137" customWidth="1"/>
    <col min="14854" max="14854" width="15.33203125" style="137" customWidth="1"/>
    <col min="14855" max="14855" width="12.77734375" style="137" customWidth="1"/>
    <col min="14856" max="14856" width="13.88671875" style="137" customWidth="1"/>
    <col min="14857" max="14857" width="1.88671875" style="137" customWidth="1"/>
    <col min="14858" max="14858" width="13" style="137" customWidth="1"/>
    <col min="14859" max="15098" width="8.77734375" style="137"/>
    <col min="15099" max="15099" width="6" style="137" customWidth="1"/>
    <col min="15100" max="15100" width="1.44140625" style="137" customWidth="1"/>
    <col min="15101" max="15101" width="39.109375" style="137" customWidth="1"/>
    <col min="15102" max="15102" width="12" style="137" customWidth="1"/>
    <col min="15103" max="15103" width="14.44140625" style="137" customWidth="1"/>
    <col min="15104" max="15104" width="11.88671875" style="137" customWidth="1"/>
    <col min="15105" max="15105" width="14.109375" style="137" customWidth="1"/>
    <col min="15106" max="15106" width="13.88671875" style="137" customWidth="1"/>
    <col min="15107" max="15108" width="12.77734375" style="137" customWidth="1"/>
    <col min="15109" max="15109" width="13.5546875" style="137" customWidth="1"/>
    <col min="15110" max="15110" width="15.33203125" style="137" customWidth="1"/>
    <col min="15111" max="15111" width="12.77734375" style="137" customWidth="1"/>
    <col min="15112" max="15112" width="13.88671875" style="137" customWidth="1"/>
    <col min="15113" max="15113" width="1.88671875" style="137" customWidth="1"/>
    <col min="15114" max="15114" width="13" style="137" customWidth="1"/>
    <col min="15115" max="15354" width="8.77734375" style="137"/>
    <col min="15355" max="15355" width="6" style="137" customWidth="1"/>
    <col min="15356" max="15356" width="1.44140625" style="137" customWidth="1"/>
    <col min="15357" max="15357" width="39.109375" style="137" customWidth="1"/>
    <col min="15358" max="15358" width="12" style="137" customWidth="1"/>
    <col min="15359" max="15359" width="14.44140625" style="137" customWidth="1"/>
    <col min="15360" max="15360" width="11.88671875" style="137" customWidth="1"/>
    <col min="15361" max="15361" width="14.109375" style="137" customWidth="1"/>
    <col min="15362" max="15362" width="13.88671875" style="137" customWidth="1"/>
    <col min="15363" max="15364" width="12.77734375" style="137" customWidth="1"/>
    <col min="15365" max="15365" width="13.5546875" style="137" customWidth="1"/>
    <col min="15366" max="15366" width="15.33203125" style="137" customWidth="1"/>
    <col min="15367" max="15367" width="12.77734375" style="137" customWidth="1"/>
    <col min="15368" max="15368" width="13.88671875" style="137" customWidth="1"/>
    <col min="15369" max="15369" width="1.88671875" style="137" customWidth="1"/>
    <col min="15370" max="15370" width="13" style="137" customWidth="1"/>
    <col min="15371" max="15610" width="8.77734375" style="137"/>
    <col min="15611" max="15611" width="6" style="137" customWidth="1"/>
    <col min="15612" max="15612" width="1.44140625" style="137" customWidth="1"/>
    <col min="15613" max="15613" width="39.109375" style="137" customWidth="1"/>
    <col min="15614" max="15614" width="12" style="137" customWidth="1"/>
    <col min="15615" max="15615" width="14.44140625" style="137" customWidth="1"/>
    <col min="15616" max="15616" width="11.88671875" style="137" customWidth="1"/>
    <col min="15617" max="15617" width="14.109375" style="137" customWidth="1"/>
    <col min="15618" max="15618" width="13.88671875" style="137" customWidth="1"/>
    <col min="15619" max="15620" width="12.77734375" style="137" customWidth="1"/>
    <col min="15621" max="15621" width="13.5546875" style="137" customWidth="1"/>
    <col min="15622" max="15622" width="15.33203125" style="137" customWidth="1"/>
    <col min="15623" max="15623" width="12.77734375" style="137" customWidth="1"/>
    <col min="15624" max="15624" width="13.88671875" style="137" customWidth="1"/>
    <col min="15625" max="15625" width="1.88671875" style="137" customWidth="1"/>
    <col min="15626" max="15626" width="13" style="137" customWidth="1"/>
    <col min="15627" max="15866" width="8.77734375" style="137"/>
    <col min="15867" max="15867" width="6" style="137" customWidth="1"/>
    <col min="15868" max="15868" width="1.44140625" style="137" customWidth="1"/>
    <col min="15869" max="15869" width="39.109375" style="137" customWidth="1"/>
    <col min="15870" max="15870" width="12" style="137" customWidth="1"/>
    <col min="15871" max="15871" width="14.44140625" style="137" customWidth="1"/>
    <col min="15872" max="15872" width="11.88671875" style="137" customWidth="1"/>
    <col min="15873" max="15873" width="14.109375" style="137" customWidth="1"/>
    <col min="15874" max="15874" width="13.88671875" style="137" customWidth="1"/>
    <col min="15875" max="15876" width="12.77734375" style="137" customWidth="1"/>
    <col min="15877" max="15877" width="13.5546875" style="137" customWidth="1"/>
    <col min="15878" max="15878" width="15.33203125" style="137" customWidth="1"/>
    <col min="15879" max="15879" width="12.77734375" style="137" customWidth="1"/>
    <col min="15880" max="15880" width="13.88671875" style="137" customWidth="1"/>
    <col min="15881" max="15881" width="1.88671875" style="137" customWidth="1"/>
    <col min="15882" max="15882" width="13" style="137" customWidth="1"/>
    <col min="15883" max="16122" width="8.77734375" style="137"/>
    <col min="16123" max="16123" width="6" style="137" customWidth="1"/>
    <col min="16124" max="16124" width="1.44140625" style="137" customWidth="1"/>
    <col min="16125" max="16125" width="39.109375" style="137" customWidth="1"/>
    <col min="16126" max="16126" width="12" style="137" customWidth="1"/>
    <col min="16127" max="16127" width="14.44140625" style="137" customWidth="1"/>
    <col min="16128" max="16128" width="11.88671875" style="137" customWidth="1"/>
    <col min="16129" max="16129" width="14.109375" style="137" customWidth="1"/>
    <col min="16130" max="16130" width="13.88671875" style="137" customWidth="1"/>
    <col min="16131" max="16132" width="12.77734375" style="137" customWidth="1"/>
    <col min="16133" max="16133" width="13.5546875" style="137" customWidth="1"/>
    <col min="16134" max="16134" width="15.33203125" style="137" customWidth="1"/>
    <col min="16135" max="16135" width="12.77734375" style="137" customWidth="1"/>
    <col min="16136" max="16136" width="13.88671875" style="137" customWidth="1"/>
    <col min="16137" max="16137" width="1.88671875" style="137" customWidth="1"/>
    <col min="16138" max="16138" width="13" style="137" customWidth="1"/>
    <col min="16139" max="16378" width="8.77734375" style="137"/>
    <col min="16379" max="16384" width="8.77734375" style="137" customWidth="1"/>
  </cols>
  <sheetData>
    <row r="1" spans="1:59">
      <c r="I1" s="77" t="s">
        <v>365</v>
      </c>
    </row>
    <row r="2" spans="1:59">
      <c r="I2" s="77" t="s">
        <v>362</v>
      </c>
    </row>
    <row r="3" spans="1:59">
      <c r="I3" s="422" t="s">
        <v>231</v>
      </c>
    </row>
    <row r="4" spans="1:59">
      <c r="I4" s="138" t="str">
        <f>'DE Ohio &amp; Kentucky'!J7</f>
        <v>For the 12 months ended: 12/31/2016</v>
      </c>
    </row>
    <row r="5" spans="1:59">
      <c r="C5" s="112"/>
    </row>
    <row r="6" spans="1:59">
      <c r="A6" s="219" t="s">
        <v>309</v>
      </c>
      <c r="B6" s="281"/>
      <c r="C6" s="281"/>
      <c r="D6" s="219"/>
      <c r="E6" s="219"/>
      <c r="F6" s="219"/>
      <c r="G6" s="281"/>
      <c r="H6" s="219"/>
      <c r="I6" s="219"/>
      <c r="K6" s="140"/>
      <c r="L6" s="139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</row>
    <row r="7" spans="1:59">
      <c r="A7" s="220" t="s">
        <v>366</v>
      </c>
      <c r="B7" s="281"/>
      <c r="C7" s="281"/>
      <c r="D7" s="219"/>
      <c r="E7" s="219"/>
      <c r="F7" s="219"/>
      <c r="G7" s="281"/>
      <c r="H7" s="219"/>
      <c r="I7" s="219"/>
      <c r="K7" s="140"/>
      <c r="L7" s="139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</row>
    <row r="8" spans="1:59">
      <c r="A8" s="221"/>
      <c r="B8" s="281"/>
      <c r="C8" s="281"/>
      <c r="D8" s="221"/>
      <c r="E8" s="221"/>
      <c r="F8" s="221"/>
      <c r="G8" s="281"/>
      <c r="H8" s="221"/>
      <c r="I8" s="221"/>
      <c r="K8" s="140"/>
      <c r="L8" s="139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</row>
    <row r="9" spans="1:59">
      <c r="A9" s="283" t="s">
        <v>212</v>
      </c>
      <c r="B9" s="281"/>
      <c r="C9" s="281"/>
      <c r="D9" s="221"/>
      <c r="E9" s="221"/>
      <c r="F9" s="221"/>
      <c r="G9" s="281"/>
      <c r="H9" s="284"/>
      <c r="I9" s="221"/>
      <c r="K9" s="140"/>
      <c r="L9" s="139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</row>
    <row r="10" spans="1:59">
      <c r="A10" s="283" t="s">
        <v>364</v>
      </c>
      <c r="B10" s="281"/>
      <c r="C10" s="281"/>
      <c r="D10" s="221"/>
      <c r="E10" s="221"/>
      <c r="F10" s="221"/>
      <c r="G10" s="281"/>
      <c r="H10" s="284"/>
      <c r="I10" s="221"/>
      <c r="K10" s="140"/>
      <c r="L10" s="13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</row>
    <row r="11" spans="1:59">
      <c r="A11" s="421"/>
      <c r="B11" s="281"/>
      <c r="C11" s="221"/>
      <c r="D11" s="221"/>
      <c r="E11" s="221"/>
      <c r="F11" s="221"/>
      <c r="G11" s="284"/>
      <c r="H11" s="221"/>
      <c r="I11" s="221"/>
      <c r="K11" s="140"/>
      <c r="L11" s="139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</row>
    <row r="12" spans="1:59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K12" s="140"/>
      <c r="L12" s="139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</row>
    <row r="13" spans="1:59">
      <c r="A13" s="142"/>
      <c r="C13" s="110"/>
      <c r="D13" s="110"/>
      <c r="E13" s="110"/>
      <c r="F13" s="110"/>
      <c r="G13" s="143"/>
      <c r="K13" s="139"/>
      <c r="L13" s="139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</row>
    <row r="14" spans="1:59">
      <c r="A14" s="142"/>
      <c r="C14" s="110"/>
      <c r="D14" s="110"/>
      <c r="E14" s="110"/>
      <c r="F14" s="110"/>
      <c r="G14" s="110"/>
      <c r="K14" s="139"/>
      <c r="L14" s="139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</row>
    <row r="15" spans="1:59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5"/>
      <c r="L15" s="146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</row>
    <row r="16" spans="1:59">
      <c r="C16" s="107"/>
      <c r="D16" s="107"/>
      <c r="K16" s="148"/>
      <c r="L16" s="146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</row>
    <row r="17" spans="1:59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8"/>
      <c r="L17" s="146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</row>
    <row r="18" spans="1:59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5"/>
      <c r="L18" s="146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</row>
    <row r="19" spans="1:59" ht="15.75">
      <c r="A19" s="151"/>
      <c r="C19" s="107" t="s">
        <v>413</v>
      </c>
      <c r="D19" s="107"/>
      <c r="E19" s="111"/>
      <c r="F19" s="111"/>
      <c r="G19" s="111"/>
      <c r="I19" s="111"/>
      <c r="K19" s="145"/>
      <c r="L19" s="146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</row>
    <row r="20" spans="1:59">
      <c r="A20" s="152">
        <v>1</v>
      </c>
      <c r="C20" s="107" t="s">
        <v>266</v>
      </c>
      <c r="D20" s="107"/>
      <c r="E20" s="844" t="s">
        <v>788</v>
      </c>
      <c r="F20" s="153"/>
      <c r="G20" s="154">
        <f>DEK!J76</f>
        <v>39061243</v>
      </c>
      <c r="K20" s="145"/>
      <c r="L20" s="146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</row>
    <row r="21" spans="1:59">
      <c r="A21" s="152">
        <v>2</v>
      </c>
      <c r="C21" s="107" t="s">
        <v>267</v>
      </c>
      <c r="D21" s="107"/>
      <c r="E21" s="844" t="s">
        <v>789</v>
      </c>
      <c r="F21" s="153"/>
      <c r="G21" s="154">
        <f>DEK!J92</f>
        <v>25983560</v>
      </c>
      <c r="K21" s="145"/>
      <c r="L21" s="146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</row>
    <row r="22" spans="1:59">
      <c r="A22" s="152"/>
      <c r="E22" s="844"/>
      <c r="F22" s="153"/>
      <c r="K22" s="145"/>
      <c r="L22" s="146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</row>
    <row r="23" spans="1:59">
      <c r="A23" s="152"/>
      <c r="C23" s="107" t="s">
        <v>232</v>
      </c>
      <c r="D23" s="107"/>
      <c r="E23" s="844"/>
      <c r="F23" s="153"/>
      <c r="G23" s="111"/>
      <c r="I23" s="111"/>
      <c r="K23" s="145"/>
      <c r="L23" s="14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</row>
    <row r="24" spans="1:59">
      <c r="A24" s="152">
        <v>3</v>
      </c>
      <c r="C24" s="107" t="s">
        <v>268</v>
      </c>
      <c r="D24" s="107"/>
      <c r="E24" s="844" t="s">
        <v>790</v>
      </c>
      <c r="F24" s="153"/>
      <c r="G24" s="154">
        <f>DEK!J149</f>
        <v>1828448</v>
      </c>
      <c r="K24" s="145"/>
      <c r="L24" s="14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</row>
    <row r="25" spans="1:59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4.6809775101114934E-2</v>
      </c>
      <c r="I25" s="156">
        <f>G25</f>
        <v>4.6809775101114934E-2</v>
      </c>
      <c r="K25" s="145"/>
      <c r="L25" s="146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</row>
    <row r="26" spans="1:59">
      <c r="A26" s="152"/>
      <c r="E26" s="844"/>
      <c r="F26" s="153"/>
      <c r="K26" s="145"/>
      <c r="L26" s="146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</row>
    <row r="27" spans="1:59">
      <c r="A27" s="152"/>
      <c r="C27" s="107" t="s">
        <v>316</v>
      </c>
      <c r="D27" s="107"/>
      <c r="E27" s="842"/>
      <c r="F27" s="153"/>
      <c r="K27" s="145"/>
      <c r="L27" s="146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</row>
    <row r="28" spans="1:59">
      <c r="A28" s="165" t="s">
        <v>270</v>
      </c>
      <c r="C28" s="107" t="s">
        <v>317</v>
      </c>
      <c r="D28" s="107"/>
      <c r="E28" s="844" t="s">
        <v>791</v>
      </c>
      <c r="F28" s="153"/>
      <c r="G28" s="154">
        <f>DEK!J153+DEK!J154</f>
        <v>87375</v>
      </c>
      <c r="K28" s="145"/>
      <c r="L28" s="146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</row>
    <row r="29" spans="1:59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2.236871980750843E-3</v>
      </c>
      <c r="I29" s="156">
        <f>G29</f>
        <v>2.236871980750843E-3</v>
      </c>
      <c r="K29" s="145"/>
      <c r="L29" s="146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</row>
    <row r="30" spans="1:59">
      <c r="A30" s="152"/>
      <c r="E30" s="844"/>
      <c r="F30" s="153"/>
      <c r="K30" s="145"/>
      <c r="L30" s="146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</row>
    <row r="31" spans="1:59">
      <c r="A31" s="159"/>
      <c r="C31" s="107" t="s">
        <v>235</v>
      </c>
      <c r="D31" s="107"/>
      <c r="E31" s="842"/>
      <c r="F31" s="113"/>
      <c r="G31" s="111"/>
      <c r="I31" s="111"/>
      <c r="K31" s="145"/>
      <c r="L31" s="146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</row>
    <row r="32" spans="1:59">
      <c r="A32" s="159" t="s">
        <v>273</v>
      </c>
      <c r="C32" s="107" t="s">
        <v>237</v>
      </c>
      <c r="D32" s="107"/>
      <c r="E32" s="844" t="s">
        <v>792</v>
      </c>
      <c r="F32" s="153"/>
      <c r="G32" s="154">
        <f>DEK!J166</f>
        <v>271179</v>
      </c>
      <c r="K32" s="148"/>
      <c r="L32" s="146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</row>
    <row r="33" spans="1:59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6.942405801064754E-3</v>
      </c>
      <c r="I33" s="156">
        <f>G33</f>
        <v>6.942405801064754E-3</v>
      </c>
      <c r="K33" s="148"/>
      <c r="L33" s="146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</row>
    <row r="34" spans="1:59">
      <c r="A34" s="159"/>
      <c r="C34" s="107"/>
      <c r="D34" s="107"/>
      <c r="E34" s="844"/>
      <c r="F34" s="153"/>
      <c r="G34" s="111"/>
      <c r="I34" s="111"/>
      <c r="K34" s="145"/>
      <c r="L34" s="146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</row>
    <row r="35" spans="1:59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5.5989052882930532E-2</v>
      </c>
      <c r="K35" s="145"/>
      <c r="L35" s="146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</row>
    <row r="36" spans="1:59">
      <c r="A36" s="369"/>
      <c r="C36" s="107"/>
      <c r="D36" s="107"/>
      <c r="E36" s="844"/>
      <c r="F36" s="153"/>
      <c r="G36" s="111"/>
      <c r="I36" s="111"/>
      <c r="K36" s="145"/>
      <c r="L36" s="146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</row>
    <row r="37" spans="1:59">
      <c r="A37" s="165"/>
      <c r="B37" s="166"/>
      <c r="C37" s="111" t="s">
        <v>239</v>
      </c>
      <c r="D37" s="111"/>
      <c r="E37" s="844"/>
      <c r="F37" s="153"/>
      <c r="G37" s="111"/>
      <c r="I37" s="111"/>
      <c r="K37" s="148"/>
      <c r="L37" s="145" t="s">
        <v>12</v>
      </c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</row>
    <row r="38" spans="1:59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154">
        <f>DEK!J179</f>
        <v>724662.32297402271</v>
      </c>
      <c r="I38" s="111"/>
      <c r="K38" s="148"/>
      <c r="L38" s="145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</row>
    <row r="39" spans="1:59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2.7889262401842654E-2</v>
      </c>
      <c r="I39" s="156">
        <f>G39</f>
        <v>2.7889262401842654E-2</v>
      </c>
      <c r="K39" s="148"/>
      <c r="L39" s="145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</row>
    <row r="40" spans="1:59">
      <c r="A40" s="159"/>
      <c r="C40" s="111"/>
      <c r="D40" s="111"/>
      <c r="E40" s="844"/>
      <c r="F40" s="153"/>
      <c r="G40" s="111"/>
      <c r="I40" s="111"/>
      <c r="K40" s="139"/>
      <c r="L40" s="146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</row>
    <row r="41" spans="1:59">
      <c r="A41" s="159"/>
      <c r="C41" s="107" t="s">
        <v>73</v>
      </c>
      <c r="D41" s="107"/>
      <c r="E41" s="845"/>
      <c r="F41" s="167"/>
      <c r="K41" s="145"/>
      <c r="L41" s="14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</row>
    <row r="42" spans="1:59">
      <c r="A42" s="159" t="s">
        <v>238</v>
      </c>
      <c r="C42" s="107" t="s">
        <v>240</v>
      </c>
      <c r="D42" s="107"/>
      <c r="E42" s="844" t="s">
        <v>794</v>
      </c>
      <c r="F42" s="153"/>
      <c r="G42" s="154">
        <f>DEK!J181</f>
        <v>1484271</v>
      </c>
      <c r="I42" s="111"/>
      <c r="K42" s="145"/>
      <c r="L42" s="146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</row>
    <row r="43" spans="1:59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5.7123465760657896E-2</v>
      </c>
      <c r="I43" s="156">
        <f>G43</f>
        <v>5.7123465760657896E-2</v>
      </c>
      <c r="K43" s="148"/>
      <c r="L43" s="145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</row>
    <row r="44" spans="1:59">
      <c r="A44" s="159"/>
      <c r="C44" s="107"/>
      <c r="D44" s="107"/>
      <c r="E44" s="844"/>
      <c r="F44" s="153"/>
      <c r="G44" s="111"/>
      <c r="I44" s="111"/>
      <c r="K44" s="145"/>
      <c r="L44" s="146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</row>
    <row r="45" spans="1:59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8.501272816250055E-2</v>
      </c>
      <c r="K45" s="145"/>
      <c r="L45" s="146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</row>
    <row r="46" spans="1:59">
      <c r="K46" s="145"/>
      <c r="L46" s="146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</row>
    <row r="47" spans="1:59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60"/>
      <c r="L47" s="145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</row>
    <row r="48" spans="1:59">
      <c r="A48" s="142"/>
      <c r="C48" s="106"/>
      <c r="D48" s="106"/>
      <c r="E48" s="106"/>
      <c r="F48" s="106"/>
      <c r="G48" s="111"/>
      <c r="H48" s="106"/>
      <c r="I48" s="106"/>
      <c r="J48" s="106"/>
      <c r="K48" s="148"/>
      <c r="L48" s="145" t="s">
        <v>12</v>
      </c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</row>
    <row r="49" spans="11:59">
      <c r="X49" s="77" t="s">
        <v>365</v>
      </c>
    </row>
    <row r="50" spans="11:59">
      <c r="X50" s="77" t="s">
        <v>362</v>
      </c>
    </row>
    <row r="51" spans="11:59">
      <c r="X51" s="172" t="s">
        <v>241</v>
      </c>
    </row>
    <row r="52" spans="11:59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</row>
    <row r="53" spans="11:59">
      <c r="K53" s="142"/>
      <c r="M53" s="107"/>
      <c r="N53" s="106"/>
      <c r="O53" s="106"/>
      <c r="P53" s="106"/>
      <c r="Q53" s="111"/>
      <c r="R53" s="106"/>
      <c r="S53" s="106"/>
      <c r="T53" s="106"/>
      <c r="U53" s="106"/>
      <c r="W53" s="11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</row>
    <row r="54" spans="11:59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</row>
    <row r="55" spans="11:59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</row>
    <row r="56" spans="11:59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X56" s="106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</row>
    <row r="57" spans="11:59">
      <c r="K57" s="222" t="str">
        <f>A9</f>
        <v>Duke Energy Kentucky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</row>
    <row r="58" spans="11:59">
      <c r="K58" s="222" t="str">
        <f>A10</f>
        <v>Legacy MTEP Credit</v>
      </c>
      <c r="L58" s="281"/>
      <c r="M58" s="281"/>
      <c r="N58" s="28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</row>
    <row r="59" spans="11:59">
      <c r="K59" s="142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</row>
    <row r="60" spans="11:59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</row>
    <row r="61" spans="11:59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</row>
    <row r="62" spans="11:59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</row>
    <row r="63" spans="11:59" ht="63">
      <c r="K63" s="174" t="s">
        <v>279</v>
      </c>
      <c r="L63" s="175"/>
      <c r="M63" s="175" t="s">
        <v>249</v>
      </c>
      <c r="N63" s="176" t="s">
        <v>280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</row>
    <row r="64" spans="11:59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846" t="s">
        <v>23</v>
      </c>
      <c r="S64" s="846" t="s">
        <v>781</v>
      </c>
      <c r="T64" s="184" t="s">
        <v>290</v>
      </c>
      <c r="U64" s="846" t="s">
        <v>291</v>
      </c>
      <c r="V64" s="184" t="s">
        <v>292</v>
      </c>
      <c r="W64" s="185" t="s">
        <v>242</v>
      </c>
      <c r="X64" s="186" t="s">
        <v>293</v>
      </c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</row>
    <row r="65" spans="11:59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</row>
    <row r="66" spans="11:59">
      <c r="K66" s="190" t="s">
        <v>3</v>
      </c>
      <c r="M66" s="433" t="s">
        <v>294</v>
      </c>
      <c r="N66" s="433" t="s">
        <v>295</v>
      </c>
      <c r="O66" s="250">
        <v>0</v>
      </c>
      <c r="P66" s="156">
        <f>$I$35</f>
        <v>5.5989052882930532E-2</v>
      </c>
      <c r="Q66" s="192">
        <f>O66*P66</f>
        <v>0</v>
      </c>
      <c r="R66" s="191">
        <v>0</v>
      </c>
      <c r="S66" s="156">
        <f>$I$45</f>
        <v>8.501272816250055E-2</v>
      </c>
      <c r="T66" s="192">
        <f>R66*S66</f>
        <v>0</v>
      </c>
      <c r="U66" s="193">
        <v>0</v>
      </c>
      <c r="V66" s="192">
        <f>Q66+T66+U66</f>
        <v>0</v>
      </c>
      <c r="W66" s="194">
        <v>0</v>
      </c>
      <c r="X66" s="192">
        <f>V66+W66</f>
        <v>0</v>
      </c>
    </row>
    <row r="67" spans="11:59">
      <c r="K67" s="190" t="s">
        <v>296</v>
      </c>
      <c r="M67" s="433" t="s">
        <v>297</v>
      </c>
      <c r="N67" s="433" t="s">
        <v>298</v>
      </c>
      <c r="O67" s="250">
        <v>0</v>
      </c>
      <c r="P67" s="156">
        <f>$I$35</f>
        <v>5.5989052882930532E-2</v>
      </c>
      <c r="Q67" s="192">
        <f>O67*P67</f>
        <v>0</v>
      </c>
      <c r="R67" s="191">
        <v>0</v>
      </c>
      <c r="S67" s="156">
        <f>$I$45</f>
        <v>8.501272816250055E-2</v>
      </c>
      <c r="T67" s="192">
        <f>R67*S67</f>
        <v>0</v>
      </c>
      <c r="U67" s="193">
        <v>0</v>
      </c>
      <c r="V67" s="192">
        <f>Q67+T67+U67</f>
        <v>0</v>
      </c>
      <c r="W67" s="194">
        <v>0</v>
      </c>
      <c r="X67" s="192">
        <f>V67+W67</f>
        <v>0</v>
      </c>
    </row>
    <row r="68" spans="11:59">
      <c r="K68" s="190" t="s">
        <v>299</v>
      </c>
      <c r="M68" s="433" t="s">
        <v>300</v>
      </c>
      <c r="N68" s="433" t="s">
        <v>301</v>
      </c>
      <c r="O68" s="250">
        <v>0</v>
      </c>
      <c r="P68" s="156">
        <f>$I$35</f>
        <v>5.5989052882930532E-2</v>
      </c>
      <c r="Q68" s="192">
        <f>O68*P68</f>
        <v>0</v>
      </c>
      <c r="R68" s="191">
        <v>0</v>
      </c>
      <c r="S68" s="156">
        <f>$I$45</f>
        <v>8.501272816250055E-2</v>
      </c>
      <c r="T68" s="192">
        <f>R68*S68</f>
        <v>0</v>
      </c>
      <c r="U68" s="193">
        <v>0</v>
      </c>
      <c r="V68" s="192">
        <f>Q68+T68+U68</f>
        <v>0</v>
      </c>
      <c r="W68" s="191">
        <v>0</v>
      </c>
      <c r="X68" s="192">
        <f>V68+W68</f>
        <v>0</v>
      </c>
    </row>
    <row r="69" spans="11:59">
      <c r="K69" s="190"/>
      <c r="Q69" s="192"/>
      <c r="T69" s="192"/>
      <c r="V69" s="192"/>
      <c r="X69" s="192"/>
    </row>
    <row r="70" spans="11:59">
      <c r="K70" s="190"/>
      <c r="Q70" s="192"/>
      <c r="T70" s="192"/>
      <c r="V70" s="192"/>
      <c r="X70" s="192"/>
    </row>
    <row r="71" spans="11:59">
      <c r="K71" s="190"/>
      <c r="Q71" s="192"/>
      <c r="T71" s="192"/>
      <c r="V71" s="192"/>
      <c r="X71" s="192"/>
    </row>
    <row r="72" spans="11:59">
      <c r="K72" s="190"/>
      <c r="Q72" s="192"/>
      <c r="T72" s="192"/>
      <c r="V72" s="192"/>
      <c r="X72" s="192"/>
    </row>
    <row r="73" spans="11:59">
      <c r="K73" s="190"/>
      <c r="Q73" s="192"/>
      <c r="T73" s="192"/>
      <c r="V73" s="192"/>
      <c r="X73" s="192"/>
    </row>
    <row r="74" spans="11:59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</row>
    <row r="75" spans="11:59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</row>
    <row r="76" spans="11:59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</row>
    <row r="77" spans="11:59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</row>
    <row r="78" spans="11:59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</row>
    <row r="79" spans="11:59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</row>
    <row r="80" spans="11:59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</row>
    <row r="81" spans="11:24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</row>
    <row r="82" spans="11:24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</row>
    <row r="83" spans="11:24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</row>
    <row r="84" spans="11:24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</row>
    <row r="85" spans="11:24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</row>
    <row r="86" spans="11:24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0</v>
      </c>
      <c r="W86" s="202">
        <f>SUM(W66:W85)</f>
        <v>0</v>
      </c>
      <c r="X86" s="202">
        <f>SUM(X66:X85)</f>
        <v>0</v>
      </c>
    </row>
    <row r="87" spans="11:24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</row>
    <row r="88" spans="11:24">
      <c r="K88" s="201">
        <v>3</v>
      </c>
      <c r="L88" s="195"/>
      <c r="M88" s="849" t="s">
        <v>706</v>
      </c>
      <c r="N88" s="195"/>
      <c r="O88" s="195"/>
      <c r="P88" s="195"/>
      <c r="Q88" s="195"/>
      <c r="R88" s="195"/>
      <c r="S88" s="195"/>
      <c r="T88" s="195"/>
      <c r="U88" s="195"/>
      <c r="V88" s="202"/>
      <c r="W88" s="195"/>
      <c r="X88" s="202">
        <f>X86</f>
        <v>0</v>
      </c>
    </row>
    <row r="89" spans="11:24"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</row>
    <row r="90" spans="11:24"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</row>
    <row r="91" spans="11:24">
      <c r="K91" s="106" t="s">
        <v>113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</row>
    <row r="92" spans="11:24" ht="15.75" thickBot="1">
      <c r="K92" s="203" t="s">
        <v>114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</row>
    <row r="93" spans="11:24">
      <c r="K93" s="204" t="s">
        <v>115</v>
      </c>
      <c r="L93" s="109"/>
      <c r="M93" s="1044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</row>
    <row r="94" spans="11:24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</row>
    <row r="95" spans="11:24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</row>
    <row r="96" spans="11:24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</row>
    <row r="97" spans="11:24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</row>
    <row r="98" spans="11:24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</row>
    <row r="99" spans="11:24">
      <c r="K99" s="204" t="s">
        <v>121</v>
      </c>
      <c r="L99" s="109"/>
      <c r="M99" s="1042" t="s">
        <v>307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</row>
    <row r="100" spans="11:24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</row>
    <row r="101" spans="11:24" ht="15.75">
      <c r="K101" s="169"/>
      <c r="L101" s="206"/>
      <c r="M101" s="207"/>
      <c r="N101" s="165"/>
      <c r="O101" s="113"/>
      <c r="P101" s="113"/>
      <c r="Q101" s="111"/>
      <c r="R101" s="106"/>
      <c r="S101" s="106"/>
      <c r="T101" s="155"/>
      <c r="U101" s="106"/>
      <c r="W101" s="111"/>
      <c r="X101" s="170"/>
    </row>
    <row r="102" spans="11:24" ht="15.75">
      <c r="K102" s="169"/>
      <c r="L102" s="206"/>
      <c r="M102" s="207"/>
      <c r="N102" s="165"/>
      <c r="O102" s="113"/>
      <c r="P102" s="113"/>
      <c r="Q102" s="111"/>
      <c r="R102" s="106"/>
      <c r="S102" s="106"/>
      <c r="T102" s="155"/>
      <c r="U102" s="106"/>
      <c r="W102" s="111"/>
      <c r="X102" s="157"/>
    </row>
    <row r="103" spans="11:24"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11:24"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</row>
    <row r="105" spans="11:24"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</row>
    <row r="106" spans="11:24"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11:24"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</row>
    <row r="108" spans="11:24"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</row>
    <row r="109" spans="11:24"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11:24"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11:24"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11:24"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13:24"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13:24"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13:24"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13:24"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13:24"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13:24"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19" spans="13:24"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</row>
    <row r="120" spans="13:24"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</row>
    <row r="121" spans="13:24"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</row>
    <row r="122" spans="13:24"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</row>
    <row r="123" spans="13:24"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</row>
    <row r="124" spans="13:24"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</row>
    <row r="125" spans="13:24"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6" spans="13:24"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</row>
    <row r="127" spans="13:24"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</row>
    <row r="128" spans="13:24"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</row>
    <row r="129" spans="3:24"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</row>
    <row r="130" spans="3:24"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</row>
    <row r="131" spans="3:24"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</row>
    <row r="132" spans="3:24"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</row>
    <row r="133" spans="3:24"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</row>
    <row r="134" spans="3:24"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</row>
    <row r="135" spans="3:24"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</row>
    <row r="136" spans="3:24"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</row>
    <row r="137" spans="3:24"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</row>
    <row r="138" spans="3:24"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</row>
    <row r="139" spans="3:24"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</row>
    <row r="140" spans="3:24"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</row>
    <row r="141" spans="3:24"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</row>
    <row r="142" spans="3:24"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</row>
    <row r="143" spans="3:24"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</row>
    <row r="144" spans="3:24"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</row>
    <row r="145" spans="3:15"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</row>
    <row r="146" spans="3:15"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</row>
    <row r="147" spans="3:15"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</row>
    <row r="148" spans="3:15"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</row>
    <row r="149" spans="3:15"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</row>
    <row r="150" spans="3:15"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</row>
    <row r="151" spans="3:15"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</row>
    <row r="152" spans="3:15"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</row>
    <row r="153" spans="3:15"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</row>
    <row r="154" spans="3:15"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</row>
    <row r="155" spans="3:15"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</row>
    <row r="156" spans="3:15"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</row>
    <row r="157" spans="3:15"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</row>
    <row r="158" spans="3:15"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</row>
    <row r="159" spans="3:15"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</row>
    <row r="160" spans="3:15"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</row>
    <row r="161" spans="3:15"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</row>
    <row r="162" spans="3:15"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</row>
    <row r="163" spans="3:15"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</row>
    <row r="164" spans="3:15"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</row>
    <row r="165" spans="3:15"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</row>
    <row r="166" spans="3:15"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</row>
    <row r="167" spans="3:15"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</row>
    <row r="168" spans="3:15"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</row>
    <row r="169" spans="3:15"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</row>
    <row r="170" spans="3:15"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</row>
    <row r="171" spans="3:15"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</row>
    <row r="172" spans="3:15"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</row>
    <row r="173" spans="3:15"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</row>
    <row r="174" spans="3:15"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</row>
    <row r="175" spans="3:15"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</row>
    <row r="176" spans="3:15"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</row>
    <row r="177" spans="3:15"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</row>
    <row r="178" spans="3:15"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</row>
    <row r="179" spans="3:15"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</row>
    <row r="180" spans="3:15"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</row>
    <row r="181" spans="3:15"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</row>
    <row r="182" spans="3:15"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</row>
    <row r="183" spans="3:15"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</row>
    <row r="184" spans="3:15"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</row>
    <row r="185" spans="3:15"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</row>
    <row r="186" spans="3:15"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</row>
    <row r="187" spans="3:15"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</row>
    <row r="188" spans="3:15"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</row>
    <row r="189" spans="3:15"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</row>
    <row r="190" spans="3:15"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</row>
    <row r="191" spans="3:15"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</row>
    <row r="192" spans="3:15"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</row>
    <row r="193" spans="3:15"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</row>
    <row r="194" spans="3:15"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</row>
    <row r="195" spans="3:15"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</row>
    <row r="196" spans="3:15"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</row>
    <row r="197" spans="3:15"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</row>
    <row r="198" spans="3:15"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</row>
    <row r="199" spans="3:15"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</row>
    <row r="200" spans="3:15"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</row>
    <row r="201" spans="3:15"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</row>
    <row r="202" spans="3:15"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</row>
    <row r="203" spans="3:15"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</row>
    <row r="204" spans="3:15"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</row>
    <row r="205" spans="3:15"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</row>
    <row r="206" spans="3:15"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</row>
    <row r="207" spans="3:15"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</row>
    <row r="208" spans="3:15"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</row>
    <row r="209" spans="3:15"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</row>
    <row r="210" spans="3:15"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3:15"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</row>
    <row r="212" spans="3:15"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</row>
    <row r="213" spans="3:15"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</row>
    <row r="214" spans="3:15"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</row>
    <row r="215" spans="3:15"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</row>
    <row r="216" spans="3:15"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</row>
    <row r="217" spans="3:15"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</row>
    <row r="218" spans="3:15"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</row>
    <row r="219" spans="3:15"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</row>
    <row r="220" spans="3:15"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</row>
    <row r="221" spans="3:15"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</row>
    <row r="222" spans="3:15"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</row>
    <row r="223" spans="3:15"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</row>
    <row r="224" spans="3:15"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</row>
    <row r="225" spans="3:15"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</row>
    <row r="226" spans="3:15"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</row>
    <row r="227" spans="3:15"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</row>
    <row r="228" spans="3:15"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</row>
    <row r="229" spans="3:15"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</row>
    <row r="230" spans="3:15"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</row>
    <row r="231" spans="3:15"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</row>
    <row r="232" spans="3:15"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</row>
    <row r="233" spans="3:15"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</row>
    <row r="234" spans="3:15"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</row>
    <row r="235" spans="3:15"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</row>
    <row r="236" spans="3:15"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</row>
    <row r="237" spans="3:15"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</row>
    <row r="238" spans="3:15"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</row>
    <row r="239" spans="3:15"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</row>
    <row r="240" spans="3:15"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</row>
    <row r="241" spans="3:15"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</row>
    <row r="242" spans="3:15"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</row>
    <row r="243" spans="3:15"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</row>
    <row r="244" spans="3:15"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</row>
    <row r="245" spans="3:15"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</row>
    <row r="246" spans="3:15"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</row>
    <row r="247" spans="3:15"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</row>
    <row r="248" spans="3:15">
      <c r="C248" s="195"/>
      <c r="D248" s="195"/>
      <c r="E248" s="195"/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</row>
    <row r="249" spans="3:15">
      <c r="C249" s="195"/>
      <c r="D249" s="195"/>
      <c r="E249" s="195"/>
      <c r="F249" s="195"/>
      <c r="G249" s="195"/>
      <c r="H249" s="195"/>
      <c r="I249" s="195"/>
      <c r="J249" s="195"/>
      <c r="K249" s="195"/>
      <c r="L249" s="195"/>
      <c r="M249" s="195"/>
      <c r="N249" s="195"/>
      <c r="O249" s="195"/>
    </row>
    <row r="250" spans="3:15"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</row>
    <row r="251" spans="3:15">
      <c r="C251" s="195"/>
      <c r="D251" s="195"/>
      <c r="E251" s="195"/>
      <c r="F251" s="195"/>
      <c r="G251" s="195"/>
      <c r="H251" s="195"/>
      <c r="I251" s="195"/>
      <c r="J251" s="195"/>
      <c r="K251" s="195"/>
      <c r="L251" s="195"/>
      <c r="M251" s="195"/>
      <c r="N251" s="195"/>
      <c r="O251" s="195"/>
    </row>
    <row r="252" spans="3:15">
      <c r="C252" s="195"/>
      <c r="D252" s="195"/>
      <c r="E252" s="195"/>
      <c r="F252" s="195"/>
      <c r="G252" s="195"/>
      <c r="H252" s="195"/>
      <c r="I252" s="195"/>
      <c r="J252" s="195"/>
      <c r="K252" s="195"/>
      <c r="L252" s="195"/>
      <c r="M252" s="195"/>
      <c r="N252" s="195"/>
      <c r="O252" s="195"/>
    </row>
    <row r="253" spans="3:15">
      <c r="C253" s="195"/>
      <c r="D253" s="195"/>
      <c r="E253" s="195"/>
      <c r="F253" s="195"/>
      <c r="G253" s="195"/>
      <c r="H253" s="195"/>
      <c r="I253" s="195"/>
      <c r="J253" s="195"/>
      <c r="K253" s="195"/>
      <c r="L253" s="195"/>
      <c r="M253" s="195"/>
      <c r="N253" s="195"/>
      <c r="O253" s="195"/>
    </row>
    <row r="254" spans="3:15">
      <c r="C254" s="195"/>
      <c r="D254" s="195"/>
      <c r="E254" s="195"/>
      <c r="F254" s="195"/>
      <c r="G254" s="195"/>
      <c r="H254" s="195"/>
      <c r="I254" s="195"/>
      <c r="J254" s="195"/>
      <c r="K254" s="195"/>
      <c r="L254" s="195"/>
      <c r="M254" s="195"/>
      <c r="N254" s="195"/>
      <c r="O254" s="195"/>
    </row>
    <row r="255" spans="3:15">
      <c r="C255" s="195"/>
      <c r="D255" s="195"/>
      <c r="E255" s="195"/>
      <c r="F255" s="195"/>
      <c r="G255" s="195"/>
      <c r="H255" s="195"/>
      <c r="I255" s="195"/>
      <c r="J255" s="195"/>
      <c r="K255" s="195"/>
      <c r="L255" s="195"/>
      <c r="M255" s="195"/>
      <c r="N255" s="195"/>
      <c r="O255" s="195"/>
    </row>
    <row r="256" spans="3:15">
      <c r="C256" s="195"/>
      <c r="D256" s="195"/>
      <c r="E256" s="195"/>
      <c r="F256" s="195"/>
      <c r="G256" s="195"/>
      <c r="H256" s="195"/>
      <c r="I256" s="195"/>
      <c r="J256" s="195"/>
      <c r="K256" s="195"/>
      <c r="L256" s="195"/>
      <c r="M256" s="195"/>
      <c r="N256" s="195"/>
      <c r="O256" s="195"/>
    </row>
    <row r="257" spans="3:15">
      <c r="C257" s="195"/>
      <c r="D257" s="195"/>
      <c r="E257" s="195"/>
      <c r="F257" s="195"/>
      <c r="G257" s="195"/>
      <c r="H257" s="195"/>
      <c r="I257" s="195"/>
      <c r="J257" s="195"/>
      <c r="K257" s="195"/>
      <c r="L257" s="195"/>
      <c r="M257" s="195"/>
      <c r="N257" s="195"/>
      <c r="O257" s="195"/>
    </row>
    <row r="258" spans="3:15"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</row>
    <row r="259" spans="3:15">
      <c r="C259" s="195"/>
      <c r="D259" s="195"/>
      <c r="E259" s="195"/>
      <c r="F259" s="195"/>
      <c r="G259" s="195"/>
      <c r="H259" s="195"/>
      <c r="I259" s="195"/>
      <c r="J259" s="195"/>
      <c r="K259" s="195"/>
      <c r="L259" s="195"/>
      <c r="M259" s="195"/>
      <c r="N259" s="195"/>
      <c r="O259" s="195"/>
    </row>
    <row r="260" spans="3:15">
      <c r="C260" s="195"/>
      <c r="D260" s="195"/>
      <c r="E260" s="195"/>
      <c r="F260" s="195"/>
      <c r="G260" s="195"/>
      <c r="H260" s="195"/>
      <c r="I260" s="195"/>
      <c r="J260" s="195"/>
      <c r="K260" s="195"/>
      <c r="L260" s="195"/>
      <c r="M260" s="195"/>
      <c r="N260" s="195"/>
      <c r="O260" s="195"/>
    </row>
    <row r="261" spans="3:15">
      <c r="C261" s="195"/>
      <c r="D261" s="195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</row>
    <row r="262" spans="3:15">
      <c r="C262" s="195"/>
      <c r="D262" s="195"/>
      <c r="E262" s="195"/>
      <c r="F262" s="195"/>
      <c r="G262" s="195"/>
      <c r="H262" s="195"/>
      <c r="I262" s="195"/>
      <c r="J262" s="195"/>
      <c r="K262" s="195"/>
      <c r="L262" s="195"/>
      <c r="M262" s="195"/>
      <c r="N262" s="195"/>
      <c r="O262" s="195"/>
    </row>
    <row r="263" spans="3:15">
      <c r="C263" s="195"/>
      <c r="D263" s="195"/>
      <c r="E263" s="195"/>
      <c r="F263" s="195"/>
      <c r="G263" s="195"/>
      <c r="H263" s="195"/>
      <c r="I263" s="195"/>
      <c r="J263" s="195"/>
      <c r="K263" s="195"/>
      <c r="L263" s="195"/>
      <c r="M263" s="195"/>
      <c r="N263" s="195"/>
      <c r="O263" s="195"/>
    </row>
    <row r="264" spans="3:15">
      <c r="C264" s="195"/>
      <c r="D264" s="195"/>
      <c r="E264" s="195"/>
      <c r="F264" s="195"/>
      <c r="G264" s="195"/>
      <c r="H264" s="195"/>
      <c r="I264" s="195"/>
      <c r="J264" s="195"/>
      <c r="K264" s="195"/>
      <c r="L264" s="195"/>
      <c r="M264" s="195"/>
      <c r="N264" s="195"/>
      <c r="O264" s="195"/>
    </row>
    <row r="265" spans="3:15">
      <c r="C265" s="195"/>
      <c r="D265" s="195"/>
      <c r="E265" s="195"/>
      <c r="F265" s="195"/>
      <c r="G265" s="195"/>
      <c r="H265" s="195"/>
      <c r="I265" s="195"/>
      <c r="J265" s="195"/>
      <c r="K265" s="195"/>
      <c r="L265" s="195"/>
      <c r="M265" s="195"/>
      <c r="N265" s="195"/>
      <c r="O265" s="195"/>
    </row>
    <row r="266" spans="3:15">
      <c r="C266" s="195"/>
      <c r="D266" s="195"/>
      <c r="E266" s="195"/>
      <c r="F266" s="195"/>
      <c r="G266" s="195"/>
      <c r="H266" s="195"/>
      <c r="I266" s="195"/>
      <c r="J266" s="195"/>
      <c r="K266" s="195"/>
      <c r="L266" s="195"/>
      <c r="M266" s="195"/>
      <c r="N266" s="195"/>
      <c r="O266" s="195"/>
    </row>
    <row r="267" spans="3:15">
      <c r="C267" s="195"/>
      <c r="D267" s="195"/>
      <c r="E267" s="195"/>
      <c r="F267" s="195"/>
      <c r="G267" s="195"/>
      <c r="H267" s="195"/>
      <c r="I267" s="195"/>
      <c r="J267" s="195"/>
      <c r="K267" s="195"/>
      <c r="L267" s="195"/>
      <c r="M267" s="195"/>
      <c r="N267" s="195"/>
      <c r="O267" s="195"/>
    </row>
    <row r="268" spans="3:15">
      <c r="C268" s="195"/>
      <c r="D268" s="195"/>
      <c r="E268" s="195"/>
      <c r="F268" s="195"/>
      <c r="G268" s="195"/>
      <c r="H268" s="195"/>
      <c r="I268" s="195"/>
      <c r="J268" s="195"/>
      <c r="K268" s="195"/>
      <c r="L268" s="195"/>
      <c r="M268" s="195"/>
      <c r="N268" s="195"/>
      <c r="O268" s="195"/>
    </row>
    <row r="269" spans="3:15">
      <c r="C269" s="195"/>
      <c r="D269" s="195"/>
      <c r="E269" s="195"/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</row>
    <row r="270" spans="3:15">
      <c r="C270" s="195"/>
      <c r="D270" s="195"/>
      <c r="E270" s="195"/>
      <c r="F270" s="195"/>
      <c r="G270" s="195"/>
      <c r="H270" s="195"/>
      <c r="I270" s="195"/>
      <c r="J270" s="195"/>
      <c r="K270" s="195"/>
      <c r="L270" s="195"/>
      <c r="M270" s="195"/>
      <c r="N270" s="195"/>
      <c r="O270" s="195"/>
    </row>
    <row r="271" spans="3:15">
      <c r="C271" s="195"/>
      <c r="D271" s="195"/>
      <c r="E271" s="195"/>
      <c r="F271" s="195"/>
      <c r="G271" s="195"/>
      <c r="H271" s="195"/>
      <c r="I271" s="195"/>
      <c r="J271" s="195"/>
      <c r="K271" s="195"/>
      <c r="L271" s="195"/>
      <c r="M271" s="195"/>
      <c r="N271" s="195"/>
      <c r="O271" s="195"/>
    </row>
    <row r="272" spans="3:15">
      <c r="C272" s="195"/>
      <c r="D272" s="195"/>
      <c r="E272" s="195"/>
      <c r="F272" s="195"/>
      <c r="G272" s="195"/>
      <c r="H272" s="195"/>
      <c r="I272" s="195"/>
      <c r="J272" s="195"/>
      <c r="K272" s="195"/>
      <c r="L272" s="195"/>
      <c r="M272" s="195"/>
      <c r="N272" s="195"/>
      <c r="O272" s="195"/>
    </row>
    <row r="273" spans="3:15">
      <c r="C273" s="195"/>
      <c r="D273" s="195"/>
      <c r="E273" s="195"/>
      <c r="F273" s="195"/>
      <c r="G273" s="195"/>
      <c r="H273" s="195"/>
      <c r="I273" s="195"/>
      <c r="J273" s="195"/>
      <c r="K273" s="195"/>
      <c r="L273" s="195"/>
      <c r="M273" s="195"/>
      <c r="N273" s="195"/>
      <c r="O273" s="195"/>
    </row>
    <row r="274" spans="3:15"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</row>
    <row r="275" spans="3:15">
      <c r="C275" s="195"/>
      <c r="D275" s="195"/>
      <c r="E275" s="195"/>
      <c r="F275" s="195"/>
      <c r="G275" s="195"/>
      <c r="H275" s="195"/>
      <c r="I275" s="195"/>
      <c r="J275" s="195"/>
      <c r="K275" s="195"/>
      <c r="L275" s="195"/>
      <c r="M275" s="195"/>
      <c r="N275" s="195"/>
      <c r="O275" s="195"/>
    </row>
    <row r="276" spans="3:15">
      <c r="C276" s="195"/>
      <c r="D276" s="195"/>
      <c r="E276" s="195"/>
      <c r="F276" s="195"/>
      <c r="G276" s="195"/>
      <c r="H276" s="195"/>
      <c r="I276" s="195"/>
      <c r="J276" s="195"/>
      <c r="K276" s="195"/>
      <c r="L276" s="195"/>
      <c r="M276" s="195"/>
      <c r="N276" s="195"/>
      <c r="O276" s="195"/>
    </row>
    <row r="277" spans="3:15">
      <c r="C277" s="195"/>
      <c r="D277" s="195"/>
      <c r="E277" s="195"/>
      <c r="F277" s="195"/>
      <c r="G277" s="195"/>
      <c r="H277" s="195"/>
      <c r="I277" s="195"/>
      <c r="J277" s="195"/>
      <c r="K277" s="195"/>
      <c r="L277" s="195"/>
      <c r="M277" s="195"/>
      <c r="N277" s="195"/>
      <c r="O277" s="195"/>
    </row>
    <row r="278" spans="3:15">
      <c r="C278" s="195"/>
      <c r="D278" s="195"/>
      <c r="E278" s="195"/>
      <c r="F278" s="195"/>
      <c r="G278" s="195"/>
      <c r="H278" s="195"/>
      <c r="I278" s="195"/>
      <c r="J278" s="195"/>
      <c r="K278" s="195"/>
      <c r="L278" s="195"/>
      <c r="M278" s="195"/>
      <c r="N278" s="195"/>
      <c r="O278" s="195"/>
    </row>
    <row r="279" spans="3:15">
      <c r="C279" s="195"/>
      <c r="D279" s="195"/>
      <c r="E279" s="195"/>
      <c r="F279" s="195"/>
      <c r="G279" s="195"/>
      <c r="H279" s="195"/>
      <c r="I279" s="195"/>
      <c r="J279" s="195"/>
      <c r="K279" s="195"/>
      <c r="L279" s="195"/>
      <c r="M279" s="195"/>
      <c r="N279" s="195"/>
      <c r="O279" s="195"/>
    </row>
    <row r="280" spans="3:15">
      <c r="C280" s="195"/>
      <c r="D280" s="195"/>
      <c r="E280" s="195"/>
      <c r="F280" s="195"/>
      <c r="G280" s="195"/>
      <c r="H280" s="195"/>
      <c r="I280" s="195"/>
      <c r="J280" s="195"/>
      <c r="K280" s="195"/>
      <c r="L280" s="195"/>
      <c r="M280" s="195"/>
      <c r="N280" s="195"/>
      <c r="O280" s="195"/>
    </row>
    <row r="281" spans="3:15">
      <c r="C281" s="195"/>
      <c r="D281" s="195"/>
      <c r="E281" s="195"/>
      <c r="F281" s="195"/>
      <c r="G281" s="195"/>
      <c r="H281" s="195"/>
      <c r="I281" s="195"/>
      <c r="J281" s="195"/>
      <c r="K281" s="195"/>
      <c r="L281" s="195"/>
      <c r="M281" s="195"/>
      <c r="N281" s="195"/>
      <c r="O281" s="195"/>
    </row>
    <row r="282" spans="3:15">
      <c r="C282" s="195"/>
      <c r="D282" s="195"/>
      <c r="E282" s="195"/>
      <c r="F282" s="195"/>
      <c r="G282" s="195"/>
      <c r="H282" s="195"/>
      <c r="I282" s="195"/>
      <c r="J282" s="195"/>
      <c r="K282" s="195"/>
      <c r="L282" s="195"/>
      <c r="M282" s="195"/>
      <c r="N282" s="195"/>
      <c r="O282" s="195"/>
    </row>
    <row r="283" spans="3:15">
      <c r="C283" s="195"/>
      <c r="D283" s="195"/>
      <c r="E283" s="195"/>
      <c r="F283" s="195"/>
      <c r="G283" s="195"/>
      <c r="H283" s="195"/>
      <c r="I283" s="195"/>
      <c r="J283" s="195"/>
      <c r="K283" s="195"/>
      <c r="L283" s="195"/>
      <c r="M283" s="195"/>
      <c r="N283" s="195"/>
      <c r="O283" s="195"/>
    </row>
    <row r="284" spans="3:15">
      <c r="C284" s="195"/>
      <c r="D284" s="195"/>
      <c r="E284" s="195"/>
      <c r="F284" s="195"/>
      <c r="G284" s="195"/>
      <c r="H284" s="195"/>
      <c r="I284" s="195"/>
      <c r="J284" s="195"/>
      <c r="K284" s="195"/>
      <c r="L284" s="195"/>
      <c r="M284" s="195"/>
      <c r="N284" s="195"/>
      <c r="O284" s="195"/>
    </row>
    <row r="285" spans="3:15">
      <c r="C285" s="195"/>
      <c r="D285" s="195"/>
      <c r="E285" s="195"/>
      <c r="F285" s="195"/>
      <c r="G285" s="195"/>
      <c r="H285" s="195"/>
      <c r="I285" s="195"/>
      <c r="J285" s="195"/>
      <c r="K285" s="195"/>
      <c r="L285" s="195"/>
      <c r="M285" s="195"/>
      <c r="N285" s="195"/>
      <c r="O285" s="195"/>
    </row>
    <row r="286" spans="3:15">
      <c r="C286" s="195"/>
      <c r="D286" s="195"/>
      <c r="E286" s="195"/>
      <c r="F286" s="195"/>
      <c r="G286" s="195"/>
      <c r="H286" s="195"/>
      <c r="I286" s="195"/>
      <c r="J286" s="195"/>
      <c r="K286" s="195"/>
      <c r="L286" s="195"/>
      <c r="M286" s="195"/>
      <c r="N286" s="195"/>
      <c r="O286" s="195"/>
    </row>
    <row r="287" spans="3:15">
      <c r="C287" s="195"/>
      <c r="D287" s="195"/>
      <c r="E287" s="195"/>
      <c r="F287" s="195"/>
      <c r="G287" s="195"/>
      <c r="H287" s="195"/>
      <c r="I287" s="195"/>
      <c r="J287" s="195"/>
      <c r="K287" s="195"/>
      <c r="L287" s="195"/>
      <c r="M287" s="195"/>
      <c r="N287" s="195"/>
      <c r="O287" s="195"/>
    </row>
    <row r="288" spans="3:15">
      <c r="C288" s="195"/>
      <c r="D288" s="195"/>
      <c r="E288" s="195"/>
      <c r="F288" s="195"/>
      <c r="G288" s="195"/>
      <c r="H288" s="195"/>
      <c r="I288" s="195"/>
      <c r="J288" s="195"/>
      <c r="K288" s="195"/>
      <c r="L288" s="195"/>
      <c r="M288" s="195"/>
      <c r="N288" s="195"/>
      <c r="O288" s="195"/>
    </row>
    <row r="289" spans="3:15">
      <c r="C289" s="195"/>
      <c r="D289" s="195"/>
      <c r="E289" s="195"/>
      <c r="F289" s="195"/>
      <c r="G289" s="195"/>
      <c r="H289" s="195"/>
      <c r="I289" s="195"/>
      <c r="J289" s="195"/>
      <c r="K289" s="195"/>
      <c r="L289" s="195"/>
      <c r="M289" s="195"/>
      <c r="N289" s="195"/>
      <c r="O289" s="195"/>
    </row>
    <row r="290" spans="3:15">
      <c r="C290" s="195"/>
      <c r="D290" s="195"/>
      <c r="E290" s="195"/>
      <c r="F290" s="195"/>
      <c r="G290" s="195"/>
      <c r="H290" s="195"/>
      <c r="I290" s="195"/>
      <c r="J290" s="195"/>
      <c r="K290" s="195"/>
      <c r="L290" s="195"/>
      <c r="M290" s="195"/>
      <c r="N290" s="195"/>
      <c r="O290" s="195"/>
    </row>
    <row r="291" spans="3:15">
      <c r="C291" s="195"/>
      <c r="D291" s="195"/>
      <c r="E291" s="195"/>
      <c r="F291" s="195"/>
      <c r="G291" s="195"/>
      <c r="H291" s="195"/>
      <c r="I291" s="195"/>
      <c r="J291" s="195"/>
    </row>
    <row r="292" spans="3:15">
      <c r="C292" s="195"/>
      <c r="D292" s="195"/>
      <c r="E292" s="195"/>
      <c r="F292" s="195"/>
      <c r="G292" s="195"/>
      <c r="H292" s="195"/>
      <c r="I292" s="195"/>
      <c r="J292" s="195"/>
    </row>
    <row r="293" spans="3:15">
      <c r="C293" s="195"/>
      <c r="D293" s="195"/>
      <c r="E293" s="195"/>
      <c r="F293" s="195"/>
      <c r="G293" s="195"/>
      <c r="H293" s="195"/>
      <c r="I293" s="195"/>
      <c r="J293" s="195"/>
    </row>
    <row r="294" spans="3:15">
      <c r="C294" s="195"/>
      <c r="D294" s="195"/>
      <c r="E294" s="195"/>
      <c r="F294" s="195"/>
      <c r="G294" s="195"/>
      <c r="H294" s="195"/>
      <c r="I294" s="195"/>
      <c r="J294" s="195"/>
    </row>
    <row r="295" spans="3:15">
      <c r="C295" s="195"/>
      <c r="D295" s="195"/>
      <c r="E295" s="195"/>
      <c r="F295" s="195"/>
      <c r="G295" s="195"/>
      <c r="H295" s="195"/>
      <c r="I295" s="195"/>
      <c r="J295" s="195"/>
    </row>
    <row r="296" spans="3:15">
      <c r="C296" s="195"/>
      <c r="D296" s="195"/>
      <c r="E296" s="195"/>
      <c r="F296" s="195"/>
      <c r="G296" s="195"/>
      <c r="H296" s="195"/>
      <c r="I296" s="195"/>
      <c r="J296" s="195"/>
    </row>
    <row r="297" spans="3:15">
      <c r="C297" s="195"/>
      <c r="D297" s="195"/>
      <c r="E297" s="195"/>
      <c r="F297" s="195"/>
      <c r="G297" s="195"/>
      <c r="H297" s="195"/>
      <c r="I297" s="195"/>
      <c r="J297" s="195"/>
    </row>
    <row r="298" spans="3:15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6" orientation="landscape" horizontalDpi="300" verticalDpi="300" r:id="rId1"/>
  <headerFooter alignWithMargins="0"/>
  <rowBreaks count="1" manualBreakCount="1">
    <brk id="48" min="10" max="2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50"/>
    <pageSetUpPr fitToPage="1"/>
  </sheetPr>
  <dimension ref="A1:G136"/>
  <sheetViews>
    <sheetView workbookViewId="0">
      <selection sqref="A1:G67"/>
    </sheetView>
  </sheetViews>
  <sheetFormatPr defaultColWidth="8.77734375" defaultRowHeight="12.75"/>
  <cols>
    <col min="1" max="1" width="8.77734375" style="521"/>
    <col min="2" max="2" width="0.88671875" style="521" customWidth="1"/>
    <col min="3" max="3" width="8.77734375" style="521"/>
    <col min="4" max="4" width="1.5546875" style="521" customWidth="1"/>
    <col min="5" max="5" width="46.109375" style="521" customWidth="1"/>
    <col min="6" max="6" width="6" style="521" customWidth="1"/>
    <col min="7" max="7" width="9.6640625" style="531" customWidth="1"/>
    <col min="8" max="16384" width="8.77734375" style="521"/>
  </cols>
  <sheetData>
    <row r="1" spans="1:7">
      <c r="A1" s="519" t="s">
        <v>570</v>
      </c>
      <c r="B1" s="519"/>
      <c r="C1" s="519"/>
      <c r="D1" s="519"/>
      <c r="E1" s="519"/>
      <c r="F1" s="519"/>
      <c r="G1" s="520"/>
    </row>
    <row r="2" spans="1:7">
      <c r="A2" s="519" t="s">
        <v>571</v>
      </c>
      <c r="B2" s="519"/>
      <c r="C2" s="519"/>
      <c r="D2" s="519"/>
      <c r="E2" s="519"/>
      <c r="F2" s="519"/>
      <c r="G2" s="520"/>
    </row>
    <row r="5" spans="1:7">
      <c r="A5" s="522" t="s">
        <v>572</v>
      </c>
      <c r="B5" s="522"/>
      <c r="C5" s="522" t="s">
        <v>573</v>
      </c>
      <c r="D5" s="522"/>
      <c r="E5" s="522"/>
      <c r="F5" s="522"/>
      <c r="G5" s="523" t="s">
        <v>314</v>
      </c>
    </row>
    <row r="6" spans="1:7">
      <c r="A6" s="522" t="s">
        <v>574</v>
      </c>
      <c r="B6" s="522"/>
      <c r="C6" s="522" t="s">
        <v>574</v>
      </c>
      <c r="D6" s="522"/>
      <c r="E6" s="522"/>
      <c r="F6" s="522"/>
      <c r="G6" s="523" t="s">
        <v>575</v>
      </c>
    </row>
    <row r="7" spans="1:7">
      <c r="A7" s="524" t="s">
        <v>576</v>
      </c>
      <c r="B7" s="524"/>
      <c r="C7" s="524" t="s">
        <v>576</v>
      </c>
      <c r="D7" s="524"/>
      <c r="E7" s="524" t="s">
        <v>577</v>
      </c>
      <c r="F7" s="524"/>
      <c r="G7" s="525" t="s">
        <v>578</v>
      </c>
    </row>
    <row r="8" spans="1:7">
      <c r="A8" s="526" t="s">
        <v>520</v>
      </c>
      <c r="B8" s="522"/>
      <c r="C8" s="526" t="s">
        <v>521</v>
      </c>
      <c r="D8" s="522"/>
      <c r="E8" s="522" t="s">
        <v>522</v>
      </c>
      <c r="F8" s="522"/>
      <c r="G8" s="527" t="s">
        <v>579</v>
      </c>
    </row>
    <row r="9" spans="1:7">
      <c r="A9" s="526"/>
      <c r="B9" s="522"/>
      <c r="C9" s="526"/>
      <c r="D9" s="522"/>
      <c r="E9" s="522"/>
      <c r="F9" s="522"/>
      <c r="G9" s="523" t="s">
        <v>102</v>
      </c>
    </row>
    <row r="10" spans="1:7">
      <c r="A10" s="528" t="s">
        <v>580</v>
      </c>
      <c r="B10" s="528"/>
      <c r="C10" s="519"/>
      <c r="D10" s="519"/>
      <c r="E10" s="519"/>
      <c r="F10" s="519"/>
      <c r="G10" s="520"/>
    </row>
    <row r="11" spans="1:7">
      <c r="G11" s="529"/>
    </row>
    <row r="12" spans="1:7">
      <c r="A12" s="522">
        <v>350</v>
      </c>
      <c r="B12" s="522"/>
      <c r="C12" s="522">
        <v>3403</v>
      </c>
      <c r="E12" s="521" t="s">
        <v>581</v>
      </c>
      <c r="G12" s="529">
        <v>1.54</v>
      </c>
    </row>
    <row r="13" spans="1:7">
      <c r="A13" s="522">
        <v>352</v>
      </c>
      <c r="B13" s="522"/>
      <c r="C13" s="522">
        <v>3420</v>
      </c>
      <c r="E13" s="521" t="s">
        <v>582</v>
      </c>
      <c r="G13" s="529">
        <v>1.9</v>
      </c>
    </row>
    <row r="14" spans="1:7">
      <c r="A14" s="522">
        <v>352</v>
      </c>
      <c r="B14" s="522"/>
      <c r="C14" s="522">
        <v>3424</v>
      </c>
      <c r="E14" s="521" t="s">
        <v>583</v>
      </c>
      <c r="G14" s="529">
        <v>1.9</v>
      </c>
    </row>
    <row r="15" spans="1:7">
      <c r="A15" s="522">
        <v>353</v>
      </c>
      <c r="B15" s="522"/>
      <c r="C15" s="522">
        <v>3430</v>
      </c>
      <c r="E15" s="521" t="s">
        <v>584</v>
      </c>
      <c r="G15" s="529">
        <v>1.44</v>
      </c>
    </row>
    <row r="16" spans="1:7">
      <c r="A16" s="522">
        <v>353</v>
      </c>
      <c r="B16" s="522"/>
      <c r="C16" s="522">
        <v>3434</v>
      </c>
      <c r="E16" s="521" t="s">
        <v>585</v>
      </c>
      <c r="G16" s="529">
        <v>1.44</v>
      </c>
    </row>
    <row r="17" spans="1:7">
      <c r="A17" s="522">
        <v>354</v>
      </c>
      <c r="B17" s="522"/>
      <c r="C17" s="522">
        <v>3440</v>
      </c>
      <c r="E17" s="521" t="s">
        <v>586</v>
      </c>
      <c r="G17" s="529">
        <v>1.85</v>
      </c>
    </row>
    <row r="18" spans="1:7">
      <c r="A18" s="522">
        <v>354</v>
      </c>
      <c r="B18" s="522"/>
      <c r="C18" s="522">
        <v>3444</v>
      </c>
      <c r="E18" s="521" t="s">
        <v>587</v>
      </c>
      <c r="G18" s="529">
        <v>1.85</v>
      </c>
    </row>
    <row r="19" spans="1:7">
      <c r="A19" s="522">
        <v>355</v>
      </c>
      <c r="B19" s="522"/>
      <c r="C19" s="522">
        <v>3450</v>
      </c>
      <c r="E19" s="521" t="s">
        <v>588</v>
      </c>
      <c r="G19" s="529">
        <v>2.31</v>
      </c>
    </row>
    <row r="20" spans="1:7">
      <c r="A20" s="522">
        <v>355</v>
      </c>
      <c r="B20" s="522"/>
      <c r="C20" s="522">
        <v>3454</v>
      </c>
      <c r="E20" s="521" t="s">
        <v>589</v>
      </c>
      <c r="G20" s="529">
        <v>2.31</v>
      </c>
    </row>
    <row r="21" spans="1:7">
      <c r="A21" s="522">
        <v>356</v>
      </c>
      <c r="B21" s="522"/>
      <c r="C21" s="522">
        <v>3460</v>
      </c>
      <c r="E21" s="521" t="s">
        <v>590</v>
      </c>
      <c r="G21" s="529">
        <v>1.91</v>
      </c>
    </row>
    <row r="22" spans="1:7">
      <c r="A22" s="522">
        <v>356</v>
      </c>
      <c r="B22" s="522"/>
      <c r="C22" s="522">
        <v>3464</v>
      </c>
      <c r="E22" s="521" t="s">
        <v>591</v>
      </c>
      <c r="G22" s="529">
        <v>1.91</v>
      </c>
    </row>
    <row r="23" spans="1:7">
      <c r="A23" s="522">
        <v>357</v>
      </c>
      <c r="B23" s="522"/>
      <c r="C23" s="522">
        <v>3470</v>
      </c>
      <c r="E23" s="521" t="s">
        <v>592</v>
      </c>
      <c r="G23" s="529">
        <v>1.43</v>
      </c>
    </row>
    <row r="24" spans="1:7">
      <c r="A24" s="522">
        <v>358</v>
      </c>
      <c r="B24" s="522"/>
      <c r="C24" s="522">
        <v>3480</v>
      </c>
      <c r="E24" s="521" t="s">
        <v>593</v>
      </c>
      <c r="G24" s="529">
        <v>2.37</v>
      </c>
    </row>
    <row r="25" spans="1:7">
      <c r="A25" s="522"/>
      <c r="B25" s="522"/>
      <c r="C25" s="522"/>
      <c r="G25" s="529"/>
    </row>
    <row r="26" spans="1:7">
      <c r="A26" s="528" t="s">
        <v>594</v>
      </c>
      <c r="B26" s="519"/>
      <c r="C26" s="519"/>
      <c r="D26" s="519"/>
      <c r="E26" s="519"/>
      <c r="F26" s="519"/>
      <c r="G26" s="530"/>
    </row>
    <row r="27" spans="1:7">
      <c r="A27" s="522"/>
      <c r="B27" s="522"/>
      <c r="C27" s="522"/>
      <c r="G27" s="529"/>
    </row>
    <row r="28" spans="1:7">
      <c r="A28" s="522">
        <v>352</v>
      </c>
      <c r="B28" s="522"/>
      <c r="C28" s="522">
        <v>3421</v>
      </c>
      <c r="E28" s="521" t="s">
        <v>595</v>
      </c>
      <c r="G28" s="529">
        <v>2.5</v>
      </c>
    </row>
    <row r="29" spans="1:7">
      <c r="A29" s="522">
        <v>352</v>
      </c>
      <c r="B29" s="522"/>
      <c r="C29" s="522">
        <v>3425</v>
      </c>
      <c r="E29" s="521" t="s">
        <v>595</v>
      </c>
      <c r="G29" s="529">
        <v>2.5</v>
      </c>
    </row>
    <row r="30" spans="1:7">
      <c r="A30" s="522">
        <v>353</v>
      </c>
      <c r="B30" s="522"/>
      <c r="C30" s="522">
        <v>3431</v>
      </c>
      <c r="E30" s="521" t="s">
        <v>596</v>
      </c>
      <c r="G30" s="529">
        <v>1.44</v>
      </c>
    </row>
    <row r="31" spans="1:7">
      <c r="A31" s="522">
        <v>353</v>
      </c>
      <c r="B31" s="522"/>
      <c r="C31" s="522">
        <v>3432</v>
      </c>
      <c r="E31" s="521" t="s">
        <v>596</v>
      </c>
      <c r="G31" s="529">
        <v>1.44</v>
      </c>
    </row>
    <row r="32" spans="1:7">
      <c r="A32" s="522">
        <v>353</v>
      </c>
      <c r="B32" s="522"/>
      <c r="C32" s="522">
        <v>3435</v>
      </c>
      <c r="E32" s="521" t="s">
        <v>596</v>
      </c>
      <c r="G32" s="529">
        <v>1.44</v>
      </c>
    </row>
    <row r="33" spans="1:7">
      <c r="A33" s="522">
        <v>353</v>
      </c>
      <c r="B33" s="522"/>
      <c r="C33" s="522">
        <v>3437</v>
      </c>
      <c r="E33" s="521" t="s">
        <v>596</v>
      </c>
      <c r="G33" s="529">
        <v>1.44</v>
      </c>
    </row>
    <row r="34" spans="1:7">
      <c r="A34" s="522">
        <v>354</v>
      </c>
      <c r="B34" s="522"/>
      <c r="C34" s="522">
        <v>3441</v>
      </c>
      <c r="E34" s="521" t="s">
        <v>597</v>
      </c>
      <c r="G34" s="529">
        <v>3</v>
      </c>
    </row>
    <row r="35" spans="1:7">
      <c r="A35" s="522">
        <v>354</v>
      </c>
      <c r="B35" s="522"/>
      <c r="C35" s="522">
        <v>3442</v>
      </c>
      <c r="E35" s="521" t="s">
        <v>597</v>
      </c>
      <c r="G35" s="529">
        <v>3</v>
      </c>
    </row>
    <row r="36" spans="1:7">
      <c r="A36" s="522">
        <v>354</v>
      </c>
      <c r="B36" s="522"/>
      <c r="C36" s="522">
        <v>3445</v>
      </c>
      <c r="E36" s="521" t="s">
        <v>597</v>
      </c>
      <c r="G36" s="529">
        <v>3</v>
      </c>
    </row>
    <row r="37" spans="1:7">
      <c r="A37" s="522">
        <v>354</v>
      </c>
      <c r="B37" s="522"/>
      <c r="C37" s="522">
        <v>3446</v>
      </c>
      <c r="E37" s="521" t="s">
        <v>598</v>
      </c>
      <c r="G37" s="529">
        <v>3</v>
      </c>
    </row>
    <row r="38" spans="1:7">
      <c r="A38" s="522">
        <v>354</v>
      </c>
      <c r="B38" s="522"/>
      <c r="C38" s="522">
        <v>3448</v>
      </c>
      <c r="E38" s="521" t="s">
        <v>597</v>
      </c>
      <c r="G38" s="529">
        <v>3</v>
      </c>
    </row>
    <row r="39" spans="1:7">
      <c r="A39" s="522">
        <v>355</v>
      </c>
      <c r="B39" s="522"/>
      <c r="C39" s="522">
        <v>3451</v>
      </c>
      <c r="E39" s="521" t="s">
        <v>599</v>
      </c>
      <c r="G39" s="529">
        <v>3</v>
      </c>
    </row>
    <row r="40" spans="1:7">
      <c r="A40" s="522">
        <v>355</v>
      </c>
      <c r="B40" s="522"/>
      <c r="C40" s="522">
        <v>3455</v>
      </c>
      <c r="E40" s="521" t="s">
        <v>599</v>
      </c>
      <c r="G40" s="529">
        <v>3</v>
      </c>
    </row>
    <row r="41" spans="1:7">
      <c r="A41" s="522">
        <v>356</v>
      </c>
      <c r="B41" s="522"/>
      <c r="C41" s="522">
        <v>3461</v>
      </c>
      <c r="E41" s="521" t="s">
        <v>600</v>
      </c>
      <c r="G41" s="529">
        <v>2.5</v>
      </c>
    </row>
    <row r="42" spans="1:7">
      <c r="A42" s="522">
        <v>356</v>
      </c>
      <c r="B42" s="522"/>
      <c r="C42" s="522">
        <v>3462</v>
      </c>
      <c r="E42" s="521" t="s">
        <v>600</v>
      </c>
      <c r="G42" s="529">
        <v>2.5</v>
      </c>
    </row>
    <row r="43" spans="1:7">
      <c r="A43" s="522">
        <v>356</v>
      </c>
      <c r="B43" s="522"/>
      <c r="C43" s="522">
        <v>3465</v>
      </c>
      <c r="E43" s="521" t="s">
        <v>600</v>
      </c>
      <c r="G43" s="529">
        <v>2.5</v>
      </c>
    </row>
    <row r="44" spans="1:7">
      <c r="A44" s="522">
        <v>356</v>
      </c>
      <c r="B44" s="522"/>
      <c r="C44" s="522">
        <v>3466</v>
      </c>
      <c r="E44" s="521" t="s">
        <v>601</v>
      </c>
      <c r="G44" s="529">
        <v>2.5</v>
      </c>
    </row>
    <row r="45" spans="1:7">
      <c r="A45" s="522"/>
      <c r="B45" s="522"/>
      <c r="C45" s="522"/>
      <c r="G45" s="529"/>
    </row>
    <row r="46" spans="1:7">
      <c r="A46" s="528" t="s">
        <v>602</v>
      </c>
      <c r="B46" s="519"/>
      <c r="C46" s="519"/>
      <c r="D46" s="519"/>
      <c r="E46" s="519"/>
      <c r="F46" s="519"/>
      <c r="G46" s="530"/>
    </row>
    <row r="47" spans="1:7">
      <c r="A47" s="522"/>
      <c r="B47" s="522"/>
      <c r="C47" s="522"/>
      <c r="G47" s="529"/>
    </row>
    <row r="48" spans="1:7">
      <c r="A48" s="522">
        <v>352</v>
      </c>
      <c r="B48" s="522"/>
      <c r="C48" s="522">
        <v>3423</v>
      </c>
      <c r="E48" s="521" t="s">
        <v>603</v>
      </c>
      <c r="G48" s="529">
        <v>2.5</v>
      </c>
    </row>
    <row r="49" spans="1:7">
      <c r="A49" s="522">
        <v>353</v>
      </c>
      <c r="B49" s="522"/>
      <c r="C49" s="522">
        <v>3433</v>
      </c>
      <c r="E49" s="521" t="s">
        <v>604</v>
      </c>
      <c r="G49" s="529">
        <v>1.44</v>
      </c>
    </row>
    <row r="50" spans="1:7">
      <c r="A50" s="522">
        <v>353</v>
      </c>
      <c r="B50" s="522"/>
      <c r="C50" s="522">
        <v>3438</v>
      </c>
      <c r="E50" s="521" t="s">
        <v>604</v>
      </c>
      <c r="G50" s="529">
        <v>1.44</v>
      </c>
    </row>
    <row r="51" spans="1:7">
      <c r="A51" s="522">
        <v>354</v>
      </c>
      <c r="B51" s="522"/>
      <c r="C51" s="522">
        <v>3447</v>
      </c>
      <c r="E51" s="521" t="s">
        <v>605</v>
      </c>
      <c r="G51" s="529">
        <v>3</v>
      </c>
    </row>
    <row r="52" spans="1:7">
      <c r="A52" s="522">
        <v>356</v>
      </c>
      <c r="B52" s="522"/>
      <c r="C52" s="522">
        <v>3467</v>
      </c>
      <c r="E52" s="521" t="s">
        <v>606</v>
      </c>
      <c r="G52" s="529">
        <v>2.5</v>
      </c>
    </row>
    <row r="53" spans="1:7">
      <c r="A53" s="522"/>
      <c r="B53" s="522"/>
      <c r="C53" s="522"/>
    </row>
    <row r="54" spans="1:7">
      <c r="A54" s="528" t="s">
        <v>671</v>
      </c>
      <c r="B54" s="519"/>
      <c r="C54" s="519"/>
      <c r="D54" s="519"/>
      <c r="E54" s="519"/>
      <c r="F54" s="519"/>
      <c r="G54" s="520"/>
    </row>
    <row r="55" spans="1:7">
      <c r="A55" s="522"/>
      <c r="B55" s="522"/>
      <c r="C55" s="522"/>
    </row>
    <row r="56" spans="1:7">
      <c r="A56" s="532">
        <v>303</v>
      </c>
      <c r="B56" s="533">
        <v>3030</v>
      </c>
      <c r="C56" s="522">
        <v>3030</v>
      </c>
      <c r="E56" s="521" t="s">
        <v>608</v>
      </c>
      <c r="G56" s="529">
        <v>20</v>
      </c>
    </row>
    <row r="57" spans="1:7">
      <c r="A57" s="532">
        <v>389</v>
      </c>
      <c r="B57" s="534">
        <v>3890</v>
      </c>
      <c r="C57" s="522">
        <v>3890</v>
      </c>
      <c r="E57" s="521" t="s">
        <v>609</v>
      </c>
      <c r="G57" s="523" t="s">
        <v>610</v>
      </c>
    </row>
    <row r="58" spans="1:7">
      <c r="A58" s="532">
        <v>390</v>
      </c>
      <c r="B58" s="534">
        <v>3900</v>
      </c>
      <c r="C58" s="522">
        <v>3900</v>
      </c>
      <c r="E58" s="521" t="s">
        <v>611</v>
      </c>
      <c r="G58" s="529">
        <v>2.5</v>
      </c>
    </row>
    <row r="59" spans="1:7">
      <c r="A59" s="532">
        <v>391</v>
      </c>
      <c r="B59" s="534">
        <v>3910</v>
      </c>
      <c r="C59" s="522">
        <v>3910</v>
      </c>
      <c r="E59" s="521" t="s">
        <v>612</v>
      </c>
      <c r="G59" s="529">
        <v>5</v>
      </c>
    </row>
    <row r="60" spans="1:7">
      <c r="A60" s="532">
        <v>391</v>
      </c>
      <c r="B60" s="534">
        <v>3911</v>
      </c>
      <c r="C60" s="522">
        <v>3911</v>
      </c>
      <c r="E60" s="521" t="s">
        <v>613</v>
      </c>
      <c r="G60" s="529">
        <v>20</v>
      </c>
    </row>
    <row r="61" spans="1:7">
      <c r="A61" s="532">
        <v>391</v>
      </c>
      <c r="B61" s="534">
        <v>3920</v>
      </c>
      <c r="C61" s="522">
        <v>3920</v>
      </c>
      <c r="E61" s="521" t="s">
        <v>614</v>
      </c>
      <c r="G61" s="529">
        <v>8.33</v>
      </c>
    </row>
    <row r="62" spans="1:7">
      <c r="A62" s="532">
        <v>391</v>
      </c>
      <c r="B62" s="534">
        <v>3921</v>
      </c>
      <c r="C62" s="522">
        <v>3921</v>
      </c>
      <c r="E62" s="521" t="s">
        <v>615</v>
      </c>
      <c r="G62" s="529">
        <v>4.25</v>
      </c>
    </row>
    <row r="63" spans="1:7">
      <c r="A63" s="532">
        <v>392</v>
      </c>
      <c r="B63" s="534">
        <v>3940</v>
      </c>
      <c r="C63" s="522">
        <v>3940</v>
      </c>
      <c r="E63" s="521" t="s">
        <v>616</v>
      </c>
      <c r="G63" s="529">
        <v>4</v>
      </c>
    </row>
    <row r="64" spans="1:7">
      <c r="A64" s="532">
        <v>392</v>
      </c>
      <c r="B64" s="534">
        <v>3950</v>
      </c>
      <c r="C64" s="522">
        <v>3950</v>
      </c>
      <c r="E64" s="521" t="s">
        <v>617</v>
      </c>
      <c r="G64" s="529">
        <v>6.67</v>
      </c>
    </row>
    <row r="65" spans="1:7">
      <c r="A65" s="532">
        <v>393</v>
      </c>
      <c r="B65" s="534">
        <v>3960</v>
      </c>
      <c r="C65" s="522">
        <v>3960</v>
      </c>
      <c r="E65" s="521" t="s">
        <v>618</v>
      </c>
      <c r="G65" s="529">
        <v>5.88</v>
      </c>
    </row>
    <row r="66" spans="1:7">
      <c r="A66" s="532">
        <v>393</v>
      </c>
      <c r="B66" s="534">
        <v>3970</v>
      </c>
      <c r="C66" s="522">
        <v>3970</v>
      </c>
      <c r="E66" s="521" t="s">
        <v>619</v>
      </c>
      <c r="G66" s="529">
        <v>6.67</v>
      </c>
    </row>
    <row r="67" spans="1:7">
      <c r="A67" s="532">
        <v>394</v>
      </c>
      <c r="B67" s="534">
        <v>3980</v>
      </c>
      <c r="C67" s="522">
        <v>3980</v>
      </c>
      <c r="E67" s="521" t="s">
        <v>620</v>
      </c>
      <c r="G67" s="529">
        <v>5</v>
      </c>
    </row>
    <row r="68" spans="1:7">
      <c r="A68" s="522"/>
      <c r="B68" s="522"/>
      <c r="C68" s="522"/>
      <c r="G68" s="529"/>
    </row>
    <row r="69" spans="1:7">
      <c r="B69" s="522"/>
      <c r="C69" s="522"/>
    </row>
    <row r="70" spans="1:7">
      <c r="A70" s="535"/>
      <c r="B70" s="522"/>
      <c r="C70" s="522"/>
    </row>
    <row r="71" spans="1:7">
      <c r="A71" s="522"/>
      <c r="B71" s="522"/>
      <c r="C71" s="522"/>
    </row>
    <row r="72" spans="1:7">
      <c r="A72" s="522"/>
      <c r="B72" s="522"/>
      <c r="C72" s="522"/>
    </row>
    <row r="73" spans="1:7">
      <c r="A73" s="522"/>
      <c r="B73" s="522"/>
      <c r="C73" s="522"/>
    </row>
    <row r="74" spans="1:7">
      <c r="A74" s="522"/>
      <c r="B74" s="522"/>
      <c r="C74" s="522"/>
    </row>
    <row r="75" spans="1:7">
      <c r="A75" s="522"/>
      <c r="B75" s="522"/>
      <c r="C75" s="522"/>
    </row>
    <row r="76" spans="1:7">
      <c r="A76" s="522"/>
      <c r="B76" s="522"/>
      <c r="C76" s="522"/>
    </row>
    <row r="77" spans="1:7">
      <c r="A77" s="522"/>
      <c r="B77" s="522"/>
      <c r="C77" s="522"/>
    </row>
    <row r="78" spans="1:7">
      <c r="A78" s="522"/>
      <c r="B78" s="522"/>
      <c r="C78" s="522"/>
    </row>
    <row r="79" spans="1:7">
      <c r="A79" s="522"/>
      <c r="B79" s="522"/>
      <c r="C79" s="522"/>
    </row>
    <row r="80" spans="1:7">
      <c r="A80" s="522"/>
      <c r="B80" s="522"/>
      <c r="C80" s="522"/>
    </row>
    <row r="81" spans="1:3">
      <c r="A81" s="522"/>
      <c r="B81" s="522"/>
      <c r="C81" s="522"/>
    </row>
    <row r="82" spans="1:3">
      <c r="A82" s="522"/>
      <c r="B82" s="522"/>
      <c r="C82" s="522"/>
    </row>
    <row r="83" spans="1:3">
      <c r="A83" s="522"/>
      <c r="B83" s="522"/>
      <c r="C83" s="522"/>
    </row>
    <row r="84" spans="1:3">
      <c r="A84" s="522"/>
      <c r="B84" s="522"/>
      <c r="C84" s="522"/>
    </row>
    <row r="85" spans="1:3">
      <c r="A85" s="522"/>
      <c r="B85" s="522"/>
      <c r="C85" s="522"/>
    </row>
    <row r="86" spans="1:3">
      <c r="A86" s="522"/>
      <c r="B86" s="522"/>
      <c r="C86" s="522"/>
    </row>
    <row r="87" spans="1:3">
      <c r="A87" s="522"/>
      <c r="B87" s="522"/>
      <c r="C87" s="522"/>
    </row>
    <row r="88" spans="1:3">
      <c r="A88" s="522"/>
      <c r="B88" s="522"/>
      <c r="C88" s="522"/>
    </row>
    <row r="89" spans="1:3">
      <c r="A89" s="522"/>
      <c r="B89" s="522"/>
      <c r="C89" s="522"/>
    </row>
    <row r="90" spans="1:3">
      <c r="A90" s="522"/>
      <c r="B90" s="522"/>
      <c r="C90" s="522"/>
    </row>
    <row r="91" spans="1:3">
      <c r="A91" s="522"/>
      <c r="B91" s="522"/>
      <c r="C91" s="522"/>
    </row>
    <row r="92" spans="1:3">
      <c r="A92" s="522"/>
      <c r="B92" s="522"/>
      <c r="C92" s="522"/>
    </row>
    <row r="93" spans="1:3">
      <c r="A93" s="522"/>
      <c r="B93" s="522"/>
      <c r="C93" s="522"/>
    </row>
    <row r="94" spans="1:3">
      <c r="A94" s="522"/>
      <c r="B94" s="522"/>
      <c r="C94" s="522"/>
    </row>
    <row r="95" spans="1:3">
      <c r="A95" s="522"/>
      <c r="B95" s="522"/>
      <c r="C95" s="522"/>
    </row>
    <row r="96" spans="1:3">
      <c r="A96" s="522"/>
      <c r="B96" s="522"/>
      <c r="C96" s="522"/>
    </row>
    <row r="97" spans="1:3">
      <c r="A97" s="522"/>
      <c r="B97" s="522"/>
      <c r="C97" s="522"/>
    </row>
    <row r="98" spans="1:3">
      <c r="A98" s="522"/>
      <c r="B98" s="522"/>
      <c r="C98" s="522"/>
    </row>
    <row r="99" spans="1:3">
      <c r="A99" s="522"/>
      <c r="B99" s="522"/>
      <c r="C99" s="522"/>
    </row>
    <row r="100" spans="1:3">
      <c r="A100" s="522"/>
      <c r="B100" s="522"/>
      <c r="C100" s="522"/>
    </row>
    <row r="101" spans="1:3">
      <c r="A101" s="522"/>
      <c r="B101" s="522"/>
      <c r="C101" s="522"/>
    </row>
    <row r="102" spans="1:3">
      <c r="A102" s="522"/>
      <c r="B102" s="522"/>
      <c r="C102" s="522"/>
    </row>
    <row r="103" spans="1:3">
      <c r="A103" s="522"/>
      <c r="B103" s="522"/>
      <c r="C103" s="522"/>
    </row>
    <row r="104" spans="1:3">
      <c r="A104" s="522"/>
      <c r="B104" s="522"/>
      <c r="C104" s="522"/>
    </row>
    <row r="105" spans="1:3">
      <c r="A105" s="522"/>
      <c r="B105" s="522"/>
      <c r="C105" s="522"/>
    </row>
    <row r="106" spans="1:3">
      <c r="A106" s="522"/>
      <c r="B106" s="522"/>
      <c r="C106" s="522"/>
    </row>
    <row r="107" spans="1:3">
      <c r="A107" s="522"/>
      <c r="B107" s="522"/>
      <c r="C107" s="522"/>
    </row>
    <row r="108" spans="1:3">
      <c r="A108" s="522"/>
      <c r="B108" s="522"/>
      <c r="C108" s="522"/>
    </row>
    <row r="109" spans="1:3">
      <c r="A109" s="522"/>
      <c r="B109" s="522"/>
      <c r="C109" s="522"/>
    </row>
    <row r="110" spans="1:3">
      <c r="A110" s="522"/>
      <c r="B110" s="522"/>
      <c r="C110" s="522"/>
    </row>
    <row r="111" spans="1:3">
      <c r="A111" s="522"/>
      <c r="B111" s="522"/>
      <c r="C111" s="522"/>
    </row>
    <row r="112" spans="1:3">
      <c r="A112" s="522"/>
      <c r="B112" s="522"/>
      <c r="C112" s="522"/>
    </row>
    <row r="113" spans="1:3">
      <c r="A113" s="522"/>
      <c r="B113" s="522"/>
      <c r="C113" s="522"/>
    </row>
    <row r="114" spans="1:3">
      <c r="A114" s="522"/>
      <c r="B114" s="522"/>
      <c r="C114" s="522"/>
    </row>
    <row r="115" spans="1:3">
      <c r="A115" s="522"/>
      <c r="B115" s="522"/>
      <c r="C115" s="522"/>
    </row>
    <row r="116" spans="1:3">
      <c r="A116" s="522"/>
      <c r="B116" s="522"/>
      <c r="C116" s="522"/>
    </row>
    <row r="117" spans="1:3">
      <c r="A117" s="522"/>
      <c r="B117" s="522"/>
      <c r="C117" s="522"/>
    </row>
    <row r="118" spans="1:3">
      <c r="A118" s="522"/>
      <c r="B118" s="522"/>
      <c r="C118" s="522"/>
    </row>
    <row r="119" spans="1:3">
      <c r="A119" s="522"/>
      <c r="B119" s="522"/>
      <c r="C119" s="522"/>
    </row>
    <row r="120" spans="1:3">
      <c r="A120" s="522"/>
      <c r="B120" s="522"/>
      <c r="C120" s="522"/>
    </row>
    <row r="121" spans="1:3">
      <c r="A121" s="522"/>
      <c r="B121" s="522"/>
      <c r="C121" s="522"/>
    </row>
    <row r="122" spans="1:3">
      <c r="A122" s="522"/>
      <c r="B122" s="522"/>
      <c r="C122" s="522"/>
    </row>
    <row r="123" spans="1:3">
      <c r="A123" s="522"/>
      <c r="B123" s="522"/>
      <c r="C123" s="522"/>
    </row>
    <row r="124" spans="1:3">
      <c r="A124" s="522"/>
      <c r="B124" s="522"/>
      <c r="C124" s="522"/>
    </row>
    <row r="125" spans="1:3">
      <c r="A125" s="522"/>
      <c r="B125" s="522"/>
      <c r="C125" s="522"/>
    </row>
    <row r="126" spans="1:3">
      <c r="A126" s="522"/>
      <c r="B126" s="522"/>
      <c r="C126" s="522"/>
    </row>
    <row r="127" spans="1:3">
      <c r="A127" s="522"/>
      <c r="B127" s="522"/>
      <c r="C127" s="522"/>
    </row>
    <row r="128" spans="1:3">
      <c r="A128" s="522"/>
      <c r="B128" s="522"/>
      <c r="C128" s="522"/>
    </row>
    <row r="129" spans="1:3">
      <c r="A129" s="522"/>
      <c r="B129" s="522"/>
      <c r="C129" s="522"/>
    </row>
    <row r="130" spans="1:3">
      <c r="A130" s="522"/>
      <c r="B130" s="522"/>
      <c r="C130" s="522"/>
    </row>
    <row r="131" spans="1:3">
      <c r="A131" s="522"/>
      <c r="B131" s="522"/>
      <c r="C131" s="522"/>
    </row>
    <row r="132" spans="1:3">
      <c r="A132" s="522"/>
      <c r="B132" s="522"/>
      <c r="C132" s="522"/>
    </row>
    <row r="133" spans="1:3">
      <c r="A133" s="522"/>
      <c r="B133" s="522"/>
      <c r="C133" s="522"/>
    </row>
    <row r="134" spans="1:3">
      <c r="A134" s="522"/>
      <c r="B134" s="522"/>
      <c r="C134" s="522"/>
    </row>
    <row r="135" spans="1:3">
      <c r="A135" s="522"/>
      <c r="B135" s="522"/>
      <c r="C135" s="522"/>
    </row>
    <row r="136" spans="1:3">
      <c r="A136" s="522"/>
      <c r="B136" s="522"/>
      <c r="C136" s="522"/>
    </row>
  </sheetData>
  <printOptions horizontalCentered="1"/>
  <pageMargins left="0.75" right="0.75" top="0.75" bottom="0.5" header="0.75" footer="0.3"/>
  <pageSetup scale="80" orientation="portrait" blackAndWhite="1" r:id="rId1"/>
  <headerFooter>
    <oddHeader>&amp;RAttachment H-22A
Appendix D
Page 1 of 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H97"/>
  <sheetViews>
    <sheetView workbookViewId="0">
      <selection sqref="A1:G30"/>
    </sheetView>
  </sheetViews>
  <sheetFormatPr defaultColWidth="8.77734375" defaultRowHeight="12.75"/>
  <cols>
    <col min="1" max="1" width="8.77734375" style="521"/>
    <col min="2" max="2" width="0.88671875" style="521" customWidth="1"/>
    <col min="3" max="3" width="8.77734375" style="521"/>
    <col min="4" max="4" width="1.5546875" style="521" customWidth="1"/>
    <col min="5" max="5" width="46.109375" style="521" customWidth="1"/>
    <col min="6" max="6" width="6" style="521" customWidth="1"/>
    <col min="7" max="7" width="9.6640625" style="531" customWidth="1"/>
    <col min="8" max="16384" width="8.77734375" style="521"/>
  </cols>
  <sheetData>
    <row r="1" spans="1:7">
      <c r="A1" s="519" t="s">
        <v>621</v>
      </c>
      <c r="B1" s="519"/>
      <c r="C1" s="519"/>
      <c r="D1" s="519"/>
      <c r="E1" s="519"/>
      <c r="F1" s="519"/>
      <c r="G1" s="520"/>
    </row>
    <row r="2" spans="1:7">
      <c r="A2" s="519" t="s">
        <v>571</v>
      </c>
      <c r="B2" s="519"/>
      <c r="C2" s="519"/>
      <c r="D2" s="519"/>
      <c r="E2" s="519"/>
      <c r="F2" s="519"/>
      <c r="G2" s="520"/>
    </row>
    <row r="5" spans="1:7">
      <c r="A5" s="522" t="s">
        <v>572</v>
      </c>
      <c r="B5" s="522"/>
      <c r="C5" s="522" t="s">
        <v>573</v>
      </c>
      <c r="D5" s="522"/>
      <c r="E5" s="522"/>
      <c r="F5" s="522"/>
      <c r="G5" s="523" t="s">
        <v>314</v>
      </c>
    </row>
    <row r="6" spans="1:7">
      <c r="A6" s="522" t="s">
        <v>574</v>
      </c>
      <c r="B6" s="522"/>
      <c r="C6" s="522" t="s">
        <v>574</v>
      </c>
      <c r="D6" s="522"/>
      <c r="E6" s="522"/>
      <c r="F6" s="522"/>
      <c r="G6" s="523" t="s">
        <v>575</v>
      </c>
    </row>
    <row r="7" spans="1:7">
      <c r="A7" s="524" t="s">
        <v>576</v>
      </c>
      <c r="B7" s="524"/>
      <c r="C7" s="524" t="s">
        <v>576</v>
      </c>
      <c r="D7" s="524"/>
      <c r="E7" s="524" t="s">
        <v>577</v>
      </c>
      <c r="F7" s="524"/>
      <c r="G7" s="525" t="s">
        <v>578</v>
      </c>
    </row>
    <row r="8" spans="1:7">
      <c r="A8" s="526" t="s">
        <v>520</v>
      </c>
      <c r="B8" s="522"/>
      <c r="C8" s="526" t="s">
        <v>521</v>
      </c>
      <c r="D8" s="522"/>
      <c r="E8" s="522" t="s">
        <v>522</v>
      </c>
      <c r="F8" s="522"/>
      <c r="G8" s="527" t="s">
        <v>579</v>
      </c>
    </row>
    <row r="9" spans="1:7">
      <c r="A9" s="526"/>
      <c r="B9" s="522"/>
      <c r="C9" s="526"/>
      <c r="D9" s="522"/>
      <c r="E9" s="522"/>
      <c r="F9" s="522"/>
      <c r="G9" s="523" t="s">
        <v>102</v>
      </c>
    </row>
    <row r="10" spans="1:7">
      <c r="A10" s="528" t="s">
        <v>230</v>
      </c>
      <c r="B10" s="528"/>
      <c r="C10" s="519"/>
      <c r="D10" s="519"/>
      <c r="E10" s="519"/>
      <c r="F10" s="519"/>
      <c r="G10" s="520"/>
    </row>
    <row r="11" spans="1:7">
      <c r="G11" s="529"/>
    </row>
    <row r="12" spans="1:7">
      <c r="A12" s="522">
        <v>350</v>
      </c>
      <c r="C12" s="522">
        <v>3501</v>
      </c>
      <c r="E12" s="521" t="s">
        <v>581</v>
      </c>
      <c r="G12" s="529">
        <v>1.48</v>
      </c>
    </row>
    <row r="13" spans="1:7">
      <c r="A13" s="522">
        <v>352</v>
      </c>
      <c r="C13" s="522">
        <v>3520</v>
      </c>
      <c r="E13" s="521" t="s">
        <v>622</v>
      </c>
      <c r="G13" s="529">
        <v>0.41</v>
      </c>
    </row>
    <row r="14" spans="1:7">
      <c r="A14" s="522">
        <v>353</v>
      </c>
      <c r="C14" s="522">
        <v>3530</v>
      </c>
      <c r="E14" s="521" t="s">
        <v>584</v>
      </c>
      <c r="G14" s="529">
        <v>2.25</v>
      </c>
    </row>
    <row r="15" spans="1:7">
      <c r="A15" s="522">
        <v>353</v>
      </c>
      <c r="C15" s="522">
        <v>3532</v>
      </c>
      <c r="E15" s="521" t="s">
        <v>623</v>
      </c>
      <c r="G15" s="529">
        <v>2.77</v>
      </c>
    </row>
    <row r="16" spans="1:7">
      <c r="A16" s="522">
        <v>353</v>
      </c>
      <c r="C16" s="522">
        <v>3535</v>
      </c>
      <c r="E16" s="521" t="s">
        <v>624</v>
      </c>
      <c r="G16" s="529">
        <v>9.5500000000000007</v>
      </c>
    </row>
    <row r="17" spans="1:8">
      <c r="A17" s="522">
        <v>355</v>
      </c>
      <c r="C17" s="522">
        <v>3550</v>
      </c>
      <c r="E17" s="521" t="s">
        <v>588</v>
      </c>
      <c r="G17" s="529">
        <v>2.2799999999999998</v>
      </c>
    </row>
    <row r="18" spans="1:8">
      <c r="A18" s="522">
        <v>356</v>
      </c>
      <c r="C18" s="522">
        <v>3560</v>
      </c>
      <c r="E18" s="521" t="s">
        <v>590</v>
      </c>
      <c r="G18" s="529">
        <v>2.31</v>
      </c>
    </row>
    <row r="19" spans="1:8">
      <c r="A19" s="522"/>
      <c r="B19" s="522"/>
      <c r="C19" s="522"/>
      <c r="G19" s="529"/>
    </row>
    <row r="20" spans="1:8">
      <c r="A20" s="522"/>
      <c r="B20" s="522"/>
      <c r="C20" s="522"/>
    </row>
    <row r="21" spans="1:8">
      <c r="A21" s="528" t="s">
        <v>607</v>
      </c>
      <c r="B21" s="519"/>
      <c r="C21" s="519"/>
      <c r="D21" s="519"/>
      <c r="E21" s="519"/>
      <c r="F21" s="519"/>
      <c r="G21" s="520"/>
    </row>
    <row r="22" spans="1:8">
      <c r="A22" s="522"/>
      <c r="B22" s="522"/>
      <c r="C22" s="522"/>
    </row>
    <row r="23" spans="1:8" ht="15">
      <c r="A23" s="522">
        <v>303</v>
      </c>
      <c r="B23" s="536"/>
      <c r="C23" s="522">
        <v>3030</v>
      </c>
      <c r="E23" s="521" t="s">
        <v>625</v>
      </c>
      <c r="G23" s="529">
        <v>20</v>
      </c>
      <c r="H23" s="537"/>
    </row>
    <row r="24" spans="1:8" ht="15">
      <c r="A24" s="522">
        <v>390</v>
      </c>
      <c r="B24" s="536"/>
      <c r="C24" s="522">
        <v>3900</v>
      </c>
      <c r="E24" s="521" t="s">
        <v>609</v>
      </c>
      <c r="G24" s="529">
        <v>1.77</v>
      </c>
    </row>
    <row r="25" spans="1:8" ht="15">
      <c r="A25" s="522">
        <v>391</v>
      </c>
      <c r="B25" s="536"/>
      <c r="C25" s="522">
        <v>3910</v>
      </c>
      <c r="E25" s="521" t="s">
        <v>611</v>
      </c>
      <c r="G25" s="529">
        <v>18.559999999999999</v>
      </c>
    </row>
    <row r="26" spans="1:8" ht="15">
      <c r="A26" s="522">
        <v>392</v>
      </c>
      <c r="B26" s="536"/>
      <c r="C26" s="522">
        <v>3921</v>
      </c>
      <c r="E26" s="521" t="s">
        <v>613</v>
      </c>
      <c r="G26" s="538">
        <v>6.53</v>
      </c>
    </row>
    <row r="27" spans="1:8" ht="15">
      <c r="A27" s="522">
        <v>394</v>
      </c>
      <c r="B27" s="536"/>
      <c r="C27" s="522">
        <v>3940</v>
      </c>
      <c r="E27" s="521" t="s">
        <v>614</v>
      </c>
      <c r="G27" s="529">
        <v>4.1399999999999997</v>
      </c>
    </row>
    <row r="28" spans="1:8" ht="15">
      <c r="A28" s="522">
        <v>397</v>
      </c>
      <c r="B28" s="536"/>
      <c r="C28" s="522">
        <v>3970</v>
      </c>
      <c r="E28" s="521" t="s">
        <v>626</v>
      </c>
      <c r="G28" s="529">
        <v>6.93</v>
      </c>
    </row>
    <row r="29" spans="1:8">
      <c r="A29" s="522"/>
      <c r="B29" s="522"/>
      <c r="C29" s="522"/>
      <c r="G29" s="529"/>
    </row>
    <row r="30" spans="1:8">
      <c r="B30" s="522"/>
      <c r="C30" s="522"/>
    </row>
    <row r="31" spans="1:8">
      <c r="A31" s="535"/>
      <c r="B31" s="522"/>
      <c r="C31" s="522"/>
    </row>
    <row r="32" spans="1:8">
      <c r="A32" s="522"/>
      <c r="B32" s="522"/>
      <c r="C32" s="522"/>
    </row>
    <row r="33" spans="1:3">
      <c r="A33" s="522"/>
      <c r="B33" s="522"/>
      <c r="C33" s="522"/>
    </row>
    <row r="34" spans="1:3">
      <c r="A34" s="522"/>
      <c r="B34" s="522"/>
      <c r="C34" s="522"/>
    </row>
    <row r="35" spans="1:3">
      <c r="A35" s="522"/>
      <c r="B35" s="522"/>
      <c r="C35" s="522"/>
    </row>
    <row r="36" spans="1:3">
      <c r="A36" s="522"/>
      <c r="B36" s="522"/>
      <c r="C36" s="522"/>
    </row>
    <row r="37" spans="1:3">
      <c r="A37" s="522"/>
      <c r="B37" s="522"/>
      <c r="C37" s="522"/>
    </row>
    <row r="38" spans="1:3">
      <c r="A38" s="522"/>
      <c r="B38" s="522"/>
      <c r="C38" s="522"/>
    </row>
    <row r="39" spans="1:3">
      <c r="A39" s="522"/>
      <c r="B39" s="522"/>
      <c r="C39" s="522"/>
    </row>
    <row r="40" spans="1:3">
      <c r="A40" s="522"/>
      <c r="B40" s="522"/>
      <c r="C40" s="522"/>
    </row>
    <row r="41" spans="1:3">
      <c r="A41" s="522"/>
      <c r="B41" s="522"/>
      <c r="C41" s="522"/>
    </row>
    <row r="42" spans="1:3">
      <c r="A42" s="522"/>
      <c r="B42" s="522"/>
      <c r="C42" s="522"/>
    </row>
    <row r="43" spans="1:3">
      <c r="A43" s="522"/>
      <c r="B43" s="522"/>
      <c r="C43" s="522"/>
    </row>
    <row r="44" spans="1:3">
      <c r="A44" s="522"/>
      <c r="B44" s="522"/>
      <c r="C44" s="522"/>
    </row>
    <row r="45" spans="1:3">
      <c r="A45" s="522"/>
      <c r="B45" s="522"/>
      <c r="C45" s="522"/>
    </row>
    <row r="46" spans="1:3">
      <c r="A46" s="522"/>
      <c r="B46" s="522"/>
      <c r="C46" s="522"/>
    </row>
    <row r="47" spans="1:3">
      <c r="A47" s="522"/>
      <c r="B47" s="522"/>
      <c r="C47" s="522"/>
    </row>
    <row r="48" spans="1:3">
      <c r="A48" s="522"/>
      <c r="B48" s="522"/>
      <c r="C48" s="522"/>
    </row>
    <row r="49" spans="1:3">
      <c r="A49" s="522"/>
      <c r="B49" s="522"/>
      <c r="C49" s="522"/>
    </row>
    <row r="50" spans="1:3">
      <c r="A50" s="522"/>
      <c r="B50" s="522"/>
      <c r="C50" s="522"/>
    </row>
    <row r="51" spans="1:3">
      <c r="A51" s="522"/>
      <c r="B51" s="522"/>
      <c r="C51" s="522"/>
    </row>
    <row r="52" spans="1:3">
      <c r="A52" s="522"/>
      <c r="B52" s="522"/>
      <c r="C52" s="522"/>
    </row>
    <row r="53" spans="1:3">
      <c r="A53" s="522"/>
      <c r="B53" s="522"/>
      <c r="C53" s="522"/>
    </row>
    <row r="54" spans="1:3">
      <c r="A54" s="522"/>
      <c r="B54" s="522"/>
      <c r="C54" s="522"/>
    </row>
    <row r="55" spans="1:3">
      <c r="A55" s="522"/>
      <c r="B55" s="522"/>
      <c r="C55" s="522"/>
    </row>
    <row r="56" spans="1:3">
      <c r="A56" s="522"/>
      <c r="B56" s="522"/>
      <c r="C56" s="522"/>
    </row>
    <row r="57" spans="1:3">
      <c r="A57" s="522"/>
      <c r="B57" s="522"/>
      <c r="C57" s="522"/>
    </row>
    <row r="58" spans="1:3">
      <c r="A58" s="522"/>
      <c r="B58" s="522"/>
      <c r="C58" s="522"/>
    </row>
    <row r="59" spans="1:3">
      <c r="A59" s="522"/>
      <c r="B59" s="522"/>
      <c r="C59" s="522"/>
    </row>
    <row r="60" spans="1:3">
      <c r="A60" s="522"/>
      <c r="B60" s="522"/>
      <c r="C60" s="522"/>
    </row>
    <row r="61" spans="1:3">
      <c r="A61" s="522"/>
      <c r="B61" s="522"/>
      <c r="C61" s="522"/>
    </row>
    <row r="62" spans="1:3">
      <c r="A62" s="522"/>
      <c r="B62" s="522"/>
      <c r="C62" s="522"/>
    </row>
    <row r="63" spans="1:3">
      <c r="A63" s="522"/>
      <c r="B63" s="522"/>
      <c r="C63" s="522"/>
    </row>
    <row r="64" spans="1:3">
      <c r="A64" s="522"/>
      <c r="B64" s="522"/>
      <c r="C64" s="522"/>
    </row>
    <row r="65" spans="1:3">
      <c r="A65" s="522"/>
      <c r="B65" s="522"/>
      <c r="C65" s="522"/>
    </row>
    <row r="66" spans="1:3">
      <c r="A66" s="522"/>
      <c r="B66" s="522"/>
      <c r="C66" s="522"/>
    </row>
    <row r="67" spans="1:3">
      <c r="A67" s="522"/>
      <c r="B67" s="522"/>
      <c r="C67" s="522"/>
    </row>
    <row r="68" spans="1:3">
      <c r="A68" s="522"/>
      <c r="B68" s="522"/>
      <c r="C68" s="522"/>
    </row>
    <row r="69" spans="1:3">
      <c r="A69" s="522"/>
      <c r="B69" s="522"/>
      <c r="C69" s="522"/>
    </row>
    <row r="70" spans="1:3">
      <c r="A70" s="522"/>
      <c r="B70" s="522"/>
      <c r="C70" s="522"/>
    </row>
    <row r="71" spans="1:3">
      <c r="A71" s="522"/>
      <c r="B71" s="522"/>
      <c r="C71" s="522"/>
    </row>
    <row r="72" spans="1:3">
      <c r="A72" s="522"/>
      <c r="B72" s="522"/>
      <c r="C72" s="522"/>
    </row>
    <row r="73" spans="1:3">
      <c r="A73" s="522"/>
      <c r="B73" s="522"/>
      <c r="C73" s="522"/>
    </row>
    <row r="74" spans="1:3">
      <c r="A74" s="522"/>
      <c r="B74" s="522"/>
      <c r="C74" s="522"/>
    </row>
    <row r="75" spans="1:3">
      <c r="A75" s="522"/>
      <c r="B75" s="522"/>
      <c r="C75" s="522"/>
    </row>
    <row r="76" spans="1:3">
      <c r="A76" s="522"/>
      <c r="B76" s="522"/>
      <c r="C76" s="522"/>
    </row>
    <row r="77" spans="1:3">
      <c r="A77" s="522"/>
      <c r="B77" s="522"/>
      <c r="C77" s="522"/>
    </row>
    <row r="78" spans="1:3">
      <c r="A78" s="522"/>
      <c r="B78" s="522"/>
      <c r="C78" s="522"/>
    </row>
    <row r="79" spans="1:3">
      <c r="A79" s="522"/>
      <c r="B79" s="522"/>
      <c r="C79" s="522"/>
    </row>
    <row r="80" spans="1:3">
      <c r="A80" s="522"/>
      <c r="B80" s="522"/>
      <c r="C80" s="522"/>
    </row>
    <row r="81" spans="1:3">
      <c r="A81" s="522"/>
      <c r="B81" s="522"/>
      <c r="C81" s="522"/>
    </row>
    <row r="82" spans="1:3">
      <c r="A82" s="522"/>
      <c r="B82" s="522"/>
      <c r="C82" s="522"/>
    </row>
    <row r="83" spans="1:3">
      <c r="A83" s="522"/>
      <c r="B83" s="522"/>
      <c r="C83" s="522"/>
    </row>
    <row r="84" spans="1:3">
      <c r="A84" s="522"/>
      <c r="B84" s="522"/>
      <c r="C84" s="522"/>
    </row>
    <row r="85" spans="1:3">
      <c r="A85" s="522"/>
      <c r="B85" s="522"/>
      <c r="C85" s="522"/>
    </row>
    <row r="86" spans="1:3">
      <c r="A86" s="522"/>
      <c r="B86" s="522"/>
      <c r="C86" s="522"/>
    </row>
    <row r="87" spans="1:3">
      <c r="A87" s="522"/>
      <c r="B87" s="522"/>
      <c r="C87" s="522"/>
    </row>
    <row r="88" spans="1:3">
      <c r="A88" s="522"/>
      <c r="B88" s="522"/>
      <c r="C88" s="522"/>
    </row>
    <row r="89" spans="1:3">
      <c r="A89" s="522"/>
      <c r="B89" s="522"/>
      <c r="C89" s="522"/>
    </row>
    <row r="90" spans="1:3">
      <c r="A90" s="522"/>
      <c r="B90" s="522"/>
      <c r="C90" s="522"/>
    </row>
    <row r="91" spans="1:3">
      <c r="A91" s="522"/>
      <c r="B91" s="522"/>
      <c r="C91" s="522"/>
    </row>
    <row r="92" spans="1:3">
      <c r="A92" s="522"/>
      <c r="B92" s="522"/>
      <c r="C92" s="522"/>
    </row>
    <row r="93" spans="1:3">
      <c r="A93" s="522"/>
      <c r="B93" s="522"/>
      <c r="C93" s="522"/>
    </row>
    <row r="94" spans="1:3">
      <c r="A94" s="522"/>
      <c r="B94" s="522"/>
      <c r="C94" s="522"/>
    </row>
    <row r="95" spans="1:3">
      <c r="A95" s="522"/>
      <c r="B95" s="522"/>
      <c r="C95" s="522"/>
    </row>
    <row r="96" spans="1:3">
      <c r="A96" s="522"/>
      <c r="B96" s="522"/>
      <c r="C96" s="522"/>
    </row>
    <row r="97" spans="1:3">
      <c r="A97" s="522"/>
      <c r="B97" s="522"/>
      <c r="C97" s="522"/>
    </row>
  </sheetData>
  <printOptions horizontalCentered="1"/>
  <pageMargins left="0.75" right="0.75" top="0.75" bottom="0.5" header="0.75" footer="0.3"/>
  <pageSetup scale="91" orientation="portrait" blackAndWhite="1" r:id="rId1"/>
  <headerFooter>
    <oddHeader>&amp;RAttachment H-22A
Appendix D
Page 2 of 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00FF"/>
    <pageSetUpPr fitToPage="1"/>
  </sheetPr>
  <dimension ref="A1:I53"/>
  <sheetViews>
    <sheetView zoomScale="70" zoomScaleNormal="70" workbookViewId="0">
      <selection sqref="A1:G48"/>
    </sheetView>
  </sheetViews>
  <sheetFormatPr defaultColWidth="8.77734375" defaultRowHeight="15"/>
  <cols>
    <col min="1" max="1" width="6.77734375" customWidth="1"/>
    <col min="2" max="2" width="1.88671875" customWidth="1"/>
    <col min="3" max="3" width="57.33203125" customWidth="1"/>
    <col min="4" max="4" width="1.77734375" customWidth="1"/>
    <col min="5" max="5" width="29.33203125" customWidth="1"/>
    <col min="6" max="6" width="1.33203125" customWidth="1"/>
    <col min="7" max="7" width="20" customWidth="1"/>
    <col min="8" max="8" width="1.6640625" customWidth="1"/>
    <col min="9" max="9" width="15.6640625" customWidth="1"/>
  </cols>
  <sheetData>
    <row r="1" spans="1:9">
      <c r="A1" s="137"/>
      <c r="B1" s="137"/>
      <c r="C1" s="137"/>
      <c r="D1" s="137"/>
      <c r="E1" s="137"/>
      <c r="F1" s="137"/>
      <c r="G1" s="137"/>
      <c r="H1" s="137"/>
      <c r="I1" s="137"/>
    </row>
    <row r="2" spans="1:9">
      <c r="A2" s="137"/>
      <c r="B2" s="137"/>
      <c r="C2" s="137"/>
      <c r="D2" s="137"/>
      <c r="E2" s="137"/>
      <c r="F2" s="137"/>
      <c r="G2" s="137"/>
      <c r="H2" s="137"/>
      <c r="I2" s="137"/>
    </row>
    <row r="3" spans="1:9">
      <c r="A3" s="137"/>
      <c r="B3" s="137"/>
      <c r="C3" s="112"/>
      <c r="D3" s="137"/>
      <c r="E3" s="137"/>
      <c r="F3" s="137"/>
      <c r="G3" s="137"/>
      <c r="H3" s="137"/>
      <c r="I3" s="137"/>
    </row>
    <row r="4" spans="1:9">
      <c r="A4" s="219" t="s">
        <v>309</v>
      </c>
      <c r="B4" s="281"/>
      <c r="C4" s="281"/>
      <c r="D4" s="219"/>
      <c r="E4" s="219"/>
      <c r="F4" s="219"/>
      <c r="G4" s="281"/>
      <c r="H4" s="137"/>
      <c r="I4" s="137"/>
    </row>
    <row r="5" spans="1:9">
      <c r="A5" s="220" t="s">
        <v>366</v>
      </c>
      <c r="B5" s="281"/>
      <c r="C5" s="281"/>
      <c r="D5" s="219"/>
      <c r="E5" s="219"/>
      <c r="F5" s="219"/>
      <c r="G5" s="281"/>
      <c r="H5" s="137"/>
      <c r="I5" s="137"/>
    </row>
    <row r="6" spans="1:9">
      <c r="A6" s="221"/>
      <c r="B6" s="281"/>
      <c r="C6" s="281"/>
      <c r="D6" s="221"/>
      <c r="E6" s="221"/>
      <c r="F6" s="221"/>
      <c r="G6" s="281"/>
      <c r="H6" s="137"/>
      <c r="I6" s="137"/>
    </row>
    <row r="7" spans="1:9">
      <c r="A7" s="283" t="s">
        <v>524</v>
      </c>
      <c r="B7" s="281"/>
      <c r="C7" s="281"/>
      <c r="D7" s="221"/>
      <c r="E7" s="221"/>
      <c r="F7" s="221"/>
      <c r="G7" s="281"/>
      <c r="H7" s="137"/>
      <c r="I7" s="137"/>
    </row>
    <row r="8" spans="1:9">
      <c r="A8" s="283" t="s">
        <v>525</v>
      </c>
      <c r="B8" s="281"/>
      <c r="C8" s="281"/>
      <c r="D8" s="221"/>
      <c r="E8" s="221"/>
      <c r="F8" s="221"/>
      <c r="G8" s="281"/>
      <c r="H8" s="137"/>
      <c r="I8" s="137"/>
    </row>
    <row r="9" spans="1:9">
      <c r="A9" s="421"/>
      <c r="B9" s="281"/>
      <c r="C9" s="221"/>
      <c r="D9" s="221"/>
      <c r="E9" s="221"/>
      <c r="F9" s="221"/>
      <c r="G9" s="284"/>
      <c r="H9" s="137"/>
      <c r="I9" s="137"/>
    </row>
    <row r="10" spans="1:9">
      <c r="A10" s="221" t="s">
        <v>701</v>
      </c>
      <c r="B10" s="281"/>
      <c r="C10" s="281"/>
      <c r="D10" s="221"/>
      <c r="E10" s="221"/>
      <c r="F10" s="221"/>
      <c r="G10" s="284"/>
      <c r="H10" s="137"/>
      <c r="I10" s="137"/>
    </row>
    <row r="11" spans="1:9">
      <c r="A11" s="142"/>
      <c r="B11" s="137"/>
      <c r="C11" s="110"/>
      <c r="D11" s="110"/>
      <c r="E11" s="110"/>
      <c r="F11" s="110"/>
      <c r="G11" s="143"/>
      <c r="H11" s="137"/>
      <c r="I11" s="137"/>
    </row>
    <row r="12" spans="1:9">
      <c r="A12" s="452"/>
      <c r="B12" s="137"/>
      <c r="C12" s="110"/>
      <c r="D12" s="110"/>
      <c r="E12" s="110"/>
      <c r="F12" s="110"/>
      <c r="G12" s="110"/>
      <c r="H12" s="137"/>
      <c r="I12" s="137"/>
    </row>
    <row r="13" spans="1:9">
      <c r="A13" s="137"/>
      <c r="B13" s="137"/>
      <c r="C13" s="108" t="s">
        <v>24</v>
      </c>
      <c r="D13" s="108"/>
      <c r="E13" s="108" t="s">
        <v>25</v>
      </c>
      <c r="F13" s="108"/>
      <c r="G13" s="108" t="s">
        <v>26</v>
      </c>
      <c r="H13" s="137"/>
      <c r="I13" s="137"/>
    </row>
    <row r="14" spans="1:9">
      <c r="A14" s="137"/>
      <c r="B14" s="137"/>
      <c r="C14" s="107"/>
      <c r="D14" s="107"/>
      <c r="E14" s="137"/>
      <c r="F14" s="137"/>
      <c r="G14" s="137"/>
      <c r="H14" s="137"/>
      <c r="I14" s="137"/>
    </row>
    <row r="15" spans="1:9" ht="15.75">
      <c r="A15" s="417" t="s">
        <v>15</v>
      </c>
      <c r="B15" s="418"/>
      <c r="C15" s="450"/>
      <c r="D15" s="419"/>
      <c r="E15" s="453" t="s">
        <v>416</v>
      </c>
      <c r="F15" s="113"/>
      <c r="G15" s="454" t="s">
        <v>32</v>
      </c>
      <c r="H15" s="141"/>
      <c r="I15" s="417"/>
    </row>
    <row r="17" spans="1:7" ht="15.75">
      <c r="A17" s="78"/>
      <c r="C17" s="855" t="s">
        <v>490</v>
      </c>
      <c r="D17" s="851"/>
      <c r="E17" s="851"/>
    </row>
    <row r="18" spans="1:7">
      <c r="A18" s="452">
        <f>MAX(A17:A$17)+1</f>
        <v>1</v>
      </c>
      <c r="C18" s="851" t="s">
        <v>762</v>
      </c>
      <c r="D18" s="851"/>
      <c r="E18" s="852" t="s">
        <v>21</v>
      </c>
      <c r="G18" s="935">
        <v>0</v>
      </c>
    </row>
    <row r="19" spans="1:7">
      <c r="A19" s="452"/>
      <c r="C19" s="851"/>
      <c r="D19" s="851"/>
      <c r="E19" s="851"/>
      <c r="G19" s="871"/>
    </row>
    <row r="20" spans="1:7" ht="15.75">
      <c r="A20" s="452"/>
      <c r="C20" s="853" t="s">
        <v>491</v>
      </c>
      <c r="D20" s="851"/>
      <c r="E20" s="851"/>
      <c r="G20" s="871"/>
    </row>
    <row r="21" spans="1:7">
      <c r="A21" s="452">
        <f>MAX(A$17:A20)+1</f>
        <v>2</v>
      </c>
      <c r="C21" s="856" t="s">
        <v>492</v>
      </c>
      <c r="D21" s="851"/>
      <c r="E21" s="854" t="s">
        <v>464</v>
      </c>
      <c r="G21" s="871">
        <f>'Appx E - Workpaper'!M57</f>
        <v>0.17211680207401514</v>
      </c>
    </row>
    <row r="22" spans="1:7">
      <c r="A22" s="452">
        <f>MAX(A$17:A21)+1</f>
        <v>3</v>
      </c>
      <c r="C22" s="856" t="s">
        <v>493</v>
      </c>
      <c r="D22" s="851"/>
      <c r="E22" s="854" t="s">
        <v>22</v>
      </c>
      <c r="G22" s="896">
        <f>G28</f>
        <v>0.38094185175405293</v>
      </c>
    </row>
    <row r="23" spans="1:7">
      <c r="A23" s="452">
        <f>MAX(A$17:A22)+1</f>
        <v>4</v>
      </c>
      <c r="C23" s="851" t="s">
        <v>555</v>
      </c>
      <c r="D23" s="851"/>
      <c r="E23" s="851"/>
      <c r="G23" s="871">
        <f>G22*G21</f>
        <v>6.5566493300061146E-2</v>
      </c>
    </row>
    <row r="24" spans="1:7">
      <c r="A24" s="452"/>
      <c r="C24" s="851"/>
      <c r="D24" s="851"/>
      <c r="E24" s="851"/>
      <c r="G24" s="871"/>
    </row>
    <row r="25" spans="1:7">
      <c r="A25" s="452">
        <f>MAX(A$17:A24)+1</f>
        <v>5</v>
      </c>
      <c r="C25" s="856" t="s">
        <v>494</v>
      </c>
      <c r="D25" s="851"/>
      <c r="E25" s="851"/>
      <c r="G25" s="871">
        <f>G21-G23</f>
        <v>0.10655030877395399</v>
      </c>
    </row>
    <row r="26" spans="1:7">
      <c r="A26" s="452"/>
      <c r="C26" s="851"/>
      <c r="D26" s="851"/>
      <c r="E26" s="851"/>
    </row>
    <row r="27" spans="1:7" ht="15.75">
      <c r="A27" s="452"/>
      <c r="C27" s="853" t="s">
        <v>239</v>
      </c>
      <c r="D27" s="851"/>
      <c r="E27" s="851"/>
    </row>
    <row r="28" spans="1:7">
      <c r="A28" s="452">
        <f>MAX(A$17:A27)+1</f>
        <v>6</v>
      </c>
      <c r="C28" s="851" t="s">
        <v>495</v>
      </c>
      <c r="D28" s="851"/>
      <c r="E28" s="857" t="s">
        <v>496</v>
      </c>
      <c r="G28" s="502">
        <f>'DE Ohio &amp; Kentucky'!E173</f>
        <v>0.38094185175405293</v>
      </c>
    </row>
    <row r="29" spans="1:7">
      <c r="A29" s="452"/>
      <c r="C29" s="851"/>
      <c r="D29" s="851"/>
      <c r="E29" s="851"/>
    </row>
    <row r="30" spans="1:7">
      <c r="A30" s="452">
        <f>MAX(A$17:A29)+1</f>
        <v>7</v>
      </c>
      <c r="C30" s="851" t="s">
        <v>497</v>
      </c>
      <c r="D30" s="851"/>
      <c r="E30" s="851"/>
      <c r="G30" s="871">
        <f>G28*G34</f>
        <v>1.3191578377027748E-3</v>
      </c>
    </row>
    <row r="31" spans="1:7">
      <c r="A31" s="452"/>
      <c r="C31" s="851"/>
      <c r="D31" s="851"/>
      <c r="E31" s="851"/>
    </row>
    <row r="32" spans="1:7" ht="15.75">
      <c r="A32" s="452"/>
      <c r="C32" s="855" t="s">
        <v>498</v>
      </c>
      <c r="D32" s="851"/>
      <c r="E32" s="851"/>
    </row>
    <row r="33" spans="1:7">
      <c r="A33" s="452">
        <f>MAX(A$17:A32)+1</f>
        <v>8</v>
      </c>
      <c r="C33" s="851" t="s">
        <v>499</v>
      </c>
      <c r="D33" s="851"/>
      <c r="E33" s="854" t="s">
        <v>23</v>
      </c>
      <c r="G33" s="665">
        <v>3.2500000000000001E-2</v>
      </c>
    </row>
    <row r="34" spans="1:7">
      <c r="A34" s="452">
        <f>MAX(A$17:A33)+1</f>
        <v>9</v>
      </c>
      <c r="C34" s="856" t="s">
        <v>500</v>
      </c>
      <c r="D34" s="851"/>
      <c r="E34" s="854"/>
      <c r="G34" s="871">
        <f>G33*G25</f>
        <v>3.4628850351535049E-3</v>
      </c>
    </row>
    <row r="35" spans="1:7">
      <c r="A35" s="452"/>
      <c r="C35" s="851"/>
      <c r="D35" s="851"/>
      <c r="E35" s="851"/>
      <c r="G35" s="871"/>
    </row>
    <row r="36" spans="1:7">
      <c r="A36" s="452">
        <f>MAX(A$17:A35)+1</f>
        <v>10</v>
      </c>
      <c r="C36" s="851" t="s">
        <v>501</v>
      </c>
      <c r="D36" s="851"/>
      <c r="E36" s="851"/>
      <c r="G36" s="871">
        <f>G18+G34+G30</f>
        <v>4.7820428728562797E-3</v>
      </c>
    </row>
    <row r="37" spans="1:7">
      <c r="A37" s="452"/>
      <c r="C37" s="851"/>
      <c r="D37" s="851"/>
      <c r="E37" s="851"/>
    </row>
    <row r="38" spans="1:7">
      <c r="A38" s="452"/>
      <c r="C38" s="851"/>
      <c r="D38" s="851"/>
      <c r="E38" s="851"/>
    </row>
    <row r="39" spans="1:7">
      <c r="A39" s="605" t="s">
        <v>113</v>
      </c>
      <c r="C39" s="851"/>
      <c r="D39" s="851"/>
      <c r="E39" s="851"/>
    </row>
    <row r="40" spans="1:7">
      <c r="A40" s="452"/>
      <c r="C40" s="851"/>
      <c r="D40" s="851"/>
      <c r="E40" s="851"/>
    </row>
    <row r="41" spans="1:7">
      <c r="A41" s="452" t="s">
        <v>115</v>
      </c>
      <c r="C41" s="856" t="s">
        <v>553</v>
      </c>
      <c r="D41" s="851"/>
      <c r="E41" s="851"/>
    </row>
    <row r="42" spans="1:7">
      <c r="A42" s="452"/>
      <c r="C42" s="851"/>
      <c r="D42" s="851"/>
      <c r="E42" s="851"/>
    </row>
    <row r="43" spans="1:7">
      <c r="A43" s="142" t="s">
        <v>116</v>
      </c>
      <c r="C43" s="856" t="s">
        <v>502</v>
      </c>
      <c r="D43" s="851"/>
      <c r="E43" s="851"/>
    </row>
    <row r="44" spans="1:7">
      <c r="A44" s="452"/>
      <c r="C44" s="851"/>
      <c r="D44" s="851"/>
      <c r="E44" s="851"/>
    </row>
    <row r="45" spans="1:7">
      <c r="A45" s="142" t="s">
        <v>117</v>
      </c>
      <c r="C45" s="856" t="s">
        <v>503</v>
      </c>
      <c r="D45" s="851"/>
      <c r="E45" s="851"/>
    </row>
    <row r="46" spans="1:7">
      <c r="A46" s="452"/>
      <c r="C46" s="851"/>
      <c r="D46" s="851"/>
      <c r="E46" s="851"/>
    </row>
    <row r="47" spans="1:7">
      <c r="A47" s="142" t="s">
        <v>118</v>
      </c>
      <c r="C47" s="856" t="s">
        <v>632</v>
      </c>
      <c r="D47" s="851"/>
      <c r="E47" s="851"/>
    </row>
    <row r="48" spans="1:7">
      <c r="A48" s="452"/>
      <c r="C48" s="851" t="s">
        <v>554</v>
      </c>
      <c r="D48" s="851"/>
      <c r="E48" s="851"/>
    </row>
    <row r="49" spans="1:1">
      <c r="A49" s="452"/>
    </row>
    <row r="50" spans="1:1">
      <c r="A50" s="452"/>
    </row>
    <row r="51" spans="1:1">
      <c r="A51" s="452"/>
    </row>
    <row r="52" spans="1:1">
      <c r="A52" s="452"/>
    </row>
    <row r="53" spans="1:1">
      <c r="A53" s="452"/>
    </row>
  </sheetData>
  <printOptions horizontalCentered="1"/>
  <pageMargins left="0.75" right="0.75" top="0.75" bottom="0.5" header="1" footer="0.3"/>
  <pageSetup scale="63" orientation="portrait" r:id="rId1"/>
  <headerFooter>
    <oddHeader>&amp;RAttachment H-22A
Appendix E
Page 1 of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0000FF"/>
    <pageSetUpPr fitToPage="1"/>
  </sheetPr>
  <dimension ref="A1:M66"/>
  <sheetViews>
    <sheetView zoomScale="70" zoomScaleNormal="70" workbookViewId="0">
      <selection sqref="A1:M66"/>
    </sheetView>
  </sheetViews>
  <sheetFormatPr defaultColWidth="8.77734375" defaultRowHeight="15"/>
  <cols>
    <col min="1" max="1" width="11.6640625" style="393" customWidth="1"/>
    <col min="2" max="2" width="1.88671875" style="393" customWidth="1"/>
    <col min="3" max="3" width="28.44140625" style="393" customWidth="1"/>
    <col min="4" max="4" width="1.77734375" style="393" customWidth="1"/>
    <col min="5" max="5" width="25.77734375" style="393" customWidth="1"/>
    <col min="6" max="6" width="1.33203125" style="393" customWidth="1"/>
    <col min="7" max="7" width="28.44140625" style="393" customWidth="1"/>
    <col min="8" max="8" width="1.6640625" style="393" customWidth="1"/>
    <col min="9" max="9" width="28.6640625" style="393" customWidth="1"/>
    <col min="10" max="10" width="1.5546875" style="483" customWidth="1"/>
    <col min="11" max="11" width="25.77734375" style="393" customWidth="1"/>
    <col min="12" max="12" width="1.77734375" style="393" customWidth="1"/>
    <col min="13" max="13" width="25.77734375" style="393" customWidth="1"/>
    <col min="14" max="14" width="8.77734375" style="393"/>
    <col min="15" max="15" width="11.88671875" style="393" bestFit="1" customWidth="1"/>
    <col min="16" max="16384" width="8.77734375" style="393"/>
  </cols>
  <sheetData>
    <row r="1" spans="1:13">
      <c r="A1" s="1045" t="s">
        <v>524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</row>
    <row r="2" spans="1:13">
      <c r="A2" s="509"/>
      <c r="B2" s="510"/>
      <c r="C2" s="221"/>
      <c r="D2" s="221"/>
      <c r="E2" s="221"/>
      <c r="F2" s="221"/>
      <c r="G2" s="284"/>
      <c r="H2" s="221"/>
      <c r="I2" s="221"/>
      <c r="J2" s="221"/>
      <c r="K2" s="221"/>
      <c r="L2" s="141"/>
    </row>
    <row r="3" spans="1:13">
      <c r="A3" s="1046" t="s">
        <v>530</v>
      </c>
      <c r="B3" s="1045"/>
      <c r="C3" s="1045"/>
      <c r="D3" s="1045"/>
      <c r="E3" s="1045"/>
      <c r="F3" s="1045"/>
      <c r="G3" s="1045"/>
      <c r="H3" s="1045"/>
      <c r="I3" s="1045"/>
      <c r="J3" s="1045"/>
      <c r="K3" s="1045"/>
      <c r="L3" s="1045"/>
      <c r="M3" s="1045"/>
    </row>
    <row r="4" spans="1:13">
      <c r="A4" s="511"/>
      <c r="B4" s="141"/>
      <c r="C4" s="110"/>
      <c r="D4" s="110"/>
      <c r="E4" s="110"/>
      <c r="F4" s="110"/>
      <c r="G4" s="110"/>
      <c r="H4" s="141"/>
      <c r="I4" s="141"/>
      <c r="J4" s="141"/>
      <c r="K4" s="141"/>
      <c r="L4" s="141"/>
      <c r="M4" s="512" t="s">
        <v>504</v>
      </c>
    </row>
    <row r="5" spans="1:13">
      <c r="A5" s="513" t="s">
        <v>24</v>
      </c>
      <c r="B5" s="108"/>
      <c r="C5" s="513" t="s">
        <v>25</v>
      </c>
      <c r="D5" s="141"/>
      <c r="E5" s="512" t="s">
        <v>26</v>
      </c>
      <c r="F5" s="141"/>
      <c r="G5" s="512" t="s">
        <v>505</v>
      </c>
      <c r="H5" s="141"/>
      <c r="I5" s="512" t="s">
        <v>28</v>
      </c>
      <c r="K5" s="512" t="s">
        <v>506</v>
      </c>
      <c r="M5" s="512" t="s">
        <v>507</v>
      </c>
    </row>
    <row r="6" spans="1:13">
      <c r="A6" s="511"/>
    </row>
    <row r="7" spans="1:13" ht="15.75">
      <c r="A7" s="455"/>
      <c r="B7" s="361"/>
      <c r="C7" s="456" t="s">
        <v>528</v>
      </c>
      <c r="D7" s="361"/>
      <c r="E7" s="456" t="s">
        <v>528</v>
      </c>
      <c r="F7" s="361"/>
      <c r="G7" s="456" t="s">
        <v>508</v>
      </c>
      <c r="H7" s="361"/>
      <c r="I7" s="456" t="s">
        <v>509</v>
      </c>
      <c r="J7" s="660"/>
      <c r="K7" s="361"/>
      <c r="L7" s="361"/>
      <c r="M7" s="456" t="s">
        <v>510</v>
      </c>
    </row>
    <row r="8" spans="1:13" ht="15.75">
      <c r="A8" s="455"/>
      <c r="B8" s="361"/>
      <c r="C8" s="457" t="s">
        <v>527</v>
      </c>
      <c r="D8" s="361"/>
      <c r="E8" s="456" t="s">
        <v>529</v>
      </c>
      <c r="F8" s="361"/>
      <c r="G8" s="457" t="s">
        <v>511</v>
      </c>
      <c r="H8" s="361"/>
      <c r="I8" s="456" t="s">
        <v>512</v>
      </c>
      <c r="J8" s="660"/>
      <c r="K8" s="456" t="s">
        <v>513</v>
      </c>
      <c r="L8" s="361"/>
      <c r="M8" s="457" t="s">
        <v>531</v>
      </c>
    </row>
    <row r="9" spans="1:13" ht="15.75">
      <c r="A9" s="458" t="s">
        <v>514</v>
      </c>
      <c r="B9" s="361"/>
      <c r="C9" s="459" t="s">
        <v>515</v>
      </c>
      <c r="D9" s="361"/>
      <c r="E9" s="459" t="s">
        <v>516</v>
      </c>
      <c r="F9" s="361"/>
      <c r="G9" s="459" t="s">
        <v>517</v>
      </c>
      <c r="H9" s="361"/>
      <c r="I9" s="459" t="s">
        <v>518</v>
      </c>
      <c r="J9" s="660"/>
      <c r="K9" s="459" t="s">
        <v>519</v>
      </c>
      <c r="L9" s="361"/>
      <c r="M9" s="460" t="s">
        <v>532</v>
      </c>
    </row>
    <row r="10" spans="1:13">
      <c r="A10" s="511"/>
    </row>
    <row r="11" spans="1:13">
      <c r="A11" s="514">
        <v>40919</v>
      </c>
      <c r="C11" s="662">
        <f>ROUND(561138.24+230045.39,0)</f>
        <v>791184</v>
      </c>
      <c r="D11" s="461"/>
      <c r="E11" s="662">
        <v>1562589.5499999998</v>
      </c>
      <c r="F11" s="461"/>
      <c r="G11" s="504">
        <f t="shared" ref="G11:G22" si="0">C11-E11</f>
        <v>-771405.54999999981</v>
      </c>
      <c r="H11" s="461"/>
      <c r="I11" s="461"/>
      <c r="J11" s="661"/>
      <c r="K11" s="461">
        <f t="shared" ref="K11:K22" si="1">G11-I11</f>
        <v>-771405.54999999981</v>
      </c>
      <c r="L11" s="461"/>
      <c r="M11" s="461">
        <f t="shared" ref="M11:M22" si="2">M10+K11</f>
        <v>-771405.54999999981</v>
      </c>
    </row>
    <row r="12" spans="1:13">
      <c r="A12" s="514">
        <v>40950</v>
      </c>
      <c r="C12" s="663">
        <f>ROUND(445362.79+202942.54,0)</f>
        <v>648305</v>
      </c>
      <c r="D12" s="462"/>
      <c r="E12" s="663">
        <v>-458016.89482520078</v>
      </c>
      <c r="F12" s="462"/>
      <c r="G12" s="505">
        <f t="shared" si="0"/>
        <v>1106321.8948252008</v>
      </c>
      <c r="H12" s="462"/>
      <c r="I12" s="462"/>
      <c r="J12" s="463"/>
      <c r="K12" s="462">
        <f t="shared" si="1"/>
        <v>1106321.8948252008</v>
      </c>
      <c r="L12" s="462"/>
      <c r="M12" s="462">
        <f t="shared" si="2"/>
        <v>334916.34482520097</v>
      </c>
    </row>
    <row r="13" spans="1:13">
      <c r="A13" s="514">
        <v>40979</v>
      </c>
      <c r="C13" s="663">
        <f>ROUND(549462.12+193854.15,0)</f>
        <v>743316</v>
      </c>
      <c r="D13" s="462"/>
      <c r="E13" s="663">
        <v>534345.18155459943</v>
      </c>
      <c r="F13" s="462"/>
      <c r="G13" s="505">
        <f t="shared" si="0"/>
        <v>208970.81844540057</v>
      </c>
      <c r="H13" s="462"/>
      <c r="I13" s="462"/>
      <c r="J13" s="463"/>
      <c r="K13" s="462">
        <f t="shared" si="1"/>
        <v>208970.81844540057</v>
      </c>
      <c r="L13" s="462"/>
      <c r="M13" s="462">
        <f t="shared" si="2"/>
        <v>543887.16327060154</v>
      </c>
    </row>
    <row r="14" spans="1:13">
      <c r="A14" s="514">
        <v>41010</v>
      </c>
      <c r="C14" s="663">
        <f>ROUND(455463.48+150674.434,0)</f>
        <v>606138</v>
      </c>
      <c r="D14" s="462"/>
      <c r="E14" s="663">
        <v>550253.63733060018</v>
      </c>
      <c r="F14" s="462"/>
      <c r="G14" s="505">
        <f t="shared" si="0"/>
        <v>55884.362669399823</v>
      </c>
      <c r="H14" s="462"/>
      <c r="I14" s="462"/>
      <c r="J14" s="463"/>
      <c r="K14" s="462">
        <f t="shared" si="1"/>
        <v>55884.362669399823</v>
      </c>
      <c r="L14" s="462"/>
      <c r="M14" s="462">
        <f t="shared" si="2"/>
        <v>599771.52594000136</v>
      </c>
    </row>
    <row r="15" spans="1:13">
      <c r="A15" s="514">
        <v>41040</v>
      </c>
      <c r="C15" s="663">
        <f>ROUND(537380.9+204248.25,0)</f>
        <v>741629</v>
      </c>
      <c r="D15" s="462"/>
      <c r="E15" s="663">
        <v>508520.05944439973</v>
      </c>
      <c r="F15" s="462"/>
      <c r="G15" s="505">
        <f t="shared" si="0"/>
        <v>233108.94055560027</v>
      </c>
      <c r="H15" s="462"/>
      <c r="I15" s="462"/>
      <c r="J15" s="463"/>
      <c r="K15" s="462">
        <f t="shared" si="1"/>
        <v>233108.94055560027</v>
      </c>
      <c r="L15" s="462"/>
      <c r="M15" s="462">
        <f t="shared" si="2"/>
        <v>832880.46649560169</v>
      </c>
    </row>
    <row r="16" spans="1:13">
      <c r="A16" s="514">
        <v>41071</v>
      </c>
      <c r="C16" s="663">
        <v>775567.48</v>
      </c>
      <c r="D16" s="462"/>
      <c r="E16" s="663">
        <v>711074.07110220008</v>
      </c>
      <c r="F16" s="462"/>
      <c r="G16" s="505">
        <f t="shared" si="0"/>
        <v>64493.408897799905</v>
      </c>
      <c r="H16" s="462"/>
      <c r="I16" s="462"/>
      <c r="J16" s="463"/>
      <c r="K16" s="462">
        <f t="shared" si="1"/>
        <v>64493.408897799905</v>
      </c>
      <c r="L16" s="462"/>
      <c r="M16" s="462">
        <f t="shared" si="2"/>
        <v>897373.8753934016</v>
      </c>
    </row>
    <row r="17" spans="1:13">
      <c r="A17" s="514">
        <v>41101</v>
      </c>
      <c r="C17" s="663">
        <v>772561.1</v>
      </c>
      <c r="D17" s="462"/>
      <c r="E17" s="663">
        <v>699565.88500740007</v>
      </c>
      <c r="F17" s="462"/>
      <c r="G17" s="505">
        <f t="shared" si="0"/>
        <v>72995.214992599911</v>
      </c>
      <c r="H17" s="462"/>
      <c r="I17" s="462"/>
      <c r="J17" s="463"/>
      <c r="K17" s="462">
        <f t="shared" si="1"/>
        <v>72995.214992599911</v>
      </c>
      <c r="L17" s="462"/>
      <c r="M17" s="462">
        <f t="shared" si="2"/>
        <v>970369.09038600151</v>
      </c>
    </row>
    <row r="18" spans="1:13">
      <c r="A18" s="514">
        <v>41132</v>
      </c>
      <c r="C18" s="663">
        <v>848269.61</v>
      </c>
      <c r="D18" s="462"/>
      <c r="E18" s="663">
        <v>763861.94851899997</v>
      </c>
      <c r="F18" s="462"/>
      <c r="G18" s="505">
        <f t="shared" si="0"/>
        <v>84407.661481000017</v>
      </c>
      <c r="H18" s="462"/>
      <c r="I18" s="462"/>
      <c r="J18" s="463"/>
      <c r="K18" s="462">
        <f t="shared" si="1"/>
        <v>84407.661481000017</v>
      </c>
      <c r="L18" s="462"/>
      <c r="M18" s="462">
        <f t="shared" si="2"/>
        <v>1054776.7518670014</v>
      </c>
    </row>
    <row r="19" spans="1:13">
      <c r="A19" s="514">
        <v>41163</v>
      </c>
      <c r="C19" s="663">
        <v>399762.03999999992</v>
      </c>
      <c r="D19" s="462"/>
      <c r="E19" s="663">
        <v>1373307.9590893993</v>
      </c>
      <c r="F19" s="462"/>
      <c r="G19" s="505">
        <f t="shared" si="0"/>
        <v>-973545.91908939939</v>
      </c>
      <c r="H19" s="462"/>
      <c r="I19" s="462"/>
      <c r="J19" s="463"/>
      <c r="K19" s="462">
        <f t="shared" si="1"/>
        <v>-973545.91908939939</v>
      </c>
      <c r="L19" s="462"/>
      <c r="M19" s="462">
        <f t="shared" si="2"/>
        <v>81230.832777602016</v>
      </c>
    </row>
    <row r="20" spans="1:13">
      <c r="A20" s="514">
        <v>41193</v>
      </c>
      <c r="B20" s="483"/>
      <c r="C20" s="663">
        <v>413655.46</v>
      </c>
      <c r="D20" s="462"/>
      <c r="E20" s="663">
        <v>783231.69399280043</v>
      </c>
      <c r="F20" s="462"/>
      <c r="G20" s="505">
        <f t="shared" si="0"/>
        <v>-369576.23399280041</v>
      </c>
      <c r="H20" s="462"/>
      <c r="I20" s="462"/>
      <c r="J20" s="463"/>
      <c r="K20" s="462">
        <f t="shared" si="1"/>
        <v>-369576.23399280041</v>
      </c>
      <c r="L20" s="462"/>
      <c r="M20" s="462">
        <f t="shared" si="2"/>
        <v>-288345.40121519839</v>
      </c>
    </row>
    <row r="21" spans="1:13">
      <c r="A21" s="514">
        <v>41224</v>
      </c>
      <c r="B21" s="483"/>
      <c r="C21" s="663">
        <v>663142.91999999993</v>
      </c>
      <c r="D21" s="462"/>
      <c r="E21" s="663">
        <v>866737.91457279993</v>
      </c>
      <c r="F21" s="462"/>
      <c r="G21" s="505">
        <f t="shared" si="0"/>
        <v>-203594.9945728</v>
      </c>
      <c r="H21" s="462"/>
      <c r="I21" s="462"/>
      <c r="J21" s="463"/>
      <c r="K21" s="462">
        <f t="shared" si="1"/>
        <v>-203594.9945728</v>
      </c>
      <c r="L21" s="462"/>
      <c r="M21" s="462">
        <f t="shared" si="2"/>
        <v>-491940.39578799839</v>
      </c>
    </row>
    <row r="22" spans="1:13">
      <c r="A22" s="514">
        <v>41254</v>
      </c>
      <c r="B22" s="483"/>
      <c r="C22" s="666">
        <v>652756.43000000005</v>
      </c>
      <c r="D22" s="463"/>
      <c r="E22" s="666">
        <v>888676.81209519983</v>
      </c>
      <c r="F22" s="463"/>
      <c r="G22" s="664">
        <f t="shared" si="0"/>
        <v>-235920.38209519978</v>
      </c>
      <c r="H22" s="462"/>
      <c r="I22" s="464"/>
      <c r="J22" s="463"/>
      <c r="K22" s="464">
        <f t="shared" si="1"/>
        <v>-235920.38209519978</v>
      </c>
      <c r="L22" s="463"/>
      <c r="M22" s="462">
        <f t="shared" si="2"/>
        <v>-727860.77788319811</v>
      </c>
    </row>
    <row r="23" spans="1:13" ht="15.75">
      <c r="A23" s="465" t="s">
        <v>17</v>
      </c>
      <c r="B23" s="483"/>
      <c r="C23" s="461">
        <f>SUM(C11:C22)</f>
        <v>8056287.04</v>
      </c>
      <c r="D23" s="463"/>
      <c r="E23" s="461">
        <f>SUM(E11:E22)</f>
        <v>8784147.8178831972</v>
      </c>
      <c r="F23" s="463"/>
      <c r="G23" s="461">
        <f>SUM(G11:G22)</f>
        <v>-727860.77788319811</v>
      </c>
      <c r="H23" s="462"/>
      <c r="I23" s="461"/>
      <c r="J23" s="661"/>
      <c r="K23" s="461">
        <f>SUM(K11:K22)</f>
        <v>-727860.77788319811</v>
      </c>
      <c r="L23" s="461"/>
      <c r="M23" s="461"/>
    </row>
    <row r="24" spans="1:13">
      <c r="A24" s="514"/>
      <c r="B24" s="483"/>
      <c r="C24" s="463"/>
      <c r="D24" s="463"/>
      <c r="E24" s="463"/>
      <c r="F24" s="463"/>
      <c r="G24" s="463"/>
      <c r="H24" s="462"/>
      <c r="I24" s="463"/>
      <c r="J24" s="463"/>
      <c r="K24" s="463"/>
      <c r="L24" s="463"/>
      <c r="M24" s="463"/>
    </row>
    <row r="25" spans="1:13">
      <c r="A25" s="514">
        <v>41285</v>
      </c>
      <c r="B25" s="483"/>
      <c r="C25" s="663">
        <v>627309.66</v>
      </c>
      <c r="D25" s="463"/>
      <c r="E25" s="662">
        <v>875002.99</v>
      </c>
      <c r="F25" s="463"/>
      <c r="G25" s="506">
        <f>C25-E25</f>
        <v>-247693.32999999996</v>
      </c>
      <c r="H25" s="461"/>
      <c r="I25" s="461"/>
      <c r="J25" s="661"/>
      <c r="K25" s="461">
        <f t="shared" ref="K25:K36" si="3">G25-I25</f>
        <v>-247693.32999999996</v>
      </c>
      <c r="L25" s="461"/>
      <c r="M25" s="462">
        <f>M22+K25</f>
        <v>-975554.10788319807</v>
      </c>
    </row>
    <row r="26" spans="1:13">
      <c r="A26" s="514">
        <v>41316</v>
      </c>
      <c r="B26" s="483"/>
      <c r="C26" s="663">
        <v>573006.85</v>
      </c>
      <c r="D26" s="463"/>
      <c r="E26" s="895">
        <v>772468.05</v>
      </c>
      <c r="F26" s="463"/>
      <c r="G26" s="506">
        <f>C26-E26</f>
        <v>-199461.20000000007</v>
      </c>
      <c r="H26" s="462"/>
      <c r="I26" s="462"/>
      <c r="J26" s="463"/>
      <c r="K26" s="462">
        <f t="shared" si="3"/>
        <v>-199461.20000000007</v>
      </c>
      <c r="L26" s="462"/>
      <c r="M26" s="462">
        <f t="shared" ref="M26:M36" si="4">M25+K26</f>
        <v>-1175015.3078831981</v>
      </c>
    </row>
    <row r="27" spans="1:13">
      <c r="A27" s="514">
        <v>41344</v>
      </c>
      <c r="B27" s="483"/>
      <c r="C27" s="663">
        <v>724328.85</v>
      </c>
      <c r="D27" s="463"/>
      <c r="E27" s="895">
        <v>830765.07</v>
      </c>
      <c r="F27" s="463"/>
      <c r="G27" s="506">
        <f>C27-E27</f>
        <v>-106436.21999999997</v>
      </c>
      <c r="H27" s="463"/>
      <c r="I27" s="463"/>
      <c r="J27" s="463"/>
      <c r="K27" s="462">
        <f t="shared" si="3"/>
        <v>-106436.21999999997</v>
      </c>
      <c r="L27" s="462"/>
      <c r="M27" s="462">
        <f t="shared" si="4"/>
        <v>-1281451.5278831981</v>
      </c>
    </row>
    <row r="28" spans="1:13">
      <c r="A28" s="514">
        <v>41375</v>
      </c>
      <c r="B28" s="483"/>
      <c r="C28" s="663">
        <v>591717.18999999994</v>
      </c>
      <c r="D28" s="463"/>
      <c r="E28" s="895">
        <v>793293.88</v>
      </c>
      <c r="F28" s="463"/>
      <c r="G28" s="506">
        <f>C28-E28</f>
        <v>-201576.69000000006</v>
      </c>
      <c r="H28" s="463"/>
      <c r="I28" s="463"/>
      <c r="J28" s="463"/>
      <c r="K28" s="463">
        <f t="shared" si="3"/>
        <v>-201576.69000000006</v>
      </c>
      <c r="L28" s="462"/>
      <c r="M28" s="462">
        <f t="shared" si="4"/>
        <v>-1483028.2178831981</v>
      </c>
    </row>
    <row r="29" spans="1:13">
      <c r="A29" s="514">
        <v>41405</v>
      </c>
      <c r="B29" s="483"/>
      <c r="C29" s="663">
        <v>571818.81000000006</v>
      </c>
      <c r="D29" s="463"/>
      <c r="E29" s="895">
        <v>808438.42</v>
      </c>
      <c r="F29" s="463"/>
      <c r="G29" s="506">
        <f>C29-E29</f>
        <v>-236619.61</v>
      </c>
      <c r="H29" s="463"/>
      <c r="I29" s="463"/>
      <c r="J29" s="463"/>
      <c r="K29" s="463">
        <f t="shared" si="3"/>
        <v>-236619.61</v>
      </c>
      <c r="L29" s="463"/>
      <c r="M29" s="463">
        <f t="shared" si="4"/>
        <v>-1719647.8278831979</v>
      </c>
    </row>
    <row r="30" spans="1:13">
      <c r="A30" s="514">
        <v>41436</v>
      </c>
      <c r="B30" s="483"/>
      <c r="C30" s="463"/>
      <c r="D30" s="463"/>
      <c r="E30" s="942"/>
      <c r="F30" s="689"/>
      <c r="G30" s="689">
        <f t="shared" ref="G30:G36" si="5">C30-E30</f>
        <v>0</v>
      </c>
      <c r="H30" s="463"/>
      <c r="I30" s="463">
        <f t="shared" ref="I30:I36" si="6">ROUND($M$22/12,0)</f>
        <v>-60655</v>
      </c>
      <c r="J30" s="463"/>
      <c r="K30" s="463">
        <f t="shared" si="3"/>
        <v>60655</v>
      </c>
      <c r="L30" s="463"/>
      <c r="M30" s="463">
        <f t="shared" si="4"/>
        <v>-1658992.8278831979</v>
      </c>
    </row>
    <row r="31" spans="1:13">
      <c r="A31" s="514">
        <v>41466</v>
      </c>
      <c r="B31" s="483"/>
      <c r="C31" s="462"/>
      <c r="D31" s="462"/>
      <c r="E31" s="942"/>
      <c r="F31" s="943"/>
      <c r="G31" s="689">
        <f t="shared" si="5"/>
        <v>0</v>
      </c>
      <c r="H31" s="463"/>
      <c r="I31" s="463">
        <f t="shared" si="6"/>
        <v>-60655</v>
      </c>
      <c r="J31" s="463"/>
      <c r="K31" s="463">
        <f t="shared" si="3"/>
        <v>60655</v>
      </c>
      <c r="L31" s="462"/>
      <c r="M31" s="462">
        <f t="shared" si="4"/>
        <v>-1598337.8278831979</v>
      </c>
    </row>
    <row r="32" spans="1:13">
      <c r="A32" s="514">
        <v>41497</v>
      </c>
      <c r="B32" s="483"/>
      <c r="C32" s="462"/>
      <c r="D32" s="462"/>
      <c r="E32" s="942"/>
      <c r="F32" s="943"/>
      <c r="G32" s="689">
        <f t="shared" si="5"/>
        <v>0</v>
      </c>
      <c r="H32" s="463"/>
      <c r="I32" s="463">
        <f t="shared" si="6"/>
        <v>-60655</v>
      </c>
      <c r="J32" s="463"/>
      <c r="K32" s="463">
        <f t="shared" si="3"/>
        <v>60655</v>
      </c>
      <c r="L32" s="462"/>
      <c r="M32" s="462">
        <f t="shared" si="4"/>
        <v>-1537682.8278831979</v>
      </c>
    </row>
    <row r="33" spans="1:13">
      <c r="A33" s="514">
        <v>41528</v>
      </c>
      <c r="B33" s="483"/>
      <c r="C33" s="462"/>
      <c r="D33" s="462"/>
      <c r="E33" s="942"/>
      <c r="F33" s="943"/>
      <c r="G33" s="689">
        <f t="shared" si="5"/>
        <v>0</v>
      </c>
      <c r="H33" s="463"/>
      <c r="I33" s="463">
        <f t="shared" si="6"/>
        <v>-60655</v>
      </c>
      <c r="J33" s="463"/>
      <c r="K33" s="463">
        <f t="shared" si="3"/>
        <v>60655</v>
      </c>
      <c r="L33" s="462"/>
      <c r="M33" s="462">
        <f t="shared" si="4"/>
        <v>-1477027.8278831979</v>
      </c>
    </row>
    <row r="34" spans="1:13">
      <c r="A34" s="514">
        <v>41558</v>
      </c>
      <c r="B34" s="483"/>
      <c r="C34" s="462"/>
      <c r="D34" s="462"/>
      <c r="E34" s="942"/>
      <c r="F34" s="943"/>
      <c r="G34" s="689">
        <f t="shared" si="5"/>
        <v>0</v>
      </c>
      <c r="H34" s="463"/>
      <c r="I34" s="463">
        <f t="shared" si="6"/>
        <v>-60655</v>
      </c>
      <c r="J34" s="463"/>
      <c r="K34" s="463">
        <f t="shared" si="3"/>
        <v>60655</v>
      </c>
      <c r="L34" s="462"/>
      <c r="M34" s="462">
        <f t="shared" si="4"/>
        <v>-1416372.8278831979</v>
      </c>
    </row>
    <row r="35" spans="1:13">
      <c r="A35" s="514">
        <v>41589</v>
      </c>
      <c r="C35" s="462"/>
      <c r="D35" s="462"/>
      <c r="E35" s="942"/>
      <c r="F35" s="943"/>
      <c r="G35" s="689">
        <f t="shared" si="5"/>
        <v>0</v>
      </c>
      <c r="H35" s="463"/>
      <c r="I35" s="463">
        <f t="shared" si="6"/>
        <v>-60655</v>
      </c>
      <c r="J35" s="463"/>
      <c r="K35" s="463">
        <f t="shared" si="3"/>
        <v>60655</v>
      </c>
      <c r="L35" s="462"/>
      <c r="M35" s="462">
        <f t="shared" si="4"/>
        <v>-1355717.8278831979</v>
      </c>
    </row>
    <row r="36" spans="1:13">
      <c r="A36" s="514">
        <v>41619</v>
      </c>
      <c r="C36" s="688"/>
      <c r="D36" s="689"/>
      <c r="E36" s="688"/>
      <c r="F36" s="689"/>
      <c r="G36" s="690">
        <f t="shared" si="5"/>
        <v>0</v>
      </c>
      <c r="H36" s="463"/>
      <c r="I36" s="690">
        <f t="shared" si="6"/>
        <v>-60655</v>
      </c>
      <c r="J36" s="463"/>
      <c r="K36" s="464">
        <f t="shared" si="3"/>
        <v>60655</v>
      </c>
      <c r="L36" s="463"/>
      <c r="M36" s="461">
        <f t="shared" si="4"/>
        <v>-1295062.8278831979</v>
      </c>
    </row>
    <row r="37" spans="1:13" ht="15.75">
      <c r="A37" s="465" t="s">
        <v>17</v>
      </c>
      <c r="C37" s="461">
        <f>SUM(C25:C36)</f>
        <v>3088181.36</v>
      </c>
      <c r="D37" s="463"/>
      <c r="E37" s="461">
        <f>SUM(E25:E36)</f>
        <v>4079968.4099999997</v>
      </c>
      <c r="F37" s="463"/>
      <c r="G37" s="461">
        <f>SUM(G25:G36)</f>
        <v>-991787.05</v>
      </c>
      <c r="H37" s="463"/>
      <c r="I37" s="461">
        <f>SUM(I30:I36)</f>
        <v>-424585</v>
      </c>
      <c r="J37" s="661"/>
      <c r="K37" s="461">
        <f>SUM(K25:K36)</f>
        <v>-567202.05000000005</v>
      </c>
      <c r="L37" s="461"/>
      <c r="M37" s="461"/>
    </row>
    <row r="38" spans="1:13">
      <c r="A38" s="514"/>
      <c r="C38" s="462"/>
      <c r="D38" s="462"/>
      <c r="E38" s="462"/>
      <c r="F38" s="462"/>
      <c r="G38" s="462"/>
      <c r="H38" s="463"/>
      <c r="I38" s="463"/>
      <c r="J38" s="463"/>
      <c r="K38" s="463"/>
      <c r="L38" s="463"/>
      <c r="M38" s="463"/>
    </row>
    <row r="39" spans="1:13">
      <c r="A39" s="514">
        <v>41650</v>
      </c>
      <c r="C39" s="461"/>
      <c r="D39" s="461"/>
      <c r="E39" s="944"/>
      <c r="F39" s="901"/>
      <c r="G39" s="689">
        <f>C39-E39</f>
        <v>0</v>
      </c>
      <c r="H39" s="463"/>
      <c r="I39" s="463">
        <f>ROUND($M$22/12,0)</f>
        <v>-60655</v>
      </c>
      <c r="J39" s="661"/>
      <c r="K39" s="461">
        <f t="shared" ref="K39:K50" si="7">G39-I39</f>
        <v>60655</v>
      </c>
      <c r="L39" s="461"/>
      <c r="M39" s="461">
        <f>M36+K39</f>
        <v>-1234407.8278831979</v>
      </c>
    </row>
    <row r="40" spans="1:13">
      <c r="A40" s="514">
        <v>41681</v>
      </c>
      <c r="C40" s="462"/>
      <c r="D40" s="462"/>
      <c r="E40" s="942"/>
      <c r="F40" s="943"/>
      <c r="G40" s="689">
        <f>C40-E40</f>
        <v>0</v>
      </c>
      <c r="H40" s="463"/>
      <c r="I40" s="463">
        <f>ROUND($M$22/12,0)</f>
        <v>-60655</v>
      </c>
      <c r="J40" s="463"/>
      <c r="K40" s="462">
        <f t="shared" si="7"/>
        <v>60655</v>
      </c>
      <c r="L40" s="462"/>
      <c r="M40" s="462">
        <f t="shared" ref="M40:M50" si="8">M39+K40</f>
        <v>-1173752.8278831979</v>
      </c>
    </row>
    <row r="41" spans="1:13">
      <c r="A41" s="514">
        <v>41709</v>
      </c>
      <c r="C41" s="466"/>
      <c r="D41" s="462"/>
      <c r="E41" s="942"/>
      <c r="F41" s="943"/>
      <c r="G41" s="689">
        <f>C41-E41</f>
        <v>0</v>
      </c>
      <c r="H41" s="463"/>
      <c r="I41" s="463">
        <f>ROUND($M$22/12,0)</f>
        <v>-60655</v>
      </c>
      <c r="J41" s="463"/>
      <c r="K41" s="462">
        <f t="shared" si="7"/>
        <v>60655</v>
      </c>
      <c r="L41" s="462"/>
      <c r="M41" s="462">
        <f t="shared" si="8"/>
        <v>-1113097.8278831979</v>
      </c>
    </row>
    <row r="42" spans="1:13">
      <c r="A42" s="514">
        <v>41740</v>
      </c>
      <c r="C42" s="462"/>
      <c r="D42" s="462"/>
      <c r="E42" s="942"/>
      <c r="F42" s="943"/>
      <c r="G42" s="689">
        <f>C42-E42</f>
        <v>0</v>
      </c>
      <c r="H42" s="463"/>
      <c r="I42" s="463">
        <f>ROUND($M$22/12,0)</f>
        <v>-60655</v>
      </c>
      <c r="J42" s="463"/>
      <c r="K42" s="462">
        <f t="shared" si="7"/>
        <v>60655</v>
      </c>
      <c r="L42" s="462"/>
      <c r="M42" s="462">
        <f t="shared" si="8"/>
        <v>-1052442.8278831979</v>
      </c>
    </row>
    <row r="43" spans="1:13">
      <c r="A43" s="514">
        <v>41770</v>
      </c>
      <c r="B43" s="483"/>
      <c r="C43" s="463"/>
      <c r="D43" s="463"/>
      <c r="E43" s="942"/>
      <c r="F43" s="689"/>
      <c r="G43" s="689">
        <f>C43-E43</f>
        <v>0</v>
      </c>
      <c r="H43" s="463"/>
      <c r="I43" s="463">
        <f>ROUND($M$22/12,0)</f>
        <v>-60655</v>
      </c>
      <c r="J43" s="463"/>
      <c r="K43" s="462">
        <f t="shared" si="7"/>
        <v>60655</v>
      </c>
      <c r="L43" s="462"/>
      <c r="M43" s="462">
        <f t="shared" si="8"/>
        <v>-991787.82788319793</v>
      </c>
    </row>
    <row r="44" spans="1:13">
      <c r="A44" s="514">
        <v>41801</v>
      </c>
      <c r="B44" s="483"/>
      <c r="C44" s="463"/>
      <c r="D44" s="463"/>
      <c r="E44" s="689"/>
      <c r="F44" s="689"/>
      <c r="G44" s="689"/>
      <c r="H44" s="463"/>
      <c r="I44" s="463">
        <f t="shared" ref="I44:I50" si="9">ROUND($M$43/12,0)</f>
        <v>-82649</v>
      </c>
      <c r="J44" s="463"/>
      <c r="K44" s="462">
        <f t="shared" si="7"/>
        <v>82649</v>
      </c>
      <c r="L44" s="462"/>
      <c r="M44" s="462">
        <f t="shared" si="8"/>
        <v>-909138.82788319793</v>
      </c>
    </row>
    <row r="45" spans="1:13">
      <c r="A45" s="514">
        <v>41831</v>
      </c>
      <c r="B45" s="483"/>
      <c r="C45" s="463"/>
      <c r="D45" s="463"/>
      <c r="E45" s="463"/>
      <c r="F45" s="463"/>
      <c r="G45" s="463"/>
      <c r="H45" s="463"/>
      <c r="I45" s="463">
        <f t="shared" si="9"/>
        <v>-82649</v>
      </c>
      <c r="J45" s="463"/>
      <c r="K45" s="462">
        <f t="shared" si="7"/>
        <v>82649</v>
      </c>
      <c r="L45" s="462"/>
      <c r="M45" s="462">
        <f t="shared" si="8"/>
        <v>-826489.82788319793</v>
      </c>
    </row>
    <row r="46" spans="1:13">
      <c r="A46" s="514">
        <v>41862</v>
      </c>
      <c r="B46" s="483"/>
      <c r="C46" s="463"/>
      <c r="D46" s="463"/>
      <c r="E46" s="463"/>
      <c r="F46" s="463"/>
      <c r="G46" s="463"/>
      <c r="H46" s="463"/>
      <c r="I46" s="463">
        <f t="shared" si="9"/>
        <v>-82649</v>
      </c>
      <c r="J46" s="463"/>
      <c r="K46" s="462">
        <f t="shared" si="7"/>
        <v>82649</v>
      </c>
      <c r="L46" s="462"/>
      <c r="M46" s="462">
        <f t="shared" si="8"/>
        <v>-743840.82788319793</v>
      </c>
    </row>
    <row r="47" spans="1:13">
      <c r="A47" s="514">
        <v>41893</v>
      </c>
      <c r="B47" s="483"/>
      <c r="C47" s="463"/>
      <c r="D47" s="463"/>
      <c r="E47" s="463"/>
      <c r="F47" s="463"/>
      <c r="G47" s="463"/>
      <c r="H47" s="463"/>
      <c r="I47" s="463">
        <f t="shared" si="9"/>
        <v>-82649</v>
      </c>
      <c r="J47" s="463"/>
      <c r="K47" s="462">
        <f t="shared" si="7"/>
        <v>82649</v>
      </c>
      <c r="L47" s="462"/>
      <c r="M47" s="462">
        <f t="shared" si="8"/>
        <v>-661191.82788319793</v>
      </c>
    </row>
    <row r="48" spans="1:13">
      <c r="A48" s="514">
        <v>41923</v>
      </c>
      <c r="B48" s="483"/>
      <c r="C48" s="463"/>
      <c r="D48" s="463"/>
      <c r="E48" s="463"/>
      <c r="F48" s="463"/>
      <c r="G48" s="463"/>
      <c r="H48" s="463"/>
      <c r="I48" s="463">
        <f t="shared" si="9"/>
        <v>-82649</v>
      </c>
      <c r="J48" s="463"/>
      <c r="K48" s="462">
        <f t="shared" si="7"/>
        <v>82649</v>
      </c>
      <c r="L48" s="462"/>
      <c r="M48" s="462">
        <f t="shared" si="8"/>
        <v>-578542.82788319793</v>
      </c>
    </row>
    <row r="49" spans="1:13">
      <c r="A49" s="514">
        <v>41954</v>
      </c>
      <c r="B49" s="483"/>
      <c r="C49" s="463"/>
      <c r="D49" s="463"/>
      <c r="E49" s="463"/>
      <c r="F49" s="463"/>
      <c r="G49" s="463"/>
      <c r="H49" s="463"/>
      <c r="I49" s="463">
        <f t="shared" si="9"/>
        <v>-82649</v>
      </c>
      <c r="J49" s="463"/>
      <c r="K49" s="462">
        <f t="shared" si="7"/>
        <v>82649</v>
      </c>
      <c r="L49" s="462"/>
      <c r="M49" s="462">
        <f t="shared" si="8"/>
        <v>-495893.82788319793</v>
      </c>
    </row>
    <row r="50" spans="1:13">
      <c r="A50" s="514">
        <v>41984</v>
      </c>
      <c r="B50" s="483"/>
      <c r="C50" s="690"/>
      <c r="D50" s="463"/>
      <c r="E50" s="690"/>
      <c r="F50" s="463"/>
      <c r="G50" s="690"/>
      <c r="H50" s="463"/>
      <c r="I50" s="690">
        <f t="shared" si="9"/>
        <v>-82649</v>
      </c>
      <c r="J50" s="463"/>
      <c r="K50" s="464">
        <f t="shared" si="7"/>
        <v>82649</v>
      </c>
      <c r="L50" s="463"/>
      <c r="M50" s="461">
        <f t="shared" si="8"/>
        <v>-413244.82788319793</v>
      </c>
    </row>
    <row r="51" spans="1:13" ht="15.75">
      <c r="A51" s="465" t="s">
        <v>17</v>
      </c>
      <c r="B51" s="483"/>
      <c r="C51" s="461">
        <f>SUM(C39:C50)</f>
        <v>0</v>
      </c>
      <c r="D51" s="463"/>
      <c r="E51" s="461">
        <f>SUM(E39:E50)</f>
        <v>0</v>
      </c>
      <c r="F51" s="463"/>
      <c r="G51" s="461">
        <f>SUM(G39:G50)</f>
        <v>0</v>
      </c>
      <c r="H51" s="463"/>
      <c r="I51" s="901">
        <f>SUM(I39:I50)</f>
        <v>-881818</v>
      </c>
      <c r="J51" s="661"/>
      <c r="K51" s="461">
        <f>SUM(K39:K50)</f>
        <v>881818</v>
      </c>
      <c r="L51" s="461"/>
      <c r="M51" s="461"/>
    </row>
    <row r="52" spans="1:13">
      <c r="A52" s="514"/>
      <c r="B52" s="483"/>
      <c r="C52" s="463"/>
      <c r="D52" s="463"/>
      <c r="E52" s="463"/>
      <c r="F52" s="463"/>
      <c r="G52" s="463"/>
      <c r="H52" s="463"/>
      <c r="I52" s="689"/>
      <c r="J52" s="463"/>
      <c r="K52" s="463"/>
      <c r="L52" s="463"/>
      <c r="M52" s="463"/>
    </row>
    <row r="53" spans="1:13">
      <c r="A53" s="514">
        <v>42015</v>
      </c>
      <c r="B53" s="483"/>
      <c r="C53" s="463"/>
      <c r="D53" s="463"/>
      <c r="E53" s="463"/>
      <c r="F53" s="463"/>
      <c r="G53" s="463"/>
      <c r="H53" s="463"/>
      <c r="I53" s="463">
        <f>ROUND($M$43/12,0)</f>
        <v>-82649</v>
      </c>
      <c r="J53" s="661"/>
      <c r="K53" s="461">
        <f>G53-I53</f>
        <v>82649</v>
      </c>
      <c r="L53" s="461"/>
      <c r="M53" s="461">
        <f>M50+K53</f>
        <v>-330595.82788319793</v>
      </c>
    </row>
    <row r="54" spans="1:13">
      <c r="A54" s="514">
        <v>42046</v>
      </c>
      <c r="B54" s="483"/>
      <c r="C54" s="463"/>
      <c r="D54" s="463"/>
      <c r="E54" s="463"/>
      <c r="F54" s="463"/>
      <c r="G54" s="463"/>
      <c r="H54" s="463"/>
      <c r="I54" s="463">
        <f>ROUND($M$43/12,0)</f>
        <v>-82649</v>
      </c>
      <c r="J54" s="463"/>
      <c r="K54" s="462">
        <f>G54-I54</f>
        <v>82649</v>
      </c>
      <c r="L54" s="462"/>
      <c r="M54" s="462">
        <f>M53+K54</f>
        <v>-247946.82788319793</v>
      </c>
    </row>
    <row r="55" spans="1:13">
      <c r="A55" s="514">
        <v>42074</v>
      </c>
      <c r="B55" s="483"/>
      <c r="C55" s="463"/>
      <c r="D55" s="463"/>
      <c r="E55" s="463"/>
      <c r="F55" s="463"/>
      <c r="G55" s="463"/>
      <c r="H55" s="463"/>
      <c r="I55" s="463">
        <f>ROUND($M$43/12,0)</f>
        <v>-82649</v>
      </c>
      <c r="J55" s="463"/>
      <c r="K55" s="462">
        <f>G55-I55</f>
        <v>82649</v>
      </c>
      <c r="L55" s="462"/>
      <c r="M55" s="462">
        <f>M54+K55</f>
        <v>-165297.82788319793</v>
      </c>
    </row>
    <row r="56" spans="1:13">
      <c r="A56" s="514">
        <v>42105</v>
      </c>
      <c r="B56" s="483"/>
      <c r="C56" s="463"/>
      <c r="D56" s="463"/>
      <c r="E56" s="463"/>
      <c r="F56" s="463"/>
      <c r="G56" s="463"/>
      <c r="H56" s="463"/>
      <c r="I56" s="463">
        <f>ROUND($M$43/12,0)</f>
        <v>-82649</v>
      </c>
      <c r="J56" s="463"/>
      <c r="K56" s="462">
        <f>G56-I56</f>
        <v>82649</v>
      </c>
      <c r="L56" s="462"/>
      <c r="M56" s="462">
        <f>M55+K56</f>
        <v>-82648.827883197926</v>
      </c>
    </row>
    <row r="57" spans="1:13">
      <c r="A57" s="514">
        <v>42135</v>
      </c>
      <c r="B57" s="483"/>
      <c r="C57" s="463"/>
      <c r="D57" s="463"/>
      <c r="E57" s="463"/>
      <c r="F57" s="463"/>
      <c r="G57" s="463"/>
      <c r="H57" s="463"/>
      <c r="I57" s="690">
        <f>ROUND($M$43/12,0)</f>
        <v>-82649</v>
      </c>
      <c r="J57" s="463"/>
      <c r="K57" s="464">
        <f>G57-I57</f>
        <v>82649</v>
      </c>
      <c r="L57" s="463"/>
      <c r="M57" s="461">
        <f>M56+K57</f>
        <v>0.17211680207401514</v>
      </c>
    </row>
    <row r="58" spans="1:13" ht="15.75">
      <c r="A58" s="465" t="s">
        <v>17</v>
      </c>
      <c r="C58" s="461"/>
      <c r="D58" s="461"/>
      <c r="E58" s="461"/>
      <c r="F58" s="461"/>
      <c r="G58" s="461"/>
      <c r="H58" s="461"/>
      <c r="I58" s="901">
        <f>SUM(I53:I57)</f>
        <v>-413245</v>
      </c>
      <c r="J58" s="661"/>
      <c r="K58" s="461">
        <f>SUM(K53:K57)</f>
        <v>413245</v>
      </c>
      <c r="L58" s="461"/>
      <c r="M58" s="461"/>
    </row>
    <row r="59" spans="1:13" ht="15.75">
      <c r="A59" s="465"/>
    </row>
    <row r="60" spans="1:13">
      <c r="A60" s="423" t="s">
        <v>196</v>
      </c>
    </row>
    <row r="62" spans="1:13">
      <c r="A62" s="515" t="s">
        <v>520</v>
      </c>
      <c r="C62" s="859" t="s">
        <v>761</v>
      </c>
    </row>
    <row r="63" spans="1:13">
      <c r="A63" s="515" t="s">
        <v>521</v>
      </c>
      <c r="C63" s="859" t="s">
        <v>526</v>
      </c>
    </row>
    <row r="64" spans="1:13">
      <c r="A64" s="515" t="s">
        <v>522</v>
      </c>
      <c r="C64" s="859" t="s">
        <v>523</v>
      </c>
    </row>
    <row r="65" spans="3:3">
      <c r="C65" s="858" t="s">
        <v>629</v>
      </c>
    </row>
    <row r="66" spans="3:3">
      <c r="C66" s="860" t="s">
        <v>630</v>
      </c>
    </row>
  </sheetData>
  <mergeCells count="2">
    <mergeCell ref="A1:M1"/>
    <mergeCell ref="A3:M3"/>
  </mergeCells>
  <printOptions horizontalCentered="1"/>
  <pageMargins left="0.45" right="0.45" top="0.75" bottom="0.5" header="0.3" footer="0.3"/>
  <pageSetup scale="51" orientation="landscape" r:id="rId1"/>
  <headerFooter>
    <oddHeader>&amp;RAttachment H-22A
Appendix E
Workpaper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1" tint="4.9989318521683403E-2"/>
    <pageSetUpPr fitToPage="1"/>
  </sheetPr>
  <dimension ref="A1:H45"/>
  <sheetViews>
    <sheetView zoomScale="80" zoomScaleNormal="80" workbookViewId="0">
      <selection sqref="A1:F45"/>
    </sheetView>
  </sheetViews>
  <sheetFormatPr defaultColWidth="16.21875" defaultRowHeight="12.75"/>
  <cols>
    <col min="1" max="1" width="2.109375" style="102" customWidth="1"/>
    <col min="2" max="2" width="42.21875" style="102" customWidth="1"/>
    <col min="3" max="3" width="8.44140625" style="102" customWidth="1"/>
    <col min="4" max="6" width="16.21875" style="102"/>
    <col min="7" max="7" width="3.44140625" style="102" customWidth="1"/>
    <col min="8" max="8" width="7.44140625" style="102" customWidth="1"/>
    <col min="9" max="16384" width="16.21875" style="102"/>
  </cols>
  <sheetData>
    <row r="1" spans="1:8" s="99" customFormat="1" ht="18">
      <c r="A1" s="128" t="s">
        <v>524</v>
      </c>
      <c r="B1" s="128"/>
      <c r="C1" s="128"/>
      <c r="D1" s="101"/>
      <c r="E1" s="101"/>
      <c r="F1" s="101"/>
      <c r="G1" s="92"/>
    </row>
    <row r="2" spans="1:8" s="99" customFormat="1" ht="18">
      <c r="A2" s="128"/>
      <c r="B2" s="128"/>
      <c r="C2" s="128"/>
      <c r="D2" s="101"/>
      <c r="E2" s="101"/>
      <c r="F2" s="101"/>
      <c r="G2" s="92"/>
    </row>
    <row r="3" spans="1:8" s="99" customFormat="1" ht="18">
      <c r="A3" s="128"/>
      <c r="B3" s="128"/>
      <c r="C3" s="128"/>
      <c r="D3" s="101"/>
      <c r="E3" s="101"/>
      <c r="F3" s="92" t="s">
        <v>542</v>
      </c>
      <c r="G3" s="92"/>
    </row>
    <row r="4" spans="1:8" s="99" customFormat="1" ht="15.75">
      <c r="A4" s="116"/>
      <c r="B4" s="116"/>
      <c r="C4" s="116"/>
      <c r="D4" s="117"/>
      <c r="F4" s="92" t="str">
        <f>"Page 1 of "&amp;Workpaper</f>
        <v>Page 1 of 11</v>
      </c>
      <c r="G4" s="92"/>
    </row>
    <row r="5" spans="1:8" s="99" customFormat="1" ht="15.75">
      <c r="A5" s="116"/>
      <c r="B5" s="116"/>
      <c r="C5" s="116"/>
      <c r="D5" s="117"/>
      <c r="F5" s="92" t="str">
        <f>'DE Ohio &amp; Kentucky'!$J$125</f>
        <v>For the 12 months ended: 12/31/2016</v>
      </c>
      <c r="G5" s="92"/>
    </row>
    <row r="6" spans="1:8" s="99" customFormat="1" ht="15.75">
      <c r="A6" s="116"/>
      <c r="B6" s="116"/>
      <c r="C6" s="116"/>
      <c r="D6" s="117"/>
      <c r="F6" s="92"/>
      <c r="G6" s="92"/>
    </row>
    <row r="7" spans="1:8" s="99" customFormat="1" ht="15.75">
      <c r="A7" s="913" t="s">
        <v>707</v>
      </c>
      <c r="B7" s="913"/>
      <c r="C7" s="913"/>
      <c r="D7" s="914"/>
      <c r="E7" s="914"/>
      <c r="F7" s="914"/>
      <c r="G7" s="92"/>
      <c r="H7" s="304"/>
    </row>
    <row r="8" spans="1:8" s="99" customFormat="1" ht="15.75">
      <c r="A8" s="913" t="s">
        <v>786</v>
      </c>
      <c r="B8" s="913"/>
      <c r="C8" s="913"/>
      <c r="D8" s="914"/>
      <c r="E8" s="914"/>
      <c r="F8" s="914"/>
      <c r="G8" s="92"/>
    </row>
    <row r="9" spans="1:8" s="99" customFormat="1" ht="15">
      <c r="A9" s="105"/>
      <c r="B9" s="105"/>
      <c r="C9" s="105"/>
      <c r="D9" s="105"/>
      <c r="E9" s="105"/>
      <c r="F9" s="105"/>
      <c r="G9" s="92"/>
    </row>
    <row r="10" spans="1:8" s="99" customFormat="1" ht="15.75">
      <c r="A10" s="119"/>
      <c r="B10" s="119"/>
      <c r="C10" s="119"/>
      <c r="D10" s="118"/>
      <c r="E10" s="118"/>
      <c r="F10" s="118"/>
      <c r="G10" s="118"/>
    </row>
    <row r="11" spans="1:8" s="99" customFormat="1" ht="15.75" thickBot="1">
      <c r="A11" s="118"/>
      <c r="B11" s="118"/>
      <c r="C11" s="118"/>
      <c r="D11" s="121"/>
      <c r="E11" s="121"/>
      <c r="F11" s="121"/>
      <c r="G11" s="121"/>
    </row>
    <row r="12" spans="1:8" s="99" customFormat="1" ht="21" thickBot="1">
      <c r="B12" s="752" t="s">
        <v>260</v>
      </c>
      <c r="C12" s="213"/>
      <c r="D12" s="122" t="s">
        <v>217</v>
      </c>
      <c r="E12" s="122" t="s">
        <v>218</v>
      </c>
      <c r="F12" s="122" t="s">
        <v>541</v>
      </c>
      <c r="G12" s="122"/>
    </row>
    <row r="13" spans="1:8" s="99" customFormat="1" ht="20.25">
      <c r="A13" s="118"/>
      <c r="B13" s="118"/>
      <c r="C13" s="118"/>
      <c r="D13" s="691"/>
      <c r="E13" s="215"/>
      <c r="F13" s="122"/>
      <c r="G13" s="122"/>
    </row>
    <row r="14" spans="1:8" s="99" customFormat="1" ht="15">
      <c r="A14" s="916" t="s">
        <v>708</v>
      </c>
      <c r="B14" s="123"/>
      <c r="D14" s="692">
        <f>60718211+1900512</f>
        <v>62618723</v>
      </c>
      <c r="E14" s="692">
        <f>26526493+2004245</f>
        <v>28530738</v>
      </c>
      <c r="F14" s="409">
        <f>E14+D14</f>
        <v>91149461</v>
      </c>
      <c r="G14" s="409"/>
    </row>
    <row r="15" spans="1:8" s="99" customFormat="1" ht="15">
      <c r="A15" s="124"/>
      <c r="B15" s="124"/>
      <c r="C15" s="124"/>
      <c r="D15" s="693"/>
      <c r="E15" s="693"/>
      <c r="F15" s="212"/>
      <c r="G15" s="212"/>
    </row>
    <row r="16" spans="1:8" s="99" customFormat="1" ht="15.75">
      <c r="A16" s="124" t="s">
        <v>664</v>
      </c>
      <c r="B16" s="124"/>
      <c r="C16" s="124"/>
      <c r="D16" s="693"/>
      <c r="E16" s="693"/>
      <c r="F16" s="212"/>
      <c r="G16" s="212"/>
    </row>
    <row r="17" spans="1:7" s="99" customFormat="1" ht="15">
      <c r="A17" s="124"/>
      <c r="B17" s="124" t="s">
        <v>773</v>
      </c>
      <c r="C17" s="124"/>
      <c r="D17" s="1028">
        <f>4437734-1139</f>
        <v>4436595</v>
      </c>
      <c r="E17" s="1028">
        <v>1399344</v>
      </c>
      <c r="F17" s="409">
        <f>E17+D17</f>
        <v>5835939</v>
      </c>
      <c r="G17" s="212"/>
    </row>
    <row r="18" spans="1:7" s="99" customFormat="1" ht="15">
      <c r="A18" s="124"/>
      <c r="B18" s="124" t="s">
        <v>774</v>
      </c>
      <c r="C18" s="124"/>
      <c r="D18" s="1028">
        <v>475055</v>
      </c>
      <c r="E18" s="1028">
        <v>37601</v>
      </c>
      <c r="F18" s="409">
        <f>E18+D18</f>
        <v>512656</v>
      </c>
      <c r="G18" s="212"/>
    </row>
    <row r="19" spans="1:7" s="99" customFormat="1" ht="17.25">
      <c r="B19" s="124" t="s">
        <v>775</v>
      </c>
      <c r="C19" s="686"/>
      <c r="D19" s="710">
        <v>122791</v>
      </c>
      <c r="E19" s="710">
        <v>0</v>
      </c>
      <c r="F19" s="129">
        <f>E19+D19</f>
        <v>122791</v>
      </c>
      <c r="G19" s="409"/>
    </row>
    <row r="20" spans="1:7" s="99" customFormat="1" ht="15">
      <c r="A20" s="124"/>
      <c r="B20" s="124"/>
      <c r="C20" s="124"/>
      <c r="D20" s="217"/>
      <c r="E20" s="217"/>
      <c r="F20" s="118"/>
      <c r="G20" s="118"/>
    </row>
    <row r="21" spans="1:7" s="99" customFormat="1" ht="19.5" customHeight="1">
      <c r="A21" s="921" t="s">
        <v>754</v>
      </c>
      <c r="B21" s="130"/>
      <c r="C21" s="130"/>
      <c r="D21" s="572">
        <f>D14-D17-D18-D19</f>
        <v>57584282</v>
      </c>
      <c r="E21" s="572">
        <f>E14-E17-E18-E19</f>
        <v>27093793</v>
      </c>
      <c r="F21" s="572">
        <f>F14-F17-F18-F19</f>
        <v>84678075</v>
      </c>
      <c r="G21" s="127"/>
    </row>
    <row r="22" spans="1:7" s="99" customFormat="1">
      <c r="A22" s="100"/>
      <c r="B22" s="100"/>
      <c r="C22" s="100"/>
      <c r="D22" s="573" t="s">
        <v>776</v>
      </c>
      <c r="E22" s="573"/>
      <c r="F22" s="114"/>
      <c r="G22" s="114"/>
    </row>
    <row r="23" spans="1:7">
      <c r="A23" s="103"/>
      <c r="B23" s="103"/>
      <c r="C23" s="103"/>
      <c r="D23" s="574"/>
      <c r="E23" s="574"/>
      <c r="F23" s="104"/>
      <c r="G23" s="104"/>
    </row>
    <row r="24" spans="1:7" ht="13.5" thickBot="1">
      <c r="D24" s="209"/>
      <c r="E24" s="209"/>
    </row>
    <row r="25" spans="1:7" s="99" customFormat="1" ht="21" thickBot="1">
      <c r="B25" s="752" t="s">
        <v>259</v>
      </c>
      <c r="C25" s="213"/>
      <c r="D25" s="215" t="s">
        <v>217</v>
      </c>
      <c r="E25" s="215" t="s">
        <v>218</v>
      </c>
      <c r="F25" s="122" t="s">
        <v>541</v>
      </c>
      <c r="G25" s="122"/>
    </row>
    <row r="26" spans="1:7" s="99" customFormat="1" ht="20.25">
      <c r="A26" s="118"/>
      <c r="B26" s="118"/>
      <c r="C26" s="118"/>
      <c r="D26" s="691"/>
      <c r="E26" s="215"/>
      <c r="F26" s="122"/>
      <c r="G26" s="122"/>
    </row>
    <row r="27" spans="1:7" s="99" customFormat="1" ht="15">
      <c r="A27" s="123" t="s">
        <v>673</v>
      </c>
      <c r="B27" s="123"/>
      <c r="D27" s="1029">
        <f>725561975+23229572</f>
        <v>748791547</v>
      </c>
      <c r="E27" s="1029">
        <f>189199531+51881082</f>
        <v>241080613</v>
      </c>
      <c r="F27" s="409">
        <f>E27+D27</f>
        <v>989872160</v>
      </c>
      <c r="G27" s="409"/>
    </row>
    <row r="28" spans="1:7" s="99" customFormat="1" ht="15">
      <c r="A28" s="124"/>
      <c r="B28" s="124"/>
      <c r="C28" s="124"/>
      <c r="D28" s="693"/>
      <c r="E28" s="693"/>
      <c r="F28" s="212"/>
      <c r="G28" s="212"/>
    </row>
    <row r="29" spans="1:7" s="99" customFormat="1" ht="15.75">
      <c r="A29" s="124" t="s">
        <v>665</v>
      </c>
      <c r="B29" s="124"/>
      <c r="C29" s="124"/>
      <c r="D29" s="693"/>
      <c r="E29" s="693"/>
      <c r="F29" s="212"/>
      <c r="G29" s="212"/>
    </row>
    <row r="30" spans="1:7" s="99" customFormat="1" ht="15">
      <c r="A30" s="124"/>
      <c r="B30" s="124" t="s">
        <v>774</v>
      </c>
      <c r="C30" s="124"/>
      <c r="D30" s="967">
        <f>2061837+64395687-11750134</f>
        <v>54707390</v>
      </c>
      <c r="E30" s="967">
        <f>573086+3306221-1211088</f>
        <v>2668219</v>
      </c>
      <c r="F30" s="936">
        <f>E30+D30</f>
        <v>57375609</v>
      </c>
      <c r="G30" s="212"/>
    </row>
    <row r="31" spans="1:7" s="99" customFormat="1" ht="17.25">
      <c r="B31" s="124" t="s">
        <v>775</v>
      </c>
      <c r="C31" s="686"/>
      <c r="D31" s="710">
        <v>582285</v>
      </c>
      <c r="E31" s="710">
        <v>-3708606</v>
      </c>
      <c r="F31" s="129">
        <f>E31+D31</f>
        <v>-3126321</v>
      </c>
      <c r="G31" s="409"/>
    </row>
    <row r="32" spans="1:7" s="99" customFormat="1" ht="15">
      <c r="A32" s="124"/>
      <c r="B32" s="124"/>
      <c r="C32" s="124"/>
      <c r="D32" s="118"/>
      <c r="E32" s="118"/>
      <c r="F32" s="118"/>
      <c r="G32" s="118"/>
    </row>
    <row r="33" spans="1:7" s="99" customFormat="1" ht="19.5" customHeight="1">
      <c r="A33" s="921" t="s">
        <v>755</v>
      </c>
      <c r="B33" s="130"/>
      <c r="C33" s="130"/>
      <c r="D33" s="572">
        <f>D27-D30-D31</f>
        <v>693501872</v>
      </c>
      <c r="E33" s="572">
        <f>E27-E30-E31</f>
        <v>242121000</v>
      </c>
      <c r="F33" s="572">
        <f>F27-F30-F31</f>
        <v>935622872</v>
      </c>
      <c r="G33" s="127"/>
    </row>
    <row r="36" spans="1:7" ht="13.5" thickBot="1"/>
    <row r="37" spans="1:7" ht="21" thickBot="1">
      <c r="A37" s="99"/>
      <c r="B37" s="752" t="s">
        <v>772</v>
      </c>
      <c r="C37" s="213"/>
      <c r="D37" s="215" t="s">
        <v>217</v>
      </c>
      <c r="E37" s="215" t="s">
        <v>218</v>
      </c>
      <c r="F37" s="122" t="s">
        <v>541</v>
      </c>
    </row>
    <row r="38" spans="1:7" ht="20.25">
      <c r="A38" s="118"/>
      <c r="B38" s="118"/>
      <c r="C38" s="118"/>
      <c r="D38" s="691"/>
      <c r="E38" s="215"/>
      <c r="F38" s="122"/>
    </row>
    <row r="39" spans="1:7" ht="15">
      <c r="A39" s="123" t="s">
        <v>777</v>
      </c>
      <c r="B39" s="123"/>
      <c r="C39" s="99"/>
      <c r="D39" s="1029">
        <f>48083531-1189009</f>
        <v>46894522</v>
      </c>
      <c r="E39" s="1029">
        <f>19381034-32916</f>
        <v>19348118</v>
      </c>
      <c r="F39" s="409">
        <f>E39+D39</f>
        <v>66242640</v>
      </c>
    </row>
    <row r="40" spans="1:7" ht="15">
      <c r="A40" s="124"/>
      <c r="B40" s="124"/>
      <c r="C40" s="124"/>
      <c r="D40" s="693"/>
      <c r="E40" s="693"/>
      <c r="F40" s="212"/>
    </row>
    <row r="41" spans="1:7" ht="15.75">
      <c r="A41" s="124" t="s">
        <v>665</v>
      </c>
      <c r="B41" s="124"/>
      <c r="C41" s="124"/>
      <c r="D41" s="693"/>
      <c r="E41" s="693"/>
      <c r="F41" s="212"/>
    </row>
    <row r="42" spans="1:7" ht="15">
      <c r="A42" s="124"/>
      <c r="B42" s="124" t="s">
        <v>773</v>
      </c>
      <c r="C42" s="124"/>
      <c r="D42" s="967">
        <v>3320242</v>
      </c>
      <c r="E42" s="693"/>
      <c r="F42" s="936">
        <f>E42+D42</f>
        <v>3320242</v>
      </c>
    </row>
    <row r="43" spans="1:7" ht="17.25">
      <c r="A43" s="99"/>
      <c r="B43" s="124" t="s">
        <v>775</v>
      </c>
      <c r="C43" s="686"/>
      <c r="D43" s="710">
        <v>0</v>
      </c>
      <c r="E43" s="710">
        <v>7810</v>
      </c>
      <c r="F43" s="129">
        <f>E43+D43</f>
        <v>7810</v>
      </c>
    </row>
    <row r="44" spans="1:7" ht="15">
      <c r="A44" s="124"/>
      <c r="B44" s="124"/>
      <c r="C44" s="124"/>
      <c r="D44" s="118"/>
      <c r="E44" s="118"/>
      <c r="F44" s="118"/>
    </row>
    <row r="45" spans="1:7" ht="17.25">
      <c r="A45" s="921" t="s">
        <v>755</v>
      </c>
      <c r="B45" s="130"/>
      <c r="C45" s="130"/>
      <c r="D45" s="572">
        <f>D39-D42-D43</f>
        <v>43574280</v>
      </c>
      <c r="E45" s="572">
        <f>E39-E42-E43</f>
        <v>19340308</v>
      </c>
      <c r="F45" s="572">
        <f>F39-F42-F43</f>
        <v>62914588</v>
      </c>
    </row>
  </sheetData>
  <phoneticPr fontId="0" type="noConversion"/>
  <printOptions horizontalCentered="1"/>
  <pageMargins left="0.75" right="0.75" top="0.75" bottom="0.5" header="0.25" footer="0.25"/>
  <pageSetup scale="74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F235"/>
  <sheetViews>
    <sheetView zoomScale="89" zoomScaleNormal="89" workbookViewId="0">
      <pane xSplit="5" ySplit="6" topLeftCell="F7" activePane="bottomRight" state="frozen"/>
      <selection activeCell="C169" sqref="C169"/>
      <selection pane="topRight" activeCell="C169" sqref="C169"/>
      <selection pane="bottomLeft" activeCell="C169" sqref="C169"/>
      <selection pane="bottomRight" activeCell="K15" sqref="K15"/>
    </sheetView>
  </sheetViews>
  <sheetFormatPr defaultColWidth="8.77734375" defaultRowHeight="12.75"/>
  <cols>
    <col min="1" max="1" width="36.44140625" style="613" customWidth="1"/>
    <col min="2" max="2" width="21" style="613" customWidth="1"/>
    <col min="3" max="3" width="15.21875" style="613" customWidth="1"/>
    <col min="4" max="4" width="15.33203125" style="613" customWidth="1"/>
    <col min="5" max="5" width="15.21875" style="613" customWidth="1"/>
    <col min="6" max="6" width="2.44140625" style="613" customWidth="1"/>
    <col min="7" max="16384" width="8.77734375" style="613"/>
  </cols>
  <sheetData>
    <row r="1" spans="1:5" ht="15.75">
      <c r="A1" s="609" t="s">
        <v>658</v>
      </c>
      <c r="B1" s="938">
        <v>42735</v>
      </c>
      <c r="C1" s="612"/>
      <c r="D1" s="658" t="s">
        <v>672</v>
      </c>
      <c r="E1" s="735">
        <v>11</v>
      </c>
    </row>
    <row r="2" spans="1:5" ht="15.75">
      <c r="A2" s="610" t="s">
        <v>659</v>
      </c>
      <c r="B2" s="939">
        <f>EDATE(B1,5)+1</f>
        <v>42887</v>
      </c>
    </row>
    <row r="3" spans="1:5" ht="16.5" thickBot="1">
      <c r="A3" s="608"/>
      <c r="B3" s="614"/>
    </row>
    <row r="4" spans="1:5" ht="13.5" thickBot="1">
      <c r="A4" s="583"/>
      <c r="C4" s="615" t="s">
        <v>815</v>
      </c>
      <c r="D4" s="616"/>
      <c r="E4" s="617"/>
    </row>
    <row r="5" spans="1:5">
      <c r="A5" s="583"/>
      <c r="B5" s="618" t="s">
        <v>29</v>
      </c>
      <c r="C5" s="619"/>
      <c r="D5" s="619"/>
    </row>
    <row r="6" spans="1:5" ht="13.5" thickBot="1">
      <c r="A6" s="620" t="s">
        <v>656</v>
      </c>
      <c r="B6" s="621" t="s">
        <v>31</v>
      </c>
      <c r="C6" s="584" t="s">
        <v>217</v>
      </c>
      <c r="D6" s="584" t="s">
        <v>218</v>
      </c>
      <c r="E6" s="584" t="s">
        <v>541</v>
      </c>
    </row>
    <row r="7" spans="1:5">
      <c r="A7" s="583"/>
      <c r="B7" s="622"/>
      <c r="C7" s="622"/>
      <c r="D7" s="622"/>
    </row>
    <row r="8" spans="1:5">
      <c r="A8" s="578" t="s">
        <v>34</v>
      </c>
      <c r="B8" s="622"/>
      <c r="C8" s="622"/>
      <c r="D8" s="622"/>
    </row>
    <row r="9" spans="1:5">
      <c r="A9" s="583" t="s">
        <v>35</v>
      </c>
      <c r="B9" s="622" t="s">
        <v>219</v>
      </c>
      <c r="C9" s="1014">
        <v>0</v>
      </c>
      <c r="D9" s="1014">
        <v>1039170801</v>
      </c>
      <c r="E9" s="669">
        <f t="shared" ref="E9:E14" si="0">D9+C9</f>
        <v>1039170801</v>
      </c>
    </row>
    <row r="10" spans="1:5">
      <c r="A10" s="583" t="s">
        <v>37</v>
      </c>
      <c r="B10" s="622" t="s">
        <v>204</v>
      </c>
      <c r="C10" s="640">
        <v>772979082</v>
      </c>
      <c r="D10" s="640">
        <v>55492167</v>
      </c>
      <c r="E10" s="670">
        <f t="shared" si="0"/>
        <v>828471249</v>
      </c>
    </row>
    <row r="11" spans="1:5">
      <c r="A11" s="583" t="s">
        <v>38</v>
      </c>
      <c r="B11" s="622" t="s">
        <v>205</v>
      </c>
      <c r="C11" s="640">
        <v>2389088376</v>
      </c>
      <c r="D11" s="640">
        <v>426635808</v>
      </c>
      <c r="E11" s="670">
        <f t="shared" si="0"/>
        <v>2815724184</v>
      </c>
    </row>
    <row r="12" spans="1:5">
      <c r="A12" s="583" t="s">
        <v>39</v>
      </c>
      <c r="B12" s="622" t="s">
        <v>0</v>
      </c>
      <c r="C12" s="640">
        <f>48958111+202691401</f>
        <v>251649512</v>
      </c>
      <c r="D12" s="640">
        <f>12343216+7872056</f>
        <v>20215272</v>
      </c>
      <c r="E12" s="670">
        <f t="shared" si="0"/>
        <v>271864784</v>
      </c>
    </row>
    <row r="13" spans="1:5" ht="13.5" thickBot="1">
      <c r="A13" s="604" t="s">
        <v>41</v>
      </c>
      <c r="B13" s="926" t="s">
        <v>744</v>
      </c>
      <c r="C13" s="1015">
        <f>ROUND(344537671*0.6237,0)</f>
        <v>214888145</v>
      </c>
      <c r="D13" s="1015">
        <f>ROUND(42694437*0.7238,0)</f>
        <v>30902234</v>
      </c>
      <c r="E13" s="711">
        <f t="shared" si="0"/>
        <v>245790379</v>
      </c>
    </row>
    <row r="14" spans="1:5">
      <c r="A14" s="583" t="s">
        <v>649</v>
      </c>
      <c r="B14" s="622"/>
      <c r="C14" s="624">
        <f>SUM(C9:C13)</f>
        <v>3628605115</v>
      </c>
      <c r="D14" s="624">
        <f>SUM(D9:D13)</f>
        <v>1572416282</v>
      </c>
      <c r="E14" s="669">
        <f t="shared" si="0"/>
        <v>5201021397</v>
      </c>
    </row>
    <row r="15" spans="1:5">
      <c r="A15" s="583"/>
      <c r="B15" s="622"/>
      <c r="C15" s="587"/>
      <c r="D15" s="587"/>
      <c r="E15" s="670"/>
    </row>
    <row r="16" spans="1:5">
      <c r="A16" s="578" t="s">
        <v>45</v>
      </c>
      <c r="B16" s="622"/>
      <c r="C16" s="587"/>
      <c r="D16" s="587"/>
      <c r="E16" s="670"/>
    </row>
    <row r="17" spans="1:5">
      <c r="A17" s="583" t="str">
        <f>A9</f>
        <v xml:space="preserve">  Production</v>
      </c>
      <c r="B17" s="622" t="s">
        <v>197</v>
      </c>
      <c r="C17" s="1014">
        <v>0</v>
      </c>
      <c r="D17" s="1014">
        <f>456971488+166311507</f>
        <v>623282995</v>
      </c>
      <c r="E17" s="669">
        <f t="shared" ref="E17:E22" si="1">D17+C17</f>
        <v>623282995</v>
      </c>
    </row>
    <row r="18" spans="1:5">
      <c r="A18" s="583" t="str">
        <f>A10</f>
        <v xml:space="preserve">  Transmission</v>
      </c>
      <c r="B18" s="622" t="s">
        <v>185</v>
      </c>
      <c r="C18" s="640">
        <v>243709790</v>
      </c>
      <c r="D18" s="640">
        <v>18578748</v>
      </c>
      <c r="E18" s="670">
        <f t="shared" si="1"/>
        <v>262288538</v>
      </c>
    </row>
    <row r="19" spans="1:5">
      <c r="A19" s="583" t="str">
        <f>A11</f>
        <v xml:space="preserve">  Distribution</v>
      </c>
      <c r="B19" s="622" t="s">
        <v>186</v>
      </c>
      <c r="C19" s="640">
        <v>750592129</v>
      </c>
      <c r="D19" s="640">
        <v>154986633</v>
      </c>
      <c r="E19" s="670">
        <f t="shared" si="1"/>
        <v>905578762</v>
      </c>
    </row>
    <row r="20" spans="1:5">
      <c r="A20" s="583" t="str">
        <f>A12</f>
        <v xml:space="preserve">  General &amp; Intangible</v>
      </c>
      <c r="B20" s="622" t="s">
        <v>668</v>
      </c>
      <c r="C20" s="640">
        <f>47044826+50993539</f>
        <v>98038365</v>
      </c>
      <c r="D20" s="640">
        <f>1209339+9633515</f>
        <v>10842854</v>
      </c>
      <c r="E20" s="670">
        <f t="shared" si="1"/>
        <v>108881219</v>
      </c>
    </row>
    <row r="21" spans="1:5" ht="13.5" thickBot="1">
      <c r="A21" s="604" t="str">
        <f>A13</f>
        <v xml:space="preserve">  Common</v>
      </c>
      <c r="B21" s="926" t="s">
        <v>744</v>
      </c>
      <c r="C21" s="1015">
        <v>79875610</v>
      </c>
      <c r="D21" s="1015">
        <v>26606122</v>
      </c>
      <c r="E21" s="711">
        <f t="shared" si="1"/>
        <v>106481732</v>
      </c>
    </row>
    <row r="22" spans="1:5">
      <c r="A22" s="583" t="s">
        <v>650</v>
      </c>
      <c r="B22" s="622"/>
      <c r="C22" s="624">
        <f>SUM(C17:C21)</f>
        <v>1172215894</v>
      </c>
      <c r="D22" s="624">
        <f>SUM(D17:D21)</f>
        <v>834297352</v>
      </c>
      <c r="E22" s="669">
        <f t="shared" si="1"/>
        <v>2006513246</v>
      </c>
    </row>
    <row r="23" spans="1:5">
      <c r="B23" s="622" t="s">
        <v>12</v>
      </c>
      <c r="C23" s="587"/>
      <c r="D23" s="587"/>
      <c r="E23" s="670"/>
    </row>
    <row r="24" spans="1:5">
      <c r="A24" s="578" t="s">
        <v>47</v>
      </c>
      <c r="B24" s="622"/>
      <c r="C24" s="587"/>
      <c r="D24" s="587"/>
      <c r="E24" s="670"/>
    </row>
    <row r="25" spans="1:5">
      <c r="A25" s="583" t="str">
        <f>A17</f>
        <v xml:space="preserve">  Production</v>
      </c>
      <c r="B25" s="622" t="s">
        <v>418</v>
      </c>
      <c r="C25" s="624">
        <f t="shared" ref="C25:D29" si="2">C9-C17</f>
        <v>0</v>
      </c>
      <c r="D25" s="624">
        <f t="shared" si="2"/>
        <v>415887806</v>
      </c>
      <c r="E25" s="669">
        <f t="shared" ref="E25:E30" si="3">D25+C25</f>
        <v>415887806</v>
      </c>
    </row>
    <row r="26" spans="1:5">
      <c r="A26" s="583" t="str">
        <f>A18</f>
        <v xml:space="preserve">  Transmission</v>
      </c>
      <c r="B26" s="622" t="s">
        <v>419</v>
      </c>
      <c r="C26" s="587">
        <f t="shared" si="2"/>
        <v>529269292</v>
      </c>
      <c r="D26" s="587">
        <f t="shared" si="2"/>
        <v>36913419</v>
      </c>
      <c r="E26" s="670">
        <f t="shared" si="3"/>
        <v>566182711</v>
      </c>
    </row>
    <row r="27" spans="1:5">
      <c r="A27" s="583" t="str">
        <f>A19</f>
        <v xml:space="preserve">  Distribution</v>
      </c>
      <c r="B27" s="622" t="s">
        <v>48</v>
      </c>
      <c r="C27" s="587">
        <f t="shared" si="2"/>
        <v>1638496247</v>
      </c>
      <c r="D27" s="587">
        <f t="shared" si="2"/>
        <v>271649175</v>
      </c>
      <c r="E27" s="670">
        <f t="shared" si="3"/>
        <v>1910145422</v>
      </c>
    </row>
    <row r="28" spans="1:5">
      <c r="A28" s="583" t="str">
        <f>A20</f>
        <v xml:space="preserve">  General &amp; Intangible</v>
      </c>
      <c r="B28" s="622" t="s">
        <v>49</v>
      </c>
      <c r="C28" s="587">
        <f t="shared" si="2"/>
        <v>153611147</v>
      </c>
      <c r="D28" s="587">
        <f t="shared" si="2"/>
        <v>9372418</v>
      </c>
      <c r="E28" s="670">
        <f t="shared" si="3"/>
        <v>162983565</v>
      </c>
    </row>
    <row r="29" spans="1:5" ht="13.5" thickBot="1">
      <c r="A29" s="604" t="str">
        <f>A21</f>
        <v xml:space="preserve">  Common</v>
      </c>
      <c r="B29" s="625" t="s">
        <v>50</v>
      </c>
      <c r="C29" s="626">
        <f t="shared" si="2"/>
        <v>135012535</v>
      </c>
      <c r="D29" s="626">
        <f t="shared" si="2"/>
        <v>4296112</v>
      </c>
      <c r="E29" s="711">
        <f t="shared" si="3"/>
        <v>139308647</v>
      </c>
    </row>
    <row r="30" spans="1:5">
      <c r="A30" s="583" t="s">
        <v>651</v>
      </c>
      <c r="B30" s="622"/>
      <c r="C30" s="624">
        <f>SUM(C25:C29)</f>
        <v>2456389221</v>
      </c>
      <c r="D30" s="624">
        <f>SUM(D25:D29)</f>
        <v>738118930</v>
      </c>
      <c r="E30" s="669">
        <f t="shared" si="3"/>
        <v>3194508151</v>
      </c>
    </row>
    <row r="31" spans="1:5">
      <c r="B31" s="622"/>
      <c r="C31" s="587"/>
      <c r="D31" s="587"/>
      <c r="E31" s="670"/>
    </row>
    <row r="32" spans="1:5">
      <c r="A32" s="603" t="s">
        <v>655</v>
      </c>
      <c r="B32" s="622"/>
      <c r="C32" s="587"/>
      <c r="D32" s="587"/>
      <c r="E32" s="670"/>
    </row>
    <row r="33" spans="1:5">
      <c r="A33" s="583" t="s">
        <v>142</v>
      </c>
      <c r="B33" s="622" t="s">
        <v>53</v>
      </c>
      <c r="C33" s="1014">
        <v>0</v>
      </c>
      <c r="D33" s="1014">
        <v>-190426</v>
      </c>
      <c r="E33" s="669">
        <f t="shared" ref="E33:E38" si="4">D33+C33</f>
        <v>-190426</v>
      </c>
    </row>
    <row r="34" spans="1:5">
      <c r="A34" s="583" t="s">
        <v>143</v>
      </c>
      <c r="B34" s="927" t="s">
        <v>745</v>
      </c>
      <c r="C34" s="670">
        <f>-'P1 ADIT 190 &amp; 282'!D33</f>
        <v>-693501872</v>
      </c>
      <c r="D34" s="670">
        <f>-'P1 ADIT 190 &amp; 282'!E33</f>
        <v>-242121000</v>
      </c>
      <c r="E34" s="670">
        <f t="shared" si="4"/>
        <v>-935622872</v>
      </c>
    </row>
    <row r="35" spans="1:5">
      <c r="A35" s="583" t="s">
        <v>144</v>
      </c>
      <c r="B35" s="927" t="s">
        <v>745</v>
      </c>
      <c r="C35" s="670">
        <f>-'P1 ADIT 190 &amp; 282'!D45</f>
        <v>-43574280</v>
      </c>
      <c r="D35" s="670">
        <f>-'P1 ADIT 190 &amp; 282'!E45</f>
        <v>-19340308</v>
      </c>
      <c r="E35" s="670">
        <f t="shared" si="4"/>
        <v>-62914588</v>
      </c>
    </row>
    <row r="36" spans="1:5">
      <c r="A36" s="583" t="s">
        <v>146</v>
      </c>
      <c r="B36" s="927" t="s">
        <v>746</v>
      </c>
      <c r="C36" s="706">
        <f>'P1 ADIT 190 &amp; 282'!D21</f>
        <v>57584282</v>
      </c>
      <c r="D36" s="706">
        <f>'P1 ADIT 190 &amp; 282'!E21</f>
        <v>27093793</v>
      </c>
      <c r="E36" s="706">
        <f t="shared" si="4"/>
        <v>84678075</v>
      </c>
    </row>
    <row r="37" spans="1:5" ht="13.5" thickBot="1">
      <c r="A37" s="628" t="s">
        <v>145</v>
      </c>
      <c r="B37" s="628" t="s">
        <v>198</v>
      </c>
      <c r="C37" s="1016">
        <v>0</v>
      </c>
      <c r="D37" s="1016">
        <v>0</v>
      </c>
      <c r="E37" s="711">
        <f t="shared" si="4"/>
        <v>0</v>
      </c>
    </row>
    <row r="38" spans="1:5">
      <c r="A38" s="583" t="s">
        <v>652</v>
      </c>
      <c r="B38" s="622"/>
      <c r="C38" s="624">
        <f>SUM(C33:C37)</f>
        <v>-679491870</v>
      </c>
      <c r="D38" s="624">
        <f>SUM(D33:D37)</f>
        <v>-234557941</v>
      </c>
      <c r="E38" s="669">
        <f t="shared" si="4"/>
        <v>-914049811</v>
      </c>
    </row>
    <row r="39" spans="1:5">
      <c r="B39" s="622"/>
      <c r="C39" s="587"/>
      <c r="D39" s="587"/>
      <c r="E39" s="670"/>
    </row>
    <row r="40" spans="1:5">
      <c r="A40" s="603" t="s">
        <v>432</v>
      </c>
      <c r="B40" s="622" t="s">
        <v>405</v>
      </c>
      <c r="C40" s="669">
        <f>'P3 Land Held for Future Use'!B17</f>
        <v>255974</v>
      </c>
      <c r="D40" s="669">
        <f>'P3 Land Held for Future Use'!B23</f>
        <v>0</v>
      </c>
      <c r="E40" s="669">
        <f>D40+C40</f>
        <v>255974</v>
      </c>
    </row>
    <row r="41" spans="1:5">
      <c r="A41" s="583"/>
      <c r="B41" s="622"/>
      <c r="C41" s="587"/>
      <c r="D41" s="587"/>
      <c r="E41" s="670"/>
    </row>
    <row r="42" spans="1:5">
      <c r="A42" s="603" t="s">
        <v>654</v>
      </c>
      <c r="B42" s="622" t="s">
        <v>12</v>
      </c>
      <c r="C42" s="587"/>
      <c r="D42" s="587"/>
      <c r="E42" s="670"/>
    </row>
    <row r="43" spans="1:5">
      <c r="A43" s="583" t="s">
        <v>170</v>
      </c>
      <c r="B43" s="613" t="s">
        <v>168</v>
      </c>
      <c r="C43" s="669">
        <f>ROUND((DEO!E149/8),0)</f>
        <v>9472265</v>
      </c>
      <c r="D43" s="669">
        <f>ROUND((DEK!E149/8),0)</f>
        <v>2660362</v>
      </c>
      <c r="E43" s="669">
        <f>D43+C43</f>
        <v>12132627</v>
      </c>
    </row>
    <row r="44" spans="1:5">
      <c r="A44" s="629" t="s">
        <v>433</v>
      </c>
      <c r="B44" s="622" t="s">
        <v>675</v>
      </c>
      <c r="C44" s="670">
        <f>'P2 Allocate M&amp;S'!B15+'P2 Allocate M&amp;S'!F15</f>
        <v>19427211</v>
      </c>
      <c r="D44" s="670">
        <f>'P2 Allocate M&amp;S'!B23+'P2 Allocate M&amp;S'!F23</f>
        <v>4448</v>
      </c>
      <c r="E44" s="670">
        <f>D44+C44</f>
        <v>19431659</v>
      </c>
    </row>
    <row r="45" spans="1:5" ht="13.5" thickBot="1">
      <c r="A45" s="604" t="s">
        <v>148</v>
      </c>
      <c r="B45" s="625" t="s">
        <v>202</v>
      </c>
      <c r="C45" s="1015">
        <v>318679</v>
      </c>
      <c r="D45" s="1015">
        <v>491138</v>
      </c>
      <c r="E45" s="711">
        <f>D45+C45</f>
        <v>809817</v>
      </c>
    </row>
    <row r="46" spans="1:5">
      <c r="A46" s="583" t="s">
        <v>653</v>
      </c>
      <c r="B46" s="577"/>
      <c r="C46" s="630">
        <f>C43+C44+C45</f>
        <v>29218155</v>
      </c>
      <c r="D46" s="630">
        <f>D43+D44+D45</f>
        <v>3155948</v>
      </c>
      <c r="E46" s="669">
        <f>D46+C46</f>
        <v>32374103</v>
      </c>
    </row>
    <row r="47" spans="1:5" ht="13.5" thickBot="1">
      <c r="B47" s="622"/>
      <c r="C47" s="631"/>
      <c r="D47" s="631"/>
      <c r="E47" s="711"/>
    </row>
    <row r="48" spans="1:5" ht="13.5" thickBot="1">
      <c r="A48" s="578" t="s">
        <v>331</v>
      </c>
      <c r="B48" s="622"/>
      <c r="C48" s="632">
        <f>C46+C40+C38+C30</f>
        <v>1806371480</v>
      </c>
      <c r="D48" s="632">
        <f>D46+D40+D38+D30</f>
        <v>506716937</v>
      </c>
      <c r="E48" s="712">
        <f>D48+C48</f>
        <v>2313088417</v>
      </c>
    </row>
    <row r="49" spans="1:6" ht="14.25" thickTop="1" thickBot="1">
      <c r="A49" s="583"/>
      <c r="B49" s="622"/>
      <c r="C49" s="622"/>
      <c r="D49" s="622"/>
      <c r="E49" s="713"/>
    </row>
    <row r="50" spans="1:6">
      <c r="A50" s="675" t="s">
        <v>58</v>
      </c>
      <c r="B50" s="676"/>
      <c r="C50" s="676"/>
      <c r="D50" s="676"/>
      <c r="E50" s="714"/>
    </row>
    <row r="51" spans="1:6">
      <c r="A51" s="583" t="s">
        <v>59</v>
      </c>
      <c r="B51" s="622" t="s">
        <v>220</v>
      </c>
      <c r="C51" s="1014">
        <v>50347880</v>
      </c>
      <c r="D51" s="1014">
        <v>19417545</v>
      </c>
      <c r="E51" s="669">
        <f t="shared" ref="E51:E66" si="5">D51+C51</f>
        <v>69765425</v>
      </c>
    </row>
    <row r="52" spans="1:6" s="674" customFormat="1" ht="25.5">
      <c r="A52" s="682" t="s">
        <v>442</v>
      </c>
      <c r="B52" s="928" t="s">
        <v>747</v>
      </c>
      <c r="C52" s="1017">
        <f>7654654+22152267</f>
        <v>29806921</v>
      </c>
      <c r="D52" s="1017">
        <v>1460340</v>
      </c>
      <c r="E52" s="715">
        <f t="shared" si="5"/>
        <v>31267261</v>
      </c>
    </row>
    <row r="53" spans="1:6" ht="25.5">
      <c r="A53" s="634" t="s">
        <v>635</v>
      </c>
      <c r="B53" s="673" t="s">
        <v>636</v>
      </c>
      <c r="C53" s="1017">
        <v>0</v>
      </c>
      <c r="D53" s="1017">
        <v>0</v>
      </c>
      <c r="E53" s="715">
        <f t="shared" si="5"/>
        <v>0</v>
      </c>
      <c r="F53" s="674"/>
    </row>
    <row r="54" spans="1:6">
      <c r="A54" s="634" t="s">
        <v>823</v>
      </c>
      <c r="B54" s="673" t="s">
        <v>822</v>
      </c>
      <c r="C54" s="975">
        <f>'P4 Advertising - EPRI Adj.'!C21</f>
        <v>84201</v>
      </c>
      <c r="D54" s="975">
        <f>'P4 Advertising - EPRI Adj.'!D21</f>
        <v>58293</v>
      </c>
      <c r="E54" s="715">
        <f t="shared" si="5"/>
        <v>142494</v>
      </c>
      <c r="F54" s="674"/>
    </row>
    <row r="55" spans="1:6">
      <c r="A55" s="635" t="s">
        <v>4</v>
      </c>
      <c r="B55" s="622" t="s">
        <v>221</v>
      </c>
      <c r="C55" s="640">
        <v>-1500</v>
      </c>
      <c r="D55" s="640">
        <v>15553606</v>
      </c>
      <c r="E55" s="670">
        <f t="shared" si="5"/>
        <v>15552106</v>
      </c>
    </row>
    <row r="56" spans="1:6">
      <c r="A56" s="581" t="s">
        <v>60</v>
      </c>
      <c r="B56" s="633" t="s">
        <v>222</v>
      </c>
      <c r="C56" s="640">
        <v>54281296</v>
      </c>
      <c r="D56" s="640">
        <v>19369738</v>
      </c>
      <c r="E56" s="670">
        <f t="shared" si="5"/>
        <v>73651034</v>
      </c>
    </row>
    <row r="57" spans="1:6">
      <c r="A57" s="636" t="s">
        <v>467</v>
      </c>
      <c r="B57" s="633" t="s">
        <v>291</v>
      </c>
      <c r="C57" s="640">
        <f>-1024573-305120</f>
        <v>-1329693</v>
      </c>
      <c r="D57" s="640">
        <f>-319878+122419</f>
        <v>-197459</v>
      </c>
      <c r="E57" s="670">
        <f t="shared" si="5"/>
        <v>-1527152</v>
      </c>
    </row>
    <row r="58" spans="1:6">
      <c r="A58" s="636" t="s">
        <v>468</v>
      </c>
      <c r="B58" s="633" t="s">
        <v>291</v>
      </c>
      <c r="C58" s="640">
        <v>2342494</v>
      </c>
      <c r="D58" s="640">
        <v>575908</v>
      </c>
      <c r="E58" s="670">
        <f t="shared" si="5"/>
        <v>2918402</v>
      </c>
    </row>
    <row r="59" spans="1:6">
      <c r="A59" s="635" t="s">
        <v>638</v>
      </c>
      <c r="B59" s="633" t="s">
        <v>639</v>
      </c>
      <c r="C59" s="640">
        <v>0</v>
      </c>
      <c r="D59" s="640">
        <v>0</v>
      </c>
      <c r="E59" s="670">
        <f t="shared" si="5"/>
        <v>0</v>
      </c>
    </row>
    <row r="60" spans="1:6">
      <c r="A60" s="870" t="s">
        <v>756</v>
      </c>
      <c r="B60" s="929" t="s">
        <v>757</v>
      </c>
      <c r="C60" s="640">
        <v>0</v>
      </c>
      <c r="D60" s="640">
        <v>0</v>
      </c>
      <c r="E60" s="670">
        <f>D60+C60</f>
        <v>0</v>
      </c>
    </row>
    <row r="61" spans="1:6">
      <c r="A61" s="636" t="s">
        <v>427</v>
      </c>
      <c r="B61" s="633" t="s">
        <v>748</v>
      </c>
      <c r="C61" s="640">
        <v>0</v>
      </c>
      <c r="D61" s="640">
        <v>0</v>
      </c>
      <c r="E61" s="670">
        <f t="shared" si="5"/>
        <v>0</v>
      </c>
    </row>
    <row r="62" spans="1:6" ht="25.5">
      <c r="A62" s="634" t="s">
        <v>443</v>
      </c>
      <c r="B62" s="929" t="s">
        <v>749</v>
      </c>
      <c r="C62" s="670">
        <f>'P4 Advertising - EPRI Adj.'!C32</f>
        <v>1688540</v>
      </c>
      <c r="D62" s="670">
        <f>'P4 Advertising - EPRI Adj.'!D32</f>
        <v>720606</v>
      </c>
      <c r="E62" s="670">
        <f t="shared" si="5"/>
        <v>2409146</v>
      </c>
    </row>
    <row r="63" spans="1:6" ht="25.5">
      <c r="A63" s="634" t="s">
        <v>444</v>
      </c>
      <c r="B63" s="633"/>
      <c r="C63" s="640">
        <v>0</v>
      </c>
      <c r="D63" s="640">
        <v>0</v>
      </c>
      <c r="E63" s="670">
        <f t="shared" si="5"/>
        <v>0</v>
      </c>
    </row>
    <row r="64" spans="1:6">
      <c r="A64" s="581" t="s">
        <v>41</v>
      </c>
      <c r="B64" s="633" t="str">
        <f>B21</f>
        <v>356</v>
      </c>
      <c r="C64" s="640">
        <v>0</v>
      </c>
      <c r="D64" s="640">
        <v>0</v>
      </c>
      <c r="E64" s="670">
        <f t="shared" si="5"/>
        <v>0</v>
      </c>
    </row>
    <row r="65" spans="1:6">
      <c r="A65" s="581" t="s">
        <v>61</v>
      </c>
      <c r="B65" s="633"/>
      <c r="C65" s="1018">
        <v>0</v>
      </c>
      <c r="D65" s="1018">
        <v>0</v>
      </c>
      <c r="E65" s="706">
        <f t="shared" si="5"/>
        <v>0</v>
      </c>
      <c r="F65" s="623"/>
    </row>
    <row r="66" spans="1:6" ht="25.5">
      <c r="A66" s="634" t="s">
        <v>463</v>
      </c>
      <c r="B66" s="929"/>
      <c r="C66" s="624">
        <f>C51-C52-C53-C55+C56-C57+C58-C59-C60-C61-C62+C63+C64+C65</f>
        <v>76807402</v>
      </c>
      <c r="D66" s="624">
        <f>D51-D52-D53-D55+D56-D57+D58-D59-D60-D61-D62+D63+D64+D65</f>
        <v>21826098</v>
      </c>
      <c r="E66" s="669">
        <f t="shared" si="5"/>
        <v>98633500</v>
      </c>
    </row>
    <row r="67" spans="1:6">
      <c r="A67" s="637"/>
      <c r="B67" s="633"/>
      <c r="C67" s="587"/>
      <c r="D67" s="587"/>
      <c r="E67" s="670"/>
    </row>
    <row r="68" spans="1:6">
      <c r="A68" s="578" t="s">
        <v>62</v>
      </c>
      <c r="B68" s="622"/>
      <c r="C68" s="638"/>
      <c r="D68" s="638"/>
      <c r="E68" s="670"/>
    </row>
    <row r="69" spans="1:6">
      <c r="A69" s="583" t="str">
        <f>A51</f>
        <v xml:space="preserve">  Transmission </v>
      </c>
      <c r="B69" s="622" t="s">
        <v>703</v>
      </c>
      <c r="C69" s="1014">
        <v>13656799</v>
      </c>
      <c r="D69" s="1014">
        <v>1076236</v>
      </c>
      <c r="E69" s="669">
        <f>D69+C69</f>
        <v>14733035</v>
      </c>
    </row>
    <row r="70" spans="1:6" ht="15">
      <c r="A70" s="583" t="s">
        <v>39</v>
      </c>
      <c r="B70" s="709" t="s">
        <v>670</v>
      </c>
      <c r="C70" s="640">
        <f>2831314+11902165</f>
        <v>14733479</v>
      </c>
      <c r="D70" s="640">
        <f>935615+559414</f>
        <v>1495029</v>
      </c>
      <c r="E70" s="670">
        <f>D70+C70</f>
        <v>16228508</v>
      </c>
    </row>
    <row r="71" spans="1:6" ht="13.5" thickBot="1">
      <c r="A71" s="604" t="str">
        <f>A64</f>
        <v xml:space="preserve">  Common</v>
      </c>
      <c r="B71" s="625" t="s">
        <v>702</v>
      </c>
      <c r="C71" s="1015">
        <v>9006295</v>
      </c>
      <c r="D71" s="1015">
        <v>1075501</v>
      </c>
      <c r="E71" s="711">
        <f>D71+C71</f>
        <v>10081796</v>
      </c>
    </row>
    <row r="72" spans="1:6">
      <c r="A72" s="583" t="s">
        <v>64</v>
      </c>
      <c r="B72" s="622"/>
      <c r="C72" s="624">
        <f>SUM(C69:C71)</f>
        <v>37396573</v>
      </c>
      <c r="D72" s="624">
        <f>SUM(D69:D71)</f>
        <v>3646766</v>
      </c>
      <c r="E72" s="669">
        <f>D72+C72</f>
        <v>41043339</v>
      </c>
    </row>
    <row r="73" spans="1:6">
      <c r="A73" s="583"/>
      <c r="B73" s="622"/>
      <c r="C73" s="587"/>
      <c r="D73" s="587"/>
      <c r="E73" s="670"/>
    </row>
    <row r="74" spans="1:6">
      <c r="A74" s="603" t="s">
        <v>235</v>
      </c>
      <c r="C74" s="587"/>
      <c r="D74" s="587"/>
      <c r="E74" s="670"/>
    </row>
    <row r="75" spans="1:6">
      <c r="A75" s="583" t="s">
        <v>65</v>
      </c>
      <c r="C75" s="587"/>
      <c r="D75" s="587"/>
      <c r="E75" s="670"/>
    </row>
    <row r="76" spans="1:6">
      <c r="A76" s="639" t="s">
        <v>428</v>
      </c>
      <c r="B76" s="622" t="s">
        <v>750</v>
      </c>
      <c r="C76" s="1014">
        <f>4638311+11524+11131</f>
        <v>4660966</v>
      </c>
      <c r="D76" s="1014">
        <f>2046284+7283+16944</f>
        <v>2070511</v>
      </c>
      <c r="E76" s="669">
        <f t="shared" ref="E76:E83" si="6">D76+C76</f>
        <v>6731477</v>
      </c>
    </row>
    <row r="77" spans="1:6">
      <c r="A77" s="639" t="s">
        <v>429</v>
      </c>
      <c r="B77" s="622" t="s">
        <v>750</v>
      </c>
      <c r="C77" s="640">
        <v>5002</v>
      </c>
      <c r="D77" s="640">
        <v>1738</v>
      </c>
      <c r="E77" s="670">
        <f t="shared" si="6"/>
        <v>6740</v>
      </c>
    </row>
    <row r="78" spans="1:6">
      <c r="A78" s="583" t="s">
        <v>66</v>
      </c>
      <c r="B78" s="622" t="s">
        <v>12</v>
      </c>
      <c r="C78" s="640"/>
      <c r="D78" s="640"/>
      <c r="E78" s="670">
        <f t="shared" si="6"/>
        <v>0</v>
      </c>
      <c r="F78" s="637"/>
    </row>
    <row r="79" spans="1:6">
      <c r="A79" s="583" t="s">
        <v>67</v>
      </c>
      <c r="B79" s="622" t="s">
        <v>750</v>
      </c>
      <c r="C79" s="640">
        <f>87195+108906096</f>
        <v>108993291</v>
      </c>
      <c r="D79" s="640">
        <f>1156971+6348497</f>
        <v>7505468</v>
      </c>
      <c r="E79" s="670">
        <f t="shared" si="6"/>
        <v>116498759</v>
      </c>
    </row>
    <row r="80" spans="1:6">
      <c r="A80" s="583" t="s">
        <v>68</v>
      </c>
      <c r="B80" s="622" t="s">
        <v>750</v>
      </c>
      <c r="C80" s="640">
        <v>4569666</v>
      </c>
      <c r="D80" s="640">
        <v>0</v>
      </c>
      <c r="E80" s="670">
        <f t="shared" si="6"/>
        <v>4569666</v>
      </c>
    </row>
    <row r="81" spans="1:6">
      <c r="A81" s="583" t="s">
        <v>69</v>
      </c>
      <c r="B81" s="622" t="s">
        <v>199</v>
      </c>
      <c r="C81" s="640">
        <v>0</v>
      </c>
      <c r="D81" s="640">
        <v>0</v>
      </c>
      <c r="E81" s="670">
        <f t="shared" si="6"/>
        <v>0</v>
      </c>
    </row>
    <row r="82" spans="1:6" ht="13.5" thickBot="1">
      <c r="A82" s="604" t="s">
        <v>70</v>
      </c>
      <c r="B82" s="625"/>
      <c r="C82" s="1015">
        <v>0</v>
      </c>
      <c r="D82" s="1015">
        <v>0</v>
      </c>
      <c r="E82" s="711">
        <f t="shared" si="6"/>
        <v>0</v>
      </c>
    </row>
    <row r="83" spans="1:6">
      <c r="A83" s="583" t="s">
        <v>71</v>
      </c>
      <c r="B83" s="622"/>
      <c r="C83" s="630">
        <f>C76+C77+C79+C80+C81+C82</f>
        <v>118228925</v>
      </c>
      <c r="D83" s="630">
        <f>D76+D77+D79+D80+D81+D82</f>
        <v>9577717</v>
      </c>
      <c r="E83" s="669">
        <f t="shared" si="6"/>
        <v>127806642</v>
      </c>
    </row>
    <row r="84" spans="1:6">
      <c r="A84" s="583"/>
      <c r="B84" s="622"/>
      <c r="C84" s="638"/>
      <c r="D84" s="638"/>
      <c r="E84" s="670"/>
    </row>
    <row r="85" spans="1:6">
      <c r="A85" s="583"/>
      <c r="B85" s="622"/>
      <c r="C85" s="622"/>
      <c r="D85" s="622"/>
      <c r="E85" s="716" t="s">
        <v>646</v>
      </c>
      <c r="F85" s="641"/>
    </row>
    <row r="86" spans="1:6">
      <c r="A86" s="603" t="s">
        <v>641</v>
      </c>
      <c r="B86" s="622"/>
      <c r="C86" s="622"/>
      <c r="D86" s="622"/>
      <c r="E86" s="717" t="s">
        <v>647</v>
      </c>
      <c r="F86" s="641"/>
    </row>
    <row r="87" spans="1:6">
      <c r="A87" s="613" t="s">
        <v>642</v>
      </c>
      <c r="B87" s="622"/>
      <c r="C87" s="642">
        <v>0.35</v>
      </c>
      <c r="D87" s="642">
        <v>0.35</v>
      </c>
      <c r="E87" s="718">
        <f>INPUT!D87</f>
        <v>0.35</v>
      </c>
      <c r="F87" s="641"/>
    </row>
    <row r="88" spans="1:6">
      <c r="A88" s="613" t="s">
        <v>643</v>
      </c>
      <c r="B88" s="622"/>
      <c r="C88" s="937">
        <f>'P6 Statetax'!B13</f>
        <v>0</v>
      </c>
      <c r="D88" s="937">
        <f>'P6 Statetax'!C13</f>
        <v>0.06</v>
      </c>
      <c r="E88" s="718">
        <f>'P6 Statetax'!D17</f>
        <v>2.5999999999999999E-3</v>
      </c>
      <c r="F88" s="641"/>
    </row>
    <row r="89" spans="1:6" ht="25.5">
      <c r="A89" s="634" t="s">
        <v>645</v>
      </c>
      <c r="B89" s="622"/>
      <c r="C89" s="1027">
        <v>0</v>
      </c>
      <c r="D89" s="1027">
        <v>0</v>
      </c>
      <c r="E89" s="1019"/>
      <c r="F89" s="641"/>
    </row>
    <row r="90" spans="1:6">
      <c r="A90" s="613" t="s">
        <v>644</v>
      </c>
      <c r="B90" s="622"/>
      <c r="C90" s="937">
        <f>IF(C87&gt;0,1-(((1-C88)*(1-C87))/(1-C88*C87*C89)),0)</f>
        <v>0.35</v>
      </c>
      <c r="D90" s="937">
        <f>IF(D87&gt;0,1-(((1-D88)*(1-D87))/(1-D88*D87*D89)),0)</f>
        <v>0.38900000000000001</v>
      </c>
      <c r="E90" s="718">
        <f>IF(E87&gt;0,1-(((1-E88)*(1-E87))/(1-E88*E87*E89)),0)</f>
        <v>0.35169000000000006</v>
      </c>
      <c r="F90" s="641"/>
    </row>
    <row r="91" spans="1:6">
      <c r="B91" s="622"/>
      <c r="C91" s="642"/>
      <c r="D91" s="642"/>
      <c r="E91" s="718"/>
      <c r="F91" s="643"/>
    </row>
    <row r="92" spans="1:6">
      <c r="A92" s="583" t="s">
        <v>408</v>
      </c>
      <c r="B92" s="644" t="s">
        <v>407</v>
      </c>
      <c r="C92" s="640">
        <v>-231467</v>
      </c>
      <c r="D92" s="640">
        <v>-21438</v>
      </c>
      <c r="E92" s="670">
        <f>D92+C92</f>
        <v>-252905</v>
      </c>
    </row>
    <row r="93" spans="1:6">
      <c r="A93" s="583"/>
      <c r="B93" s="622"/>
      <c r="C93" s="638"/>
      <c r="D93" s="638"/>
      <c r="E93" s="670"/>
    </row>
    <row r="94" spans="1:6">
      <c r="A94" s="582" t="s">
        <v>377</v>
      </c>
      <c r="B94" s="579"/>
      <c r="C94" s="579"/>
      <c r="D94" s="579"/>
      <c r="E94" s="719"/>
    </row>
    <row r="95" spans="1:6">
      <c r="A95" s="581"/>
      <c r="B95" s="579"/>
      <c r="C95" s="579"/>
      <c r="D95" s="579"/>
      <c r="E95" s="719"/>
    </row>
    <row r="96" spans="1:6" ht="25.5">
      <c r="A96" s="634" t="s">
        <v>446</v>
      </c>
      <c r="B96" s="645"/>
      <c r="C96" s="640">
        <v>0</v>
      </c>
      <c r="D96" s="640">
        <v>0</v>
      </c>
      <c r="E96" s="670">
        <f>D96+C96</f>
        <v>0</v>
      </c>
    </row>
    <row r="97" spans="1:5" s="674" customFormat="1" ht="25.5">
      <c r="A97" s="682" t="s">
        <v>435</v>
      </c>
      <c r="B97" s="700"/>
      <c r="C97" s="946">
        <f>'P7 Trans Plant In OATT'!B18</f>
        <v>0</v>
      </c>
      <c r="D97" s="946">
        <f>'P7 Trans Plant In OATT'!C18</f>
        <v>16430924</v>
      </c>
      <c r="E97" s="720">
        <f>D97+C97</f>
        <v>16430924</v>
      </c>
    </row>
    <row r="98" spans="1:5" ht="13.5" thickBot="1">
      <c r="A98" s="580"/>
      <c r="B98" s="646"/>
      <c r="C98" s="627"/>
      <c r="D98" s="627"/>
      <c r="E98" s="706"/>
    </row>
    <row r="99" spans="1:5">
      <c r="A99" s="677" t="s">
        <v>75</v>
      </c>
      <c r="B99" s="678"/>
      <c r="C99" s="678"/>
      <c r="D99" s="678"/>
      <c r="E99" s="721"/>
    </row>
    <row r="100" spans="1:5">
      <c r="A100" s="637"/>
      <c r="B100" s="637"/>
      <c r="C100" s="637"/>
      <c r="D100" s="637"/>
      <c r="E100" s="672"/>
    </row>
    <row r="101" spans="1:5" ht="25.5">
      <c r="A101" s="634" t="s">
        <v>436</v>
      </c>
      <c r="B101" s="645" t="s">
        <v>769</v>
      </c>
      <c r="C101" s="640">
        <f>755309+3379497+479893</f>
        <v>4614699</v>
      </c>
      <c r="D101" s="640">
        <f>104843+490530+68624</f>
        <v>663997</v>
      </c>
      <c r="E101" s="706">
        <f>D101+C101</f>
        <v>5278696</v>
      </c>
    </row>
    <row r="102" spans="1:5">
      <c r="A102" s="579"/>
      <c r="B102" s="579"/>
      <c r="C102" s="633"/>
      <c r="D102" s="633"/>
      <c r="E102" s="713"/>
    </row>
    <row r="103" spans="1:5">
      <c r="B103" s="577"/>
      <c r="C103" s="622"/>
      <c r="D103" s="622"/>
      <c r="E103" s="713"/>
    </row>
    <row r="104" spans="1:5">
      <c r="A104" s="578" t="s">
        <v>79</v>
      </c>
      <c r="B104" s="622"/>
      <c r="C104" s="622"/>
      <c r="D104" s="622"/>
      <c r="E104" s="713"/>
    </row>
    <row r="105" spans="1:5" ht="13.5" thickBot="1">
      <c r="A105" s="583"/>
      <c r="B105" s="647"/>
      <c r="C105" s="648" t="s">
        <v>81</v>
      </c>
      <c r="D105" s="648" t="s">
        <v>81</v>
      </c>
      <c r="E105" s="722"/>
    </row>
    <row r="106" spans="1:5">
      <c r="A106" s="583" t="s">
        <v>35</v>
      </c>
      <c r="B106" s="622" t="s">
        <v>83</v>
      </c>
      <c r="C106" s="587">
        <f>'P11 Salaries and Wages'!C16</f>
        <v>2679205</v>
      </c>
      <c r="D106" s="587">
        <f>'P11 Salaries and Wages'!D16</f>
        <v>12883570</v>
      </c>
      <c r="E106" s="670">
        <f>D106+C106</f>
        <v>15562775</v>
      </c>
    </row>
    <row r="107" spans="1:5">
      <c r="A107" s="583" t="s">
        <v>37</v>
      </c>
      <c r="B107" s="622" t="s">
        <v>223</v>
      </c>
      <c r="C107" s="587">
        <f>'P11 Salaries and Wages'!C25</f>
        <v>7938688</v>
      </c>
      <c r="D107" s="587">
        <f>'P11 Salaries and Wages'!D25</f>
        <v>1173166</v>
      </c>
      <c r="E107" s="670">
        <f>D107+C107</f>
        <v>9111854</v>
      </c>
    </row>
    <row r="108" spans="1:5">
      <c r="A108" s="583" t="s">
        <v>38</v>
      </c>
      <c r="B108" s="622" t="s">
        <v>224</v>
      </c>
      <c r="C108" s="587">
        <f>'P11 Salaries and Wages'!C34</f>
        <v>27827368</v>
      </c>
      <c r="D108" s="587">
        <f>'P11 Salaries and Wages'!D34</f>
        <v>5202066</v>
      </c>
      <c r="E108" s="670">
        <f>D108+C108</f>
        <v>33029434</v>
      </c>
    </row>
    <row r="109" spans="1:5" ht="13.5" thickBot="1">
      <c r="A109" s="604" t="s">
        <v>85</v>
      </c>
      <c r="B109" s="625" t="s">
        <v>225</v>
      </c>
      <c r="C109" s="626">
        <f>'P11 Salaries and Wages'!C42</f>
        <v>12492652</v>
      </c>
      <c r="D109" s="626">
        <f>'P11 Salaries and Wages'!D42</f>
        <v>3031884</v>
      </c>
      <c r="E109" s="711">
        <f>D109+C109</f>
        <v>15524536</v>
      </c>
    </row>
    <row r="110" spans="1:5">
      <c r="A110" s="583" t="s">
        <v>172</v>
      </c>
      <c r="B110" s="622"/>
      <c r="C110" s="638">
        <f>SUM(C106:C109)</f>
        <v>50937913</v>
      </c>
      <c r="D110" s="638">
        <f>SUM(D106:D109)</f>
        <v>22290686</v>
      </c>
      <c r="E110" s="670">
        <f>D110+C110</f>
        <v>73228599</v>
      </c>
    </row>
    <row r="111" spans="1:5">
      <c r="A111" s="583"/>
      <c r="B111" s="622"/>
      <c r="C111" s="622"/>
      <c r="D111" s="622"/>
      <c r="E111" s="713"/>
    </row>
    <row r="112" spans="1:5">
      <c r="A112" s="603" t="s">
        <v>648</v>
      </c>
      <c r="B112" s="622"/>
      <c r="C112" s="622"/>
      <c r="D112" s="622"/>
      <c r="E112" s="713"/>
    </row>
    <row r="113" spans="1:5">
      <c r="A113" s="583"/>
      <c r="B113" s="622"/>
      <c r="C113" s="649" t="s">
        <v>81</v>
      </c>
      <c r="D113" s="649" t="s">
        <v>81</v>
      </c>
      <c r="E113" s="723"/>
    </row>
    <row r="114" spans="1:5">
      <c r="A114" s="583" t="s">
        <v>89</v>
      </c>
      <c r="B114" s="622" t="s">
        <v>90</v>
      </c>
      <c r="C114" s="640">
        <v>2799484513</v>
      </c>
      <c r="D114" s="640">
        <v>1430228185</v>
      </c>
      <c r="E114" s="670">
        <f>D114+C114</f>
        <v>4229712698</v>
      </c>
    </row>
    <row r="115" spans="1:5">
      <c r="A115" s="583" t="s">
        <v>94</v>
      </c>
      <c r="B115" s="622" t="s">
        <v>200</v>
      </c>
      <c r="C115" s="640">
        <v>1462307813</v>
      </c>
      <c r="D115" s="640">
        <v>351208384</v>
      </c>
      <c r="E115" s="670">
        <f>D115+C115</f>
        <v>1813516197</v>
      </c>
    </row>
    <row r="116" spans="1:5" ht="13.5" thickBot="1">
      <c r="A116" s="604" t="s">
        <v>96</v>
      </c>
      <c r="B116" s="625" t="s">
        <v>201</v>
      </c>
      <c r="C116" s="1015">
        <v>0</v>
      </c>
      <c r="D116" s="1015">
        <v>0</v>
      </c>
      <c r="E116" s="711">
        <f>D116+C116</f>
        <v>0</v>
      </c>
    </row>
    <row r="117" spans="1:5">
      <c r="A117" s="583" t="s">
        <v>151</v>
      </c>
      <c r="B117" s="622"/>
      <c r="C117" s="638">
        <f>C114+C115+C116</f>
        <v>4261792326</v>
      </c>
      <c r="D117" s="638">
        <f>D114+D115+D116</f>
        <v>1781436569</v>
      </c>
      <c r="E117" s="670">
        <f>D117+C117</f>
        <v>6043228895</v>
      </c>
    </row>
    <row r="118" spans="1:5">
      <c r="A118" s="583"/>
      <c r="B118" s="622"/>
      <c r="E118" s="672"/>
    </row>
    <row r="119" spans="1:5">
      <c r="A119" s="578" t="s">
        <v>97</v>
      </c>
      <c r="B119" s="622"/>
      <c r="C119" s="622"/>
      <c r="D119" s="622"/>
      <c r="E119" s="713"/>
    </row>
    <row r="120" spans="1:5">
      <c r="A120" s="622" t="s">
        <v>213</v>
      </c>
      <c r="C120" s="640">
        <f>73288220+2918931+445504-473735+68800</f>
        <v>76247720</v>
      </c>
      <c r="D120" s="1020">
        <f>13759989+748311+266474+229106</f>
        <v>15003880</v>
      </c>
      <c r="E120" s="724">
        <f>D120+C120</f>
        <v>91251600</v>
      </c>
    </row>
    <row r="121" spans="1:5">
      <c r="A121" s="622"/>
      <c r="C121" s="640"/>
      <c r="D121" s="640"/>
      <c r="E121" s="670"/>
    </row>
    <row r="122" spans="1:5">
      <c r="A122" s="622" t="s">
        <v>214</v>
      </c>
      <c r="C122" s="1021">
        <v>0</v>
      </c>
      <c r="D122" s="1021">
        <v>0</v>
      </c>
      <c r="E122" s="725">
        <f>D122+C122</f>
        <v>0</v>
      </c>
    </row>
    <row r="123" spans="1:5">
      <c r="A123" s="583"/>
      <c r="B123" s="622"/>
      <c r="C123" s="650"/>
      <c r="D123" s="650"/>
      <c r="E123" s="670"/>
    </row>
    <row r="124" spans="1:5">
      <c r="A124" s="588" t="s">
        <v>640</v>
      </c>
      <c r="B124" s="622"/>
      <c r="C124" s="650"/>
      <c r="D124" s="650"/>
      <c r="E124" s="670"/>
    </row>
    <row r="125" spans="1:5">
      <c r="A125" s="622" t="s">
        <v>661</v>
      </c>
      <c r="C125" s="587">
        <f>'P9 Capital Structure - Confiden'!B21</f>
        <v>2260299717</v>
      </c>
      <c r="D125" s="640">
        <v>437015497</v>
      </c>
      <c r="E125" s="670">
        <f>D125+C125</f>
        <v>2697315214</v>
      </c>
    </row>
    <row r="126" spans="1:5">
      <c r="A126" s="622" t="s">
        <v>226</v>
      </c>
      <c r="C126" s="640">
        <v>0</v>
      </c>
      <c r="D126" s="640">
        <v>0</v>
      </c>
      <c r="E126" s="670">
        <f>D126+C126</f>
        <v>0</v>
      </c>
    </row>
    <row r="127" spans="1:5" ht="13.5" thickBot="1">
      <c r="A127" s="625" t="s">
        <v>208</v>
      </c>
      <c r="B127" s="628"/>
      <c r="C127" s="1015">
        <v>-805252852</v>
      </c>
      <c r="D127" s="1015">
        <v>0</v>
      </c>
      <c r="E127" s="711">
        <f>D127+C127</f>
        <v>-805252852</v>
      </c>
    </row>
    <row r="128" spans="1:5">
      <c r="A128" s="622" t="s">
        <v>100</v>
      </c>
      <c r="C128" s="638">
        <f>C125+C126+C127</f>
        <v>1455046865</v>
      </c>
      <c r="D128" s="638">
        <f>D125+D126+D127</f>
        <v>437015497</v>
      </c>
      <c r="E128" s="670">
        <f>D128+C128</f>
        <v>1892062362</v>
      </c>
    </row>
    <row r="129" spans="1:5">
      <c r="A129" s="583"/>
      <c r="B129" s="622"/>
      <c r="C129" s="622"/>
      <c r="D129" s="622"/>
      <c r="E129" s="713"/>
    </row>
    <row r="130" spans="1:5" ht="13.5" thickBot="1">
      <c r="A130" s="583"/>
      <c r="B130" s="585" t="s">
        <v>422</v>
      </c>
      <c r="C130" s="586" t="s">
        <v>81</v>
      </c>
      <c r="D130" s="586" t="s">
        <v>81</v>
      </c>
      <c r="E130" s="726"/>
    </row>
    <row r="131" spans="1:5">
      <c r="A131" s="581" t="s">
        <v>209</v>
      </c>
      <c r="C131" s="640">
        <f>1000000000+550000000</f>
        <v>1550000000</v>
      </c>
      <c r="D131" s="640">
        <f>25000000+336720000</f>
        <v>361720000</v>
      </c>
      <c r="E131" s="670">
        <f>D131+C131</f>
        <v>1911720000</v>
      </c>
    </row>
    <row r="132" spans="1:5">
      <c r="A132" s="581" t="s">
        <v>210</v>
      </c>
      <c r="C132" s="640">
        <v>0</v>
      </c>
      <c r="D132" s="587">
        <v>0</v>
      </c>
      <c r="E132" s="670">
        <f>D132+C132</f>
        <v>0</v>
      </c>
    </row>
    <row r="133" spans="1:5" ht="13.5" thickBot="1">
      <c r="A133" s="604" t="s">
        <v>105</v>
      </c>
      <c r="B133" s="628"/>
      <c r="C133" s="631">
        <f>C128</f>
        <v>1455046865</v>
      </c>
      <c r="D133" s="631">
        <f>D128</f>
        <v>437015497</v>
      </c>
      <c r="E133" s="711">
        <f>D133+C133</f>
        <v>1892062362</v>
      </c>
    </row>
    <row r="134" spans="1:5">
      <c r="A134" s="583" t="s">
        <v>171</v>
      </c>
      <c r="C134" s="638">
        <f>C133+C132+C131</f>
        <v>3005046865</v>
      </c>
      <c r="D134" s="638">
        <f>D133+D132+D131</f>
        <v>798735497</v>
      </c>
      <c r="E134" s="670">
        <f>D134+C134</f>
        <v>3803782362</v>
      </c>
    </row>
    <row r="135" spans="1:5">
      <c r="E135" s="672"/>
    </row>
    <row r="136" spans="1:5">
      <c r="E136" s="672"/>
    </row>
    <row r="137" spans="1:5">
      <c r="A137" s="578" t="s">
        <v>107</v>
      </c>
      <c r="B137" s="577"/>
      <c r="C137" s="577"/>
      <c r="D137" s="577"/>
      <c r="E137" s="719"/>
    </row>
    <row r="138" spans="1:5">
      <c r="A138" s="583"/>
      <c r="B138" s="583"/>
      <c r="C138" s="583"/>
      <c r="D138" s="583"/>
      <c r="E138" s="727"/>
    </row>
    <row r="139" spans="1:5">
      <c r="A139" s="613" t="s">
        <v>149</v>
      </c>
      <c r="B139" s="577"/>
      <c r="C139" s="1026">
        <v>0</v>
      </c>
      <c r="D139" s="1026">
        <v>0</v>
      </c>
      <c r="E139" s="728">
        <f>D139+C139</f>
        <v>0</v>
      </c>
    </row>
    <row r="140" spans="1:5" ht="26.25" thickBot="1">
      <c r="A140" s="651" t="s">
        <v>410</v>
      </c>
      <c r="B140" s="652"/>
      <c r="C140" s="1025">
        <v>0</v>
      </c>
      <c r="D140" s="1025">
        <v>0</v>
      </c>
      <c r="E140" s="729">
        <f>D140+C140</f>
        <v>0</v>
      </c>
    </row>
    <row r="141" spans="1:5">
      <c r="A141" s="613" t="s">
        <v>109</v>
      </c>
      <c r="B141" s="577"/>
      <c r="E141" s="672"/>
    </row>
    <row r="142" spans="1:5">
      <c r="A142" s="613" t="s">
        <v>12</v>
      </c>
      <c r="B142" s="577"/>
      <c r="E142" s="672"/>
    </row>
    <row r="143" spans="1:5" ht="25.5">
      <c r="A143" s="634" t="s">
        <v>439</v>
      </c>
      <c r="B143" s="577"/>
      <c r="C143" s="671">
        <f>ROUND('P8 Rev Cred Support'!C23,0)</f>
        <v>175353</v>
      </c>
      <c r="D143" s="671">
        <f>ROUND('P8 Rev Cred Support'!E20,0)</f>
        <v>19964</v>
      </c>
      <c r="E143" s="671">
        <f>D143+C143</f>
        <v>195317</v>
      </c>
    </row>
    <row r="144" spans="1:5">
      <c r="B144" s="577"/>
      <c r="C144" s="653"/>
      <c r="D144" s="579"/>
      <c r="E144" s="719"/>
    </row>
    <row r="145" spans="1:5" ht="25.5">
      <c r="A145" s="634" t="s">
        <v>462</v>
      </c>
      <c r="B145" s="577"/>
      <c r="C145" s="671">
        <f>'P8 Rev Cred Support'!C50</f>
        <v>710697</v>
      </c>
      <c r="D145" s="671">
        <f>'P8 Rev Cred Support'!E50</f>
        <v>37595</v>
      </c>
      <c r="E145" s="671">
        <f>D145+C145</f>
        <v>748292</v>
      </c>
    </row>
    <row r="146" spans="1:5" ht="13.5" thickBot="1">
      <c r="A146" s="576"/>
      <c r="B146" s="583"/>
      <c r="C146" s="588"/>
      <c r="D146" s="588"/>
      <c r="E146" s="730"/>
    </row>
    <row r="147" spans="1:5" ht="13.5" thickBot="1">
      <c r="A147" s="654" t="s">
        <v>657</v>
      </c>
      <c r="B147" s="655"/>
      <c r="C147" s="945">
        <v>0.1138</v>
      </c>
      <c r="D147" s="656">
        <f>C147</f>
        <v>0.1138</v>
      </c>
      <c r="E147" s="731">
        <f>D147</f>
        <v>0.1138</v>
      </c>
    </row>
    <row r="148" spans="1:5">
      <c r="E148" s="672"/>
    </row>
    <row r="149" spans="1:5">
      <c r="A149" s="613" t="s">
        <v>388</v>
      </c>
      <c r="C149" s="637">
        <f>DEO!J28</f>
        <v>110813448.70645304</v>
      </c>
      <c r="D149" s="637">
        <f>DEK!J28</f>
        <v>5112987.224804041</v>
      </c>
      <c r="E149" s="672">
        <f>'DE Ohio &amp; Kentucky'!J30</f>
        <v>106450109.15136342</v>
      </c>
    </row>
    <row r="150" spans="1:5">
      <c r="C150" s="637"/>
      <c r="D150" s="637">
        <f>C149+D149</f>
        <v>115926435.93125708</v>
      </c>
      <c r="E150" s="637"/>
    </row>
    <row r="151" spans="1:5">
      <c r="A151" s="581"/>
      <c r="E151" s="637"/>
    </row>
    <row r="152" spans="1:5">
      <c r="A152" s="581"/>
      <c r="E152" s="637"/>
    </row>
    <row r="153" spans="1:5">
      <c r="A153" s="611" t="s">
        <v>660</v>
      </c>
      <c r="B153" s="657"/>
      <c r="C153" s="657"/>
      <c r="D153" s="657"/>
      <c r="E153" s="1040">
        <f>-'Corrections to May 2016 filing'!F40-'Corrections due FERC Audit'!N58</f>
        <v>-3135405</v>
      </c>
    </row>
    <row r="154" spans="1:5">
      <c r="A154" s="581"/>
      <c r="E154" s="637"/>
    </row>
    <row r="155" spans="1:5">
      <c r="A155" s="581"/>
    </row>
    <row r="156" spans="1:5">
      <c r="A156" s="581"/>
      <c r="E156" s="637"/>
    </row>
    <row r="157" spans="1:5">
      <c r="E157" s="637"/>
    </row>
    <row r="158" spans="1:5" ht="13.5" thickBot="1">
      <c r="A158" s="683" t="s">
        <v>340</v>
      </c>
      <c r="E158" s="637"/>
    </row>
    <row r="159" spans="1:5">
      <c r="A159" s="581" t="s">
        <v>662</v>
      </c>
      <c r="B159" s="684" t="s">
        <v>795</v>
      </c>
      <c r="C159" s="1022">
        <v>20489648</v>
      </c>
      <c r="D159" s="1023">
        <v>4099199</v>
      </c>
      <c r="E159" s="732">
        <f>D159+C159</f>
        <v>24588847</v>
      </c>
    </row>
    <row r="160" spans="1:5" ht="13.5" thickBot="1">
      <c r="A160" s="581" t="s">
        <v>663</v>
      </c>
      <c r="B160" s="684" t="s">
        <v>796</v>
      </c>
      <c r="C160" s="1024">
        <v>830870</v>
      </c>
      <c r="D160" s="1025">
        <v>573788</v>
      </c>
      <c r="E160" s="733">
        <f>D160+C160</f>
        <v>1404658</v>
      </c>
    </row>
    <row r="161" spans="3:5">
      <c r="E161" s="637"/>
    </row>
    <row r="162" spans="3:5">
      <c r="C162" s="638"/>
      <c r="D162" s="638"/>
      <c r="E162" s="638">
        <f>SUM(E159:E161)</f>
        <v>25993505</v>
      </c>
    </row>
    <row r="163" spans="3:5">
      <c r="E163" s="637"/>
    </row>
    <row r="164" spans="3:5">
      <c r="E164" s="637"/>
    </row>
    <row r="165" spans="3:5">
      <c r="E165" s="637"/>
    </row>
    <row r="166" spans="3:5">
      <c r="E166" s="637"/>
    </row>
    <row r="167" spans="3:5">
      <c r="E167" s="637"/>
    </row>
    <row r="168" spans="3:5">
      <c r="E168" s="637"/>
    </row>
    <row r="169" spans="3:5">
      <c r="E169" s="637"/>
    </row>
    <row r="170" spans="3:5">
      <c r="E170" s="637"/>
    </row>
    <row r="171" spans="3:5">
      <c r="E171" s="637"/>
    </row>
    <row r="172" spans="3:5">
      <c r="E172" s="637"/>
    </row>
    <row r="173" spans="3:5">
      <c r="E173" s="637"/>
    </row>
    <row r="174" spans="3:5">
      <c r="E174" s="637"/>
    </row>
    <row r="175" spans="3:5">
      <c r="E175" s="637"/>
    </row>
    <row r="176" spans="3:5">
      <c r="E176" s="637"/>
    </row>
    <row r="177" spans="5:5">
      <c r="E177" s="637"/>
    </row>
    <row r="178" spans="5:5">
      <c r="E178" s="637"/>
    </row>
    <row r="179" spans="5:5">
      <c r="E179" s="637"/>
    </row>
    <row r="180" spans="5:5">
      <c r="E180" s="637"/>
    </row>
    <row r="181" spans="5:5">
      <c r="E181" s="637"/>
    </row>
    <row r="182" spans="5:5">
      <c r="E182" s="637"/>
    </row>
    <row r="183" spans="5:5">
      <c r="E183" s="637"/>
    </row>
    <row r="184" spans="5:5">
      <c r="E184" s="637"/>
    </row>
    <row r="185" spans="5:5">
      <c r="E185" s="637"/>
    </row>
    <row r="186" spans="5:5">
      <c r="E186" s="637"/>
    </row>
    <row r="187" spans="5:5">
      <c r="E187" s="637"/>
    </row>
    <row r="188" spans="5:5">
      <c r="E188" s="637"/>
    </row>
    <row r="189" spans="5:5">
      <c r="E189" s="637"/>
    </row>
    <row r="190" spans="5:5">
      <c r="E190" s="637"/>
    </row>
    <row r="191" spans="5:5">
      <c r="E191" s="637"/>
    </row>
    <row r="192" spans="5:5">
      <c r="E192" s="637"/>
    </row>
    <row r="193" spans="5:5">
      <c r="E193" s="637"/>
    </row>
    <row r="194" spans="5:5">
      <c r="E194" s="637"/>
    </row>
    <row r="195" spans="5:5">
      <c r="E195" s="637"/>
    </row>
    <row r="196" spans="5:5">
      <c r="E196" s="637"/>
    </row>
    <row r="197" spans="5:5">
      <c r="E197" s="637"/>
    </row>
    <row r="198" spans="5:5">
      <c r="E198" s="637"/>
    </row>
    <row r="199" spans="5:5">
      <c r="E199" s="637"/>
    </row>
    <row r="200" spans="5:5">
      <c r="E200" s="637"/>
    </row>
    <row r="201" spans="5:5">
      <c r="E201" s="637"/>
    </row>
    <row r="202" spans="5:5">
      <c r="E202" s="637"/>
    </row>
    <row r="203" spans="5:5">
      <c r="E203" s="637"/>
    </row>
    <row r="204" spans="5:5">
      <c r="E204" s="637"/>
    </row>
    <row r="205" spans="5:5">
      <c r="E205" s="637"/>
    </row>
    <row r="206" spans="5:5">
      <c r="E206" s="637"/>
    </row>
    <row r="207" spans="5:5">
      <c r="E207" s="637"/>
    </row>
    <row r="208" spans="5:5">
      <c r="E208" s="637"/>
    </row>
    <row r="209" spans="5:5">
      <c r="E209" s="637"/>
    </row>
    <row r="210" spans="5:5">
      <c r="E210" s="637"/>
    </row>
    <row r="211" spans="5:5">
      <c r="E211" s="637"/>
    </row>
    <row r="212" spans="5:5">
      <c r="E212" s="637"/>
    </row>
    <row r="213" spans="5:5">
      <c r="E213" s="637"/>
    </row>
    <row r="214" spans="5:5">
      <c r="E214" s="637"/>
    </row>
    <row r="215" spans="5:5">
      <c r="E215" s="637"/>
    </row>
    <row r="216" spans="5:5">
      <c r="E216" s="637"/>
    </row>
    <row r="217" spans="5:5">
      <c r="E217" s="637"/>
    </row>
    <row r="218" spans="5:5">
      <c r="E218" s="637"/>
    </row>
    <row r="219" spans="5:5">
      <c r="E219" s="637"/>
    </row>
    <row r="220" spans="5:5">
      <c r="E220" s="637"/>
    </row>
    <row r="221" spans="5:5">
      <c r="E221" s="637"/>
    </row>
    <row r="222" spans="5:5">
      <c r="E222" s="637"/>
    </row>
    <row r="223" spans="5:5">
      <c r="E223" s="637"/>
    </row>
    <row r="224" spans="5:5">
      <c r="E224" s="637"/>
    </row>
    <row r="225" spans="5:5">
      <c r="E225" s="637"/>
    </row>
    <row r="226" spans="5:5">
      <c r="E226" s="637"/>
    </row>
    <row r="227" spans="5:5">
      <c r="E227" s="637"/>
    </row>
    <row r="228" spans="5:5">
      <c r="E228" s="637"/>
    </row>
    <row r="229" spans="5:5">
      <c r="E229" s="637"/>
    </row>
    <row r="230" spans="5:5">
      <c r="E230" s="637"/>
    </row>
    <row r="231" spans="5:5">
      <c r="E231" s="637"/>
    </row>
    <row r="232" spans="5:5">
      <c r="E232" s="637"/>
    </row>
    <row r="233" spans="5:5">
      <c r="E233" s="637"/>
    </row>
    <row r="234" spans="5:5">
      <c r="E234" s="637"/>
    </row>
    <row r="235" spans="5:5">
      <c r="E235" s="637"/>
    </row>
  </sheetData>
  <pageMargins left="0.5" right="0.2" top="0" bottom="0" header="0.3" footer="0.3"/>
  <pageSetup paperSize="5" scale="65" fitToHeight="2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1"/>
    <pageSetUpPr fitToPage="1"/>
  </sheetPr>
  <dimension ref="A1:I281"/>
  <sheetViews>
    <sheetView zoomScale="90" zoomScaleNormal="90" zoomScaleSheetLayoutView="75" workbookViewId="0">
      <selection sqref="A1:H39"/>
    </sheetView>
  </sheetViews>
  <sheetFormatPr defaultColWidth="7.109375" defaultRowHeight="12.75"/>
  <cols>
    <col min="1" max="1" width="18.44140625" style="85" customWidth="1"/>
    <col min="2" max="2" width="12.33203125" style="85" customWidth="1"/>
    <col min="3" max="3" width="1.44140625" style="85" customWidth="1"/>
    <col min="4" max="4" width="8.6640625" style="85" customWidth="1"/>
    <col min="5" max="5" width="1.109375" style="85" customWidth="1"/>
    <col min="6" max="6" width="12.88671875" style="85" customWidth="1"/>
    <col min="7" max="7" width="0.6640625" style="85" customWidth="1"/>
    <col min="8" max="8" width="11.44140625" style="85" customWidth="1"/>
    <col min="9" max="9" width="3.6640625" style="85" customWidth="1"/>
    <col min="10" max="16384" width="7.109375" style="85"/>
  </cols>
  <sheetData>
    <row r="1" spans="1:9" ht="18">
      <c r="A1" s="737" t="str">
        <f>'P1 ADIT 190 &amp; 282'!A1</f>
        <v>Duke Energy Ohio and Duke Energy Kentucky</v>
      </c>
      <c r="B1" s="738"/>
      <c r="C1" s="738"/>
      <c r="D1" s="738"/>
      <c r="E1" s="738"/>
      <c r="F1" s="738"/>
      <c r="G1" s="738"/>
      <c r="H1" s="738"/>
    </row>
    <row r="2" spans="1:9" ht="18">
      <c r="A2" s="737"/>
      <c r="B2" s="738"/>
      <c r="C2" s="738"/>
      <c r="D2" s="738"/>
      <c r="E2" s="738"/>
      <c r="F2" s="738"/>
      <c r="G2" s="739"/>
      <c r="H2" s="739"/>
    </row>
    <row r="3" spans="1:9">
      <c r="A3" s="739"/>
      <c r="B3" s="739"/>
      <c r="C3" s="739"/>
      <c r="D3" s="739"/>
      <c r="E3" s="739"/>
      <c r="F3" s="740"/>
      <c r="G3" s="739"/>
      <c r="H3" s="740" t="s">
        <v>542</v>
      </c>
    </row>
    <row r="4" spans="1:9">
      <c r="A4" s="739"/>
      <c r="B4" s="739"/>
      <c r="C4" s="739"/>
      <c r="D4" s="739"/>
      <c r="E4" s="739"/>
      <c r="F4" s="740"/>
      <c r="G4" s="739"/>
      <c r="H4" s="736" t="str">
        <f>"Page 2 of "&amp;Workpaper</f>
        <v>Page 2 of 11</v>
      </c>
    </row>
    <row r="5" spans="1:9">
      <c r="A5" s="739"/>
      <c r="B5" s="739"/>
      <c r="C5" s="739"/>
      <c r="D5" s="739"/>
      <c r="E5" s="739"/>
      <c r="F5" s="740"/>
      <c r="G5" s="739"/>
      <c r="H5" s="740" t="str">
        <f>'DE Ohio &amp; Kentucky'!$J$125</f>
        <v>For the 12 months ended: 12/31/2016</v>
      </c>
    </row>
    <row r="6" spans="1:9">
      <c r="A6" s="739"/>
      <c r="B6" s="739"/>
      <c r="C6" s="739"/>
      <c r="D6" s="739"/>
      <c r="E6" s="739"/>
      <c r="F6" s="740"/>
      <c r="G6" s="739"/>
      <c r="H6" s="740"/>
    </row>
    <row r="7" spans="1:9">
      <c r="A7" s="741" t="s">
        <v>311</v>
      </c>
      <c r="B7" s="738"/>
      <c r="C7" s="738"/>
      <c r="D7" s="738"/>
      <c r="E7" s="738"/>
      <c r="F7" s="738"/>
      <c r="G7" s="738"/>
      <c r="H7" s="738"/>
    </row>
    <row r="8" spans="1:9">
      <c r="A8" s="741" t="s">
        <v>392</v>
      </c>
      <c r="B8" s="738"/>
      <c r="C8" s="738"/>
      <c r="D8" s="738"/>
      <c r="E8" s="738"/>
      <c r="F8" s="738"/>
      <c r="G8" s="738"/>
      <c r="H8" s="738"/>
    </row>
    <row r="9" spans="1:9">
      <c r="A9" s="388"/>
      <c r="B9" s="387"/>
      <c r="C9" s="387"/>
      <c r="D9" s="387"/>
      <c r="E9" s="387"/>
      <c r="F9" s="387"/>
    </row>
    <row r="10" spans="1:9">
      <c r="A10" s="252"/>
      <c r="D10" s="253"/>
      <c r="E10" s="253"/>
    </row>
    <row r="11" spans="1:9">
      <c r="D11" s="136"/>
      <c r="E11" s="136"/>
      <c r="F11" s="251"/>
    </row>
    <row r="12" spans="1:9">
      <c r="A12" s="360" t="s">
        <v>211</v>
      </c>
    </row>
    <row r="13" spans="1:9" ht="19.5">
      <c r="B13" s="923" t="s">
        <v>709</v>
      </c>
      <c r="C13" s="923"/>
      <c r="D13" s="923" t="s">
        <v>699</v>
      </c>
      <c r="E13" s="923"/>
      <c r="F13" s="909" t="s">
        <v>710</v>
      </c>
      <c r="H13" s="539" t="s">
        <v>543</v>
      </c>
    </row>
    <row r="14" spans="1:9">
      <c r="A14" s="85" t="s">
        <v>227</v>
      </c>
      <c r="B14" s="947">
        <v>0</v>
      </c>
      <c r="C14" s="566"/>
      <c r="D14" s="924">
        <f>B14/B17</f>
        <v>0</v>
      </c>
      <c r="E14" s="924"/>
      <c r="F14" s="567">
        <f>ROUND(F17*D14,0)</f>
        <v>0</v>
      </c>
      <c r="H14" s="95"/>
    </row>
    <row r="15" spans="1:9">
      <c r="A15" s="85" t="s">
        <v>30</v>
      </c>
      <c r="B15" s="947">
        <v>18448451</v>
      </c>
      <c r="C15" s="568"/>
      <c r="D15" s="924">
        <f>B15/B17</f>
        <v>0.31405957823994168</v>
      </c>
      <c r="E15" s="924"/>
      <c r="F15" s="567">
        <f>ROUND(D15*F17,0)</f>
        <v>978760</v>
      </c>
      <c r="G15" s="468"/>
      <c r="H15" s="472">
        <f>F15+B15</f>
        <v>19427211</v>
      </c>
      <c r="I15" s="468"/>
    </row>
    <row r="16" spans="1:9" ht="15">
      <c r="A16" s="85" t="s">
        <v>228</v>
      </c>
      <c r="B16" s="1030">
        <v>40293432</v>
      </c>
      <c r="C16" s="371"/>
      <c r="D16" s="925">
        <f>B16/B17</f>
        <v>0.68594042176005832</v>
      </c>
      <c r="E16" s="925"/>
      <c r="F16" s="262">
        <f>F17-F15-F14</f>
        <v>2137719</v>
      </c>
    </row>
    <row r="17" spans="1:9" ht="15">
      <c r="A17" s="85" t="s">
        <v>312</v>
      </c>
      <c r="B17" s="469">
        <f>SUM(B14:B16)</f>
        <v>58741883</v>
      </c>
      <c r="C17" s="371"/>
      <c r="D17" s="471">
        <f>SUM(D14:D16)</f>
        <v>1</v>
      </c>
      <c r="E17" s="305"/>
      <c r="F17" s="1031">
        <v>3116479</v>
      </c>
    </row>
    <row r="18" spans="1:9">
      <c r="B18" s="570"/>
      <c r="C18" s="371"/>
      <c r="D18" s="570"/>
      <c r="E18" s="570"/>
      <c r="F18" s="371"/>
    </row>
    <row r="19" spans="1:9">
      <c r="B19" s="571"/>
      <c r="C19" s="371"/>
      <c r="D19" s="571"/>
      <c r="E19" s="571"/>
      <c r="F19" s="371"/>
    </row>
    <row r="20" spans="1:9" s="255" customFormat="1">
      <c r="A20" s="360" t="s">
        <v>212</v>
      </c>
      <c r="B20" s="371"/>
      <c r="C20" s="371"/>
      <c r="D20" s="371"/>
      <c r="E20" s="371"/>
      <c r="F20" s="371"/>
      <c r="G20" s="85"/>
      <c r="H20" s="85"/>
      <c r="I20" s="85"/>
    </row>
    <row r="21" spans="1:9" s="255" customFormat="1" ht="19.5">
      <c r="A21" s="85"/>
      <c r="B21" s="923" t="s">
        <v>709</v>
      </c>
      <c r="C21" s="923"/>
      <c r="D21" s="923" t="s">
        <v>699</v>
      </c>
      <c r="E21" s="923"/>
      <c r="F21" s="909" t="s">
        <v>710</v>
      </c>
      <c r="G21" s="85"/>
      <c r="H21" s="85"/>
      <c r="I21" s="85"/>
    </row>
    <row r="22" spans="1:9" s="255" customFormat="1">
      <c r="A22" s="85" t="s">
        <v>227</v>
      </c>
      <c r="B22" s="947">
        <v>20003950</v>
      </c>
      <c r="C22" s="371"/>
      <c r="D22" s="924">
        <f>B22/B25</f>
        <v>0.96731404593408898</v>
      </c>
      <c r="E22" s="924"/>
      <c r="F22" s="567">
        <f>ROUND(F25*D22,0)</f>
        <v>325183</v>
      </c>
      <c r="G22" s="85"/>
      <c r="H22" s="85"/>
      <c r="I22" s="85"/>
    </row>
    <row r="23" spans="1:9" s="255" customFormat="1">
      <c r="A23" s="85" t="s">
        <v>30</v>
      </c>
      <c r="B23" s="947">
        <v>4377</v>
      </c>
      <c r="C23" s="568"/>
      <c r="D23" s="924">
        <f>B23/B25</f>
        <v>2.1165487711444529E-4</v>
      </c>
      <c r="E23" s="924"/>
      <c r="F23" s="567">
        <f>ROUND(D23*F25,0)</f>
        <v>71</v>
      </c>
      <c r="G23" s="468"/>
      <c r="H23" s="472">
        <f>F23+B23</f>
        <v>4448</v>
      </c>
      <c r="I23" s="468"/>
    </row>
    <row r="24" spans="1:9" s="255" customFormat="1" ht="15">
      <c r="A24" s="85" t="s">
        <v>228</v>
      </c>
      <c r="B24" s="1030">
        <v>671565</v>
      </c>
      <c r="C24" s="569"/>
      <c r="D24" s="925">
        <f>B24/B25</f>
        <v>3.2474299188796539E-2</v>
      </c>
      <c r="E24" s="925"/>
      <c r="F24" s="262">
        <f>F25-F23-F22</f>
        <v>10917</v>
      </c>
      <c r="G24" s="85"/>
      <c r="H24" s="85"/>
      <c r="I24" s="85"/>
    </row>
    <row r="25" spans="1:9" s="255" customFormat="1" ht="15">
      <c r="A25" s="85" t="s">
        <v>312</v>
      </c>
      <c r="B25" s="469">
        <f>SUM(B22:B24)</f>
        <v>20679892</v>
      </c>
      <c r="C25" s="263"/>
      <c r="D25" s="471">
        <f>SUM(D22:D24)</f>
        <v>1</v>
      </c>
      <c r="E25" s="305"/>
      <c r="F25" s="1031">
        <v>336171</v>
      </c>
    </row>
    <row r="26" spans="1:9" s="255" customFormat="1">
      <c r="B26" s="258"/>
      <c r="C26" s="258"/>
      <c r="D26" s="258"/>
      <c r="E26" s="258"/>
      <c r="F26" s="258"/>
    </row>
    <row r="27" spans="1:9" s="255" customFormat="1">
      <c r="B27" s="258"/>
      <c r="C27" s="258"/>
      <c r="D27" s="258"/>
      <c r="E27" s="258"/>
      <c r="F27" s="258"/>
    </row>
    <row r="28" spans="1:9" s="255" customFormat="1">
      <c r="A28" s="360" t="s">
        <v>424</v>
      </c>
      <c r="B28" s="371"/>
      <c r="C28" s="371"/>
      <c r="D28" s="371"/>
      <c r="E28" s="371"/>
      <c r="F28" s="371"/>
      <c r="G28" s="85"/>
      <c r="H28" s="85"/>
      <c r="I28" s="85"/>
    </row>
    <row r="29" spans="1:9" s="255" customFormat="1" ht="15">
      <c r="A29" s="85"/>
      <c r="B29" s="260" t="s">
        <v>187</v>
      </c>
      <c r="C29" s="260"/>
      <c r="D29" s="260"/>
      <c r="E29" s="260"/>
      <c r="F29" s="1032" t="s">
        <v>674</v>
      </c>
      <c r="G29" s="85"/>
      <c r="H29" s="85"/>
      <c r="I29" s="85"/>
    </row>
    <row r="30" spans="1:9" s="255" customFormat="1">
      <c r="A30" s="85" t="s">
        <v>227</v>
      </c>
      <c r="B30" s="567">
        <f>B14+B22</f>
        <v>20003950</v>
      </c>
      <c r="C30" s="566"/>
      <c r="D30" s="924"/>
      <c r="E30" s="924"/>
      <c r="F30" s="567">
        <f>F14+F22</f>
        <v>325183</v>
      </c>
      <c r="G30" s="85"/>
      <c r="H30" s="85"/>
      <c r="I30" s="85"/>
    </row>
    <row r="31" spans="1:9" s="255" customFormat="1">
      <c r="A31" s="85" t="s">
        <v>30</v>
      </c>
      <c r="B31" s="567">
        <f>B15+B23</f>
        <v>18452828</v>
      </c>
      <c r="C31" s="568"/>
      <c r="D31" s="924"/>
      <c r="E31" s="924"/>
      <c r="F31" s="567">
        <f>F15+F23</f>
        <v>978831</v>
      </c>
      <c r="G31" s="468"/>
      <c r="H31" s="472">
        <f>F31+B31</f>
        <v>19431659</v>
      </c>
      <c r="I31" s="468"/>
    </row>
    <row r="32" spans="1:9" s="255" customFormat="1" ht="15">
      <c r="A32" s="85" t="s">
        <v>228</v>
      </c>
      <c r="B32" s="470">
        <f>B16+B24</f>
        <v>40964997</v>
      </c>
      <c r="C32" s="85"/>
      <c r="D32" s="254"/>
      <c r="E32" s="254"/>
      <c r="F32" s="470">
        <f>F16+F24</f>
        <v>2148636</v>
      </c>
      <c r="G32" s="85"/>
      <c r="H32" s="85"/>
      <c r="I32" s="85"/>
    </row>
    <row r="33" spans="1:9" s="255" customFormat="1" ht="15">
      <c r="A33" s="85" t="s">
        <v>312</v>
      </c>
      <c r="B33" s="469">
        <f>SUM(B30:B32)</f>
        <v>79421775</v>
      </c>
      <c r="C33" s="85"/>
      <c r="D33" s="471"/>
      <c r="E33" s="471"/>
      <c r="F33" s="469">
        <f>SUM(F30:F32)</f>
        <v>3452650</v>
      </c>
      <c r="G33" s="85"/>
      <c r="H33" s="85"/>
      <c r="I33" s="85"/>
    </row>
    <row r="34" spans="1:9" s="255" customFormat="1"/>
    <row r="35" spans="1:9" s="255" customFormat="1"/>
    <row r="36" spans="1:9" s="255" customFormat="1" ht="14.25">
      <c r="A36" s="255" t="s">
        <v>753</v>
      </c>
      <c r="B36" s="256"/>
      <c r="C36" s="256"/>
      <c r="D36" s="256"/>
      <c r="E36" s="256"/>
    </row>
    <row r="37" spans="1:9" s="255" customFormat="1" ht="14.25">
      <c r="A37" s="919" t="s">
        <v>738</v>
      </c>
      <c r="B37" s="917"/>
      <c r="C37" s="917"/>
      <c r="D37" s="917"/>
      <c r="E37" s="256"/>
    </row>
    <row r="38" spans="1:9" s="255" customFormat="1" ht="14.25">
      <c r="A38" s="919" t="s">
        <v>739</v>
      </c>
      <c r="B38" s="918"/>
      <c r="C38" s="918"/>
      <c r="D38" s="918"/>
      <c r="E38" s="257"/>
    </row>
    <row r="39" spans="1:9" s="255" customFormat="1">
      <c r="B39" s="257"/>
      <c r="C39" s="257"/>
      <c r="D39" s="257"/>
      <c r="E39" s="257"/>
    </row>
    <row r="40" spans="1:9" s="255" customFormat="1"/>
    <row r="41" spans="1:9" s="255" customFormat="1">
      <c r="B41" s="256"/>
      <c r="C41" s="256"/>
      <c r="D41" s="256"/>
      <c r="E41" s="256"/>
    </row>
    <row r="42" spans="1:9" s="255" customFormat="1">
      <c r="B42" s="257"/>
      <c r="C42" s="257"/>
      <c r="D42" s="257"/>
      <c r="E42" s="257"/>
    </row>
    <row r="43" spans="1:9">
      <c r="B43" s="257"/>
      <c r="C43" s="257"/>
      <c r="D43" s="257"/>
      <c r="E43" s="257"/>
    </row>
    <row r="44" spans="1:9">
      <c r="B44" s="257"/>
      <c r="C44" s="257"/>
      <c r="D44" s="257"/>
      <c r="E44" s="257"/>
    </row>
    <row r="45" spans="1:9">
      <c r="B45" s="257"/>
      <c r="C45" s="257"/>
      <c r="D45" s="257"/>
      <c r="E45" s="257"/>
    </row>
    <row r="46" spans="1:9">
      <c r="B46" s="257"/>
      <c r="C46" s="257"/>
      <c r="D46" s="257"/>
      <c r="E46" s="257"/>
    </row>
    <row r="47" spans="1:9">
      <c r="B47" s="257"/>
      <c r="C47" s="257"/>
      <c r="D47" s="257"/>
      <c r="E47" s="257"/>
    </row>
    <row r="48" spans="1:9">
      <c r="B48" s="257"/>
      <c r="C48" s="257"/>
      <c r="D48" s="257"/>
      <c r="E48" s="257"/>
    </row>
    <row r="50" spans="2:6">
      <c r="B50" s="371"/>
      <c r="C50" s="371"/>
    </row>
    <row r="54" spans="2:6" s="258" customFormat="1"/>
    <row r="55" spans="2:6" s="258" customFormat="1" ht="20.100000000000001" customHeight="1">
      <c r="B55" s="259"/>
      <c r="C55" s="259"/>
      <c r="D55" s="259"/>
      <c r="E55" s="259"/>
    </row>
    <row r="56" spans="2:6" s="258" customFormat="1"/>
    <row r="57" spans="2:6" s="258" customFormat="1"/>
    <row r="58" spans="2:6" s="258" customFormat="1"/>
    <row r="59" spans="2:6" s="258" customFormat="1"/>
    <row r="60" spans="2:6" s="258" customFormat="1" ht="15">
      <c r="B60" s="260"/>
      <c r="C60" s="260"/>
      <c r="D60" s="260"/>
      <c r="E60" s="260"/>
    </row>
    <row r="61" spans="2:6" s="258" customFormat="1">
      <c r="B61" s="261"/>
      <c r="C61" s="261"/>
      <c r="D61" s="261"/>
      <c r="E61" s="261"/>
      <c r="F61" s="261"/>
    </row>
    <row r="62" spans="2:6" s="258" customFormat="1" ht="20.100000000000001" customHeight="1">
      <c r="B62" s="261"/>
      <c r="C62" s="261"/>
      <c r="D62" s="261"/>
      <c r="E62" s="261"/>
      <c r="F62" s="261"/>
    </row>
    <row r="63" spans="2:6" s="258" customFormat="1" ht="15">
      <c r="B63" s="262"/>
      <c r="C63" s="262"/>
      <c r="D63" s="262"/>
      <c r="E63" s="262"/>
      <c r="F63" s="261"/>
    </row>
    <row r="64" spans="2:6" s="258" customFormat="1" ht="15">
      <c r="B64" s="263"/>
      <c r="C64" s="263"/>
      <c r="D64" s="263"/>
      <c r="E64" s="263"/>
      <c r="F64" s="263"/>
    </row>
    <row r="65" spans="2:6" s="258" customFormat="1">
      <c r="B65" s="264"/>
      <c r="C65" s="264"/>
      <c r="D65" s="264"/>
      <c r="E65" s="264"/>
    </row>
    <row r="66" spans="2:6" s="258" customFormat="1">
      <c r="B66" s="265"/>
      <c r="C66" s="265"/>
      <c r="D66" s="265"/>
      <c r="E66" s="265"/>
    </row>
    <row r="67" spans="2:6" s="258" customFormat="1"/>
    <row r="68" spans="2:6" s="258" customFormat="1"/>
    <row r="69" spans="2:6" s="258" customFormat="1"/>
    <row r="70" spans="2:6" s="258" customFormat="1" ht="15">
      <c r="B70" s="260"/>
      <c r="C70" s="260"/>
      <c r="D70" s="260"/>
      <c r="E70" s="260"/>
    </row>
    <row r="71" spans="2:6" s="258" customFormat="1">
      <c r="B71" s="261"/>
      <c r="C71" s="261"/>
      <c r="D71" s="261"/>
      <c r="E71" s="261"/>
      <c r="F71" s="261"/>
    </row>
    <row r="72" spans="2:6" s="258" customFormat="1">
      <c r="B72" s="261"/>
      <c r="C72" s="261"/>
      <c r="D72" s="261"/>
      <c r="E72" s="261"/>
      <c r="F72" s="261"/>
    </row>
    <row r="73" spans="2:6" s="258" customFormat="1" ht="15">
      <c r="B73" s="263"/>
      <c r="C73" s="263"/>
      <c r="D73" s="263"/>
      <c r="E73" s="263"/>
      <c r="F73" s="263"/>
    </row>
    <row r="74" spans="2:6" s="258" customFormat="1">
      <c r="B74" s="264"/>
      <c r="C74" s="264"/>
      <c r="D74" s="264"/>
      <c r="E74" s="264"/>
    </row>
    <row r="75" spans="2:6" s="258" customFormat="1">
      <c r="B75" s="265"/>
      <c r="C75" s="265"/>
      <c r="D75" s="265"/>
      <c r="E75" s="265"/>
    </row>
    <row r="76" spans="2:6" s="258" customFormat="1"/>
    <row r="77" spans="2:6" s="258" customFormat="1"/>
    <row r="78" spans="2:6" s="258" customFormat="1"/>
    <row r="79" spans="2:6" s="258" customFormat="1"/>
    <row r="80" spans="2:6" s="258" customFormat="1">
      <c r="B80" s="266"/>
      <c r="C80" s="266"/>
      <c r="D80" s="266"/>
      <c r="E80" s="266"/>
    </row>
    <row r="81" spans="2:5" s="258" customFormat="1">
      <c r="B81" s="261"/>
      <c r="C81" s="261"/>
      <c r="D81" s="261"/>
      <c r="E81" s="261"/>
    </row>
    <row r="82" spans="2:5" s="258" customFormat="1">
      <c r="B82" s="261"/>
      <c r="C82" s="261"/>
      <c r="D82" s="261"/>
      <c r="E82" s="261"/>
    </row>
    <row r="83" spans="2:5" s="258" customFormat="1"/>
    <row r="84" spans="2:5" s="258" customFormat="1">
      <c r="B84" s="266"/>
      <c r="C84" s="266"/>
      <c r="D84" s="266"/>
      <c r="E84" s="266"/>
    </row>
    <row r="85" spans="2:5" s="258" customFormat="1">
      <c r="B85" s="261"/>
      <c r="C85" s="261"/>
      <c r="D85" s="261"/>
      <c r="E85" s="261"/>
    </row>
    <row r="86" spans="2:5" s="258" customFormat="1">
      <c r="B86" s="261"/>
      <c r="C86" s="261"/>
      <c r="D86" s="261"/>
      <c r="E86" s="261"/>
    </row>
    <row r="87" spans="2:5" s="258" customFormat="1">
      <c r="B87" s="261"/>
      <c r="C87" s="261"/>
      <c r="D87" s="261"/>
      <c r="E87" s="261"/>
    </row>
    <row r="88" spans="2:5" s="258" customFormat="1">
      <c r="B88" s="261"/>
      <c r="C88" s="261"/>
      <c r="D88" s="261"/>
      <c r="E88" s="261"/>
    </row>
    <row r="89" spans="2:5" s="258" customFormat="1">
      <c r="B89" s="261"/>
      <c r="C89" s="261"/>
      <c r="D89" s="261"/>
      <c r="E89" s="261"/>
    </row>
    <row r="90" spans="2:5" s="258" customFormat="1">
      <c r="B90" s="261"/>
      <c r="C90" s="261"/>
      <c r="D90" s="261"/>
      <c r="E90" s="261"/>
    </row>
    <row r="91" spans="2:5" s="258" customFormat="1">
      <c r="B91" s="261"/>
      <c r="C91" s="261"/>
      <c r="D91" s="261"/>
      <c r="E91" s="261"/>
    </row>
    <row r="92" spans="2:5" s="258" customFormat="1"/>
    <row r="93" spans="2:5" s="258" customFormat="1"/>
    <row r="94" spans="2:5" s="258" customFormat="1"/>
    <row r="95" spans="2:5" s="258" customFormat="1"/>
    <row r="96" spans="2:5" s="258" customFormat="1"/>
    <row r="97" s="258" customFormat="1"/>
    <row r="98" s="258" customFormat="1"/>
    <row r="99" s="258" customFormat="1"/>
    <row r="100" s="258" customFormat="1"/>
    <row r="101" s="258" customFormat="1"/>
    <row r="102" s="258" customFormat="1"/>
    <row r="103" s="258" customFormat="1"/>
    <row r="104" s="258" customFormat="1"/>
    <row r="105" s="258" customFormat="1"/>
    <row r="106" s="258" customFormat="1"/>
    <row r="107" s="258" customFormat="1"/>
    <row r="108" s="258" customFormat="1"/>
    <row r="109" s="258" customFormat="1"/>
    <row r="110" s="258" customFormat="1"/>
    <row r="111" s="258" customFormat="1"/>
    <row r="112" s="258" customFormat="1"/>
    <row r="113" s="258" customFormat="1"/>
    <row r="114" s="258" customFormat="1"/>
    <row r="115" s="258" customFormat="1"/>
    <row r="116" s="258" customFormat="1"/>
    <row r="117" s="258" customFormat="1"/>
    <row r="118" s="258" customFormat="1"/>
    <row r="119" s="258" customFormat="1"/>
    <row r="120" s="258" customFormat="1"/>
    <row r="121" s="258" customFormat="1"/>
    <row r="122" s="258" customFormat="1"/>
    <row r="123" s="258" customFormat="1"/>
    <row r="124" s="258" customFormat="1"/>
    <row r="125" s="258" customFormat="1"/>
    <row r="126" s="258" customFormat="1"/>
    <row r="127" s="258" customFormat="1"/>
    <row r="128" s="258" customFormat="1"/>
    <row r="129" s="258" customFormat="1"/>
    <row r="130" s="258" customFormat="1"/>
    <row r="131" s="258" customFormat="1"/>
    <row r="132" s="258" customFormat="1"/>
    <row r="133" s="258" customFormat="1"/>
    <row r="134" s="258" customFormat="1"/>
    <row r="135" s="258" customFormat="1"/>
    <row r="136" s="258" customFormat="1"/>
    <row r="137" s="258" customFormat="1"/>
    <row r="138" s="258" customFormat="1"/>
    <row r="139" s="258" customFormat="1"/>
    <row r="140" s="258" customFormat="1"/>
    <row r="141" s="258" customFormat="1"/>
    <row r="142" s="258" customFormat="1"/>
    <row r="143" s="258" customFormat="1"/>
    <row r="144" s="258" customFormat="1"/>
    <row r="145" s="258" customFormat="1"/>
    <row r="146" s="258" customFormat="1"/>
    <row r="147" s="258" customFormat="1"/>
    <row r="148" s="258" customFormat="1"/>
    <row r="149" s="258" customFormat="1"/>
    <row r="150" s="258" customFormat="1"/>
    <row r="151" s="258" customFormat="1"/>
    <row r="152" s="258" customFormat="1"/>
    <row r="153" s="258" customFormat="1"/>
    <row r="154" s="258" customFormat="1"/>
    <row r="155" s="258" customFormat="1"/>
    <row r="156" s="258" customFormat="1"/>
    <row r="157" s="258" customFormat="1"/>
    <row r="158" s="258" customFormat="1"/>
    <row r="159" s="258" customFormat="1"/>
    <row r="160" s="258" customFormat="1"/>
    <row r="161" s="258" customFormat="1"/>
    <row r="162" s="258" customFormat="1"/>
    <row r="163" s="258" customFormat="1"/>
    <row r="164" s="258" customFormat="1"/>
    <row r="165" s="258" customFormat="1"/>
    <row r="166" s="258" customFormat="1"/>
    <row r="167" s="258" customFormat="1"/>
    <row r="168" s="258" customFormat="1"/>
    <row r="169" s="258" customFormat="1"/>
    <row r="170" s="258" customFormat="1"/>
    <row r="171" s="258" customFormat="1"/>
    <row r="172" s="258" customFormat="1"/>
    <row r="173" s="258" customFormat="1"/>
    <row r="174" s="258" customFormat="1"/>
    <row r="175" s="258" customFormat="1"/>
    <row r="176" s="258" customFormat="1"/>
    <row r="177" s="258" customFormat="1"/>
    <row r="178" s="258" customFormat="1"/>
    <row r="179" s="258" customFormat="1"/>
    <row r="180" s="258" customFormat="1"/>
    <row r="181" s="258" customFormat="1"/>
    <row r="182" s="258" customFormat="1"/>
    <row r="183" s="258" customFormat="1"/>
    <row r="184" s="258" customFormat="1"/>
    <row r="185" s="258" customFormat="1"/>
    <row r="186" s="258" customFormat="1"/>
    <row r="187" s="258" customFormat="1"/>
    <row r="188" s="258" customFormat="1"/>
    <row r="189" s="258" customFormat="1"/>
    <row r="190" s="258" customFormat="1"/>
    <row r="191" s="258" customFormat="1"/>
    <row r="192" s="258" customFormat="1"/>
    <row r="193" s="258" customFormat="1"/>
    <row r="194" s="258" customFormat="1"/>
    <row r="195" s="258" customFormat="1"/>
    <row r="196" s="258" customFormat="1"/>
    <row r="197" s="258" customFormat="1"/>
    <row r="198" s="258" customFormat="1"/>
    <row r="199" s="258" customFormat="1"/>
    <row r="200" s="258" customFormat="1"/>
    <row r="201" s="258" customFormat="1"/>
    <row r="202" s="258" customFormat="1"/>
    <row r="203" s="258" customFormat="1"/>
    <row r="204" s="258" customFormat="1"/>
    <row r="205" s="258" customFormat="1"/>
    <row r="206" s="258" customFormat="1"/>
    <row r="207" s="258" customFormat="1"/>
    <row r="208" s="258" customFormat="1"/>
    <row r="209" s="258" customFormat="1"/>
    <row r="210" s="258" customFormat="1"/>
    <row r="211" s="258" customFormat="1"/>
    <row r="212" s="258" customFormat="1"/>
    <row r="213" s="258" customFormat="1"/>
    <row r="214" s="258" customFormat="1"/>
    <row r="215" s="258" customFormat="1"/>
    <row r="216" s="258" customFormat="1"/>
    <row r="217" s="258" customFormat="1"/>
    <row r="218" s="258" customFormat="1"/>
    <row r="219" s="258" customFormat="1"/>
    <row r="220" s="258" customFormat="1"/>
    <row r="221" s="258" customFormat="1"/>
    <row r="222" s="258" customFormat="1"/>
    <row r="223" s="258" customFormat="1"/>
    <row r="224" s="258" customFormat="1"/>
    <row r="225" s="258" customFormat="1"/>
    <row r="226" s="258" customFormat="1"/>
    <row r="227" s="258" customFormat="1"/>
    <row r="228" s="258" customFormat="1"/>
    <row r="229" s="258" customFormat="1"/>
    <row r="230" s="258" customFormat="1"/>
    <row r="231" s="258" customFormat="1"/>
    <row r="232" s="258" customFormat="1"/>
    <row r="233" s="258" customFormat="1"/>
    <row r="234" s="258" customFormat="1"/>
    <row r="235" s="258" customFormat="1"/>
    <row r="236" s="258" customFormat="1"/>
    <row r="237" s="258" customFormat="1"/>
    <row r="238" s="258" customFormat="1"/>
    <row r="239" s="258" customFormat="1"/>
    <row r="240" s="258" customFormat="1"/>
    <row r="241" s="258" customFormat="1"/>
    <row r="242" s="258" customFormat="1"/>
    <row r="243" s="258" customFormat="1"/>
    <row r="244" s="258" customFormat="1"/>
    <row r="245" s="258" customFormat="1"/>
    <row r="246" s="258" customFormat="1"/>
    <row r="247" s="258" customFormat="1"/>
    <row r="248" s="258" customFormat="1"/>
    <row r="249" s="258" customFormat="1"/>
    <row r="250" s="258" customFormat="1"/>
    <row r="251" s="258" customFormat="1"/>
    <row r="252" s="258" customFormat="1"/>
    <row r="253" s="258" customFormat="1"/>
    <row r="254" s="258" customFormat="1"/>
    <row r="255" s="258" customFormat="1"/>
    <row r="256" s="258" customFormat="1"/>
    <row r="257" s="258" customFormat="1"/>
    <row r="258" s="258" customFormat="1"/>
    <row r="259" s="258" customFormat="1"/>
    <row r="260" s="258" customFormat="1"/>
    <row r="261" s="258" customFormat="1"/>
    <row r="262" s="258" customFormat="1"/>
    <row r="263" s="258" customFormat="1"/>
    <row r="264" s="258" customFormat="1"/>
    <row r="265" s="258" customFormat="1"/>
    <row r="266" s="258" customFormat="1"/>
    <row r="267" s="258" customFormat="1"/>
    <row r="268" s="258" customFormat="1"/>
    <row r="269" s="258" customFormat="1"/>
    <row r="270" s="258" customFormat="1"/>
    <row r="271" s="258" customFormat="1"/>
    <row r="272" s="258" customFormat="1"/>
    <row r="273" s="258" customFormat="1"/>
    <row r="274" s="258" customFormat="1"/>
    <row r="275" s="258" customFormat="1"/>
    <row r="276" s="258" customFormat="1"/>
    <row r="277" s="258" customFormat="1"/>
    <row r="278" s="258" customFormat="1"/>
    <row r="279" s="258" customFormat="1"/>
    <row r="280" s="258" customFormat="1"/>
    <row r="281" s="258" customFormat="1"/>
  </sheetData>
  <phoneticPr fontId="29" type="noConversion"/>
  <pageMargins left="1" right="1" top="1" bottom="0.5" header="1" footer="0.25"/>
  <pageSetup fitToHeight="2" orientation="portrait" blackAndWhite="1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/>
    <pageSetUpPr fitToPage="1"/>
  </sheetPr>
  <dimension ref="A1:D43"/>
  <sheetViews>
    <sheetView zoomScale="80" zoomScaleNormal="80" workbookViewId="0">
      <selection sqref="A1:D34"/>
    </sheetView>
  </sheetViews>
  <sheetFormatPr defaultColWidth="8.77734375" defaultRowHeight="15"/>
  <cols>
    <col min="1" max="1" width="37.21875" style="12" bestFit="1" customWidth="1"/>
    <col min="2" max="3" width="22.44140625" style="12" customWidth="1"/>
    <col min="4" max="4" width="22.88671875" style="12" customWidth="1"/>
    <col min="5" max="16384" width="8.77734375" style="12"/>
  </cols>
  <sheetData>
    <row r="1" spans="1:4" ht="18">
      <c r="A1" s="737" t="str">
        <f>'P1 ADIT 190 &amp; 282'!A1</f>
        <v>Duke Energy Ohio and Duke Energy Kentucky</v>
      </c>
      <c r="B1" s="743"/>
      <c r="C1" s="743"/>
      <c r="D1" s="743"/>
    </row>
    <row r="2" spans="1:4" ht="18">
      <c r="A2" s="737"/>
      <c r="B2" s="743"/>
      <c r="C2" s="743"/>
      <c r="D2" s="743"/>
    </row>
    <row r="3" spans="1:4" ht="18">
      <c r="A3" s="737"/>
      <c r="B3" s="743"/>
      <c r="C3" s="743"/>
      <c r="D3" s="744" t="s">
        <v>542</v>
      </c>
    </row>
    <row r="4" spans="1:4">
      <c r="A4" s="745"/>
      <c r="B4" s="745"/>
      <c r="C4" s="745"/>
      <c r="D4" s="742" t="str">
        <f>"Page 3 of "&amp;Workpaper</f>
        <v>Page 3 of 11</v>
      </c>
    </row>
    <row r="5" spans="1:4">
      <c r="A5" s="745"/>
      <c r="B5" s="745"/>
      <c r="C5" s="745"/>
      <c r="D5" s="744" t="str">
        <f>'DE Ohio &amp; Kentucky'!$J$125</f>
        <v>For the 12 months ended: 12/31/2016</v>
      </c>
    </row>
    <row r="6" spans="1:4">
      <c r="A6" s="745"/>
      <c r="B6" s="745"/>
      <c r="C6" s="745"/>
      <c r="D6" s="744"/>
    </row>
    <row r="7" spans="1:4" ht="15.75">
      <c r="A7" s="746" t="s">
        <v>245</v>
      </c>
      <c r="B7" s="743"/>
      <c r="C7" s="743"/>
      <c r="D7" s="743"/>
    </row>
    <row r="8" spans="1:4">
      <c r="A8" s="745"/>
      <c r="B8" s="745"/>
      <c r="C8" s="745"/>
      <c r="D8" s="745"/>
    </row>
    <row r="9" spans="1:4">
      <c r="B9" s="374"/>
      <c r="C9" s="374"/>
    </row>
    <row r="10" spans="1:4" ht="34.5">
      <c r="A10" s="374"/>
      <c r="B10" s="375" t="s">
        <v>321</v>
      </c>
      <c r="C10" s="376" t="s">
        <v>244</v>
      </c>
      <c r="D10" s="861" t="s">
        <v>695</v>
      </c>
    </row>
    <row r="11" spans="1:4">
      <c r="B11" s="374"/>
      <c r="C11" s="374"/>
      <c r="D11" s="374"/>
    </row>
    <row r="12" spans="1:4" ht="15.75">
      <c r="A12" s="474" t="s">
        <v>211</v>
      </c>
      <c r="B12" s="378"/>
      <c r="C12" s="378"/>
      <c r="D12" s="378"/>
    </row>
    <row r="13" spans="1:4">
      <c r="B13" s="378"/>
      <c r="C13" s="378"/>
      <c r="D13" s="378"/>
    </row>
    <row r="14" spans="1:4">
      <c r="A14" s="12" t="s">
        <v>246</v>
      </c>
      <c r="B14" s="962"/>
      <c r="C14" s="1033">
        <v>0</v>
      </c>
      <c r="D14" s="934">
        <f>SUM(B14:C14)</f>
        <v>0</v>
      </c>
    </row>
    <row r="15" spans="1:4">
      <c r="A15" s="12" t="s">
        <v>247</v>
      </c>
      <c r="B15" s="1033">
        <v>255974</v>
      </c>
      <c r="C15" s="962">
        <v>3656</v>
      </c>
      <c r="D15" s="378">
        <f>SUM(B15:C15)</f>
        <v>259630</v>
      </c>
    </row>
    <row r="16" spans="1:4" ht="17.25">
      <c r="A16" s="12" t="s">
        <v>248</v>
      </c>
      <c r="B16" s="963">
        <v>0</v>
      </c>
      <c r="C16" s="963">
        <v>0</v>
      </c>
      <c r="D16" s="380">
        <f>SUM(B16:C16)</f>
        <v>0</v>
      </c>
    </row>
    <row r="17" spans="1:4" ht="17.25">
      <c r="A17" s="381" t="s">
        <v>17</v>
      </c>
      <c r="B17" s="382">
        <f>SUM(B14:B16)</f>
        <v>255974</v>
      </c>
      <c r="C17" s="382">
        <f>SUM(C14:C16)</f>
        <v>3656</v>
      </c>
      <c r="D17" s="382">
        <f>SUM(D14:D16)</f>
        <v>259630</v>
      </c>
    </row>
    <row r="21" spans="1:4" ht="15.75">
      <c r="A21" s="474" t="s">
        <v>212</v>
      </c>
      <c r="B21" s="378"/>
      <c r="C21" s="378"/>
      <c r="D21" s="378"/>
    </row>
    <row r="22" spans="1:4">
      <c r="A22" s="383"/>
      <c r="B22" s="378"/>
      <c r="C22" s="378"/>
      <c r="D22" s="378"/>
    </row>
    <row r="23" spans="1:4" ht="17.25">
      <c r="B23" s="966">
        <v>0</v>
      </c>
      <c r="C23" s="966">
        <v>0</v>
      </c>
      <c r="D23" s="384">
        <f>SUM(B23:C23)</f>
        <v>0</v>
      </c>
    </row>
    <row r="25" spans="1:4" ht="15.75">
      <c r="A25" s="379" t="s">
        <v>424</v>
      </c>
    </row>
    <row r="26" spans="1:4" ht="15.75">
      <c r="A26" s="379"/>
    </row>
    <row r="27" spans="1:4" ht="17.25">
      <c r="A27" s="126" t="s">
        <v>752</v>
      </c>
      <c r="B27" s="382">
        <f>B24+B17</f>
        <v>255974</v>
      </c>
      <c r="C27" s="382">
        <f>C24+C17</f>
        <v>3656</v>
      </c>
      <c r="D27" s="382">
        <f>D24+D17</f>
        <v>259630</v>
      </c>
    </row>
    <row r="32" spans="1:4">
      <c r="A32" s="12" t="s">
        <v>229</v>
      </c>
    </row>
    <row r="43" spans="2:2">
      <c r="B43" s="67"/>
    </row>
  </sheetData>
  <pageMargins left="1" right="1" top="1" bottom="0.5" header="0.25" footer="0.25"/>
  <pageSetup scale="6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1"/>
    <pageSetUpPr fitToPage="1"/>
  </sheetPr>
  <dimension ref="A1:F51"/>
  <sheetViews>
    <sheetView zoomScale="80" zoomScaleNormal="80" workbookViewId="0">
      <selection sqref="A1:E32"/>
    </sheetView>
  </sheetViews>
  <sheetFormatPr defaultColWidth="7.109375" defaultRowHeight="12.75"/>
  <cols>
    <col min="1" max="1" width="53.33203125" style="99" bestFit="1" customWidth="1"/>
    <col min="2" max="2" width="24.88671875" style="99" customWidth="1"/>
    <col min="3" max="3" width="15.21875" style="99" customWidth="1"/>
    <col min="4" max="4" width="13.5546875" style="99" customWidth="1"/>
    <col min="5" max="5" width="14.77734375" style="99" customWidth="1"/>
    <col min="6" max="6" width="5.77734375" style="976" customWidth="1"/>
    <col min="7" max="7" width="13" style="99" customWidth="1"/>
    <col min="8" max="16" width="16.21875" style="99" bestFit="1" customWidth="1"/>
    <col min="17" max="17" width="16.77734375" style="99" bestFit="1" customWidth="1"/>
    <col min="18" max="18" width="7.77734375" style="99" bestFit="1" customWidth="1"/>
    <col min="19" max="19" width="8.21875" style="99" bestFit="1" customWidth="1"/>
    <col min="20" max="20" width="9.88671875" style="99" bestFit="1" customWidth="1"/>
    <col min="21" max="21" width="6.33203125" style="99" customWidth="1"/>
    <col min="22" max="22" width="9.88671875" style="99" bestFit="1" customWidth="1"/>
    <col min="23" max="23" width="6.33203125" style="99" customWidth="1"/>
    <col min="24" max="24" width="9.88671875" style="99" bestFit="1" customWidth="1"/>
    <col min="25" max="26" width="6.33203125" style="99" customWidth="1"/>
    <col min="27" max="27" width="9.88671875" style="99" bestFit="1" customWidth="1"/>
    <col min="28" max="28" width="6.33203125" style="99" customWidth="1"/>
    <col min="29" max="29" width="9.88671875" style="99" bestFit="1" customWidth="1"/>
    <col min="30" max="30" width="6.33203125" style="99" customWidth="1"/>
    <col min="31" max="31" width="9.88671875" style="99" bestFit="1" customWidth="1"/>
    <col min="32" max="32" width="6.33203125" style="99" customWidth="1"/>
    <col min="33" max="33" width="9.88671875" style="99" bestFit="1" customWidth="1"/>
    <col min="34" max="34" width="8.21875" style="99" bestFit="1" customWidth="1"/>
    <col min="35" max="16384" width="7.109375" style="99"/>
  </cols>
  <sheetData>
    <row r="1" spans="1:5" ht="18">
      <c r="A1" s="737" t="str">
        <f>'P1 ADIT 190 &amp; 282'!A1</f>
        <v>Duke Energy Ohio and Duke Energy Kentucky</v>
      </c>
      <c r="B1" s="737"/>
      <c r="C1" s="743"/>
      <c r="D1" s="743"/>
      <c r="E1" s="747"/>
    </row>
    <row r="2" spans="1:5" ht="18">
      <c r="A2" s="737"/>
      <c r="B2" s="737"/>
      <c r="C2" s="743"/>
      <c r="D2" s="743"/>
      <c r="E2" s="748"/>
    </row>
    <row r="3" spans="1:5" ht="15.6" customHeight="1">
      <c r="A3" s="746"/>
      <c r="B3" s="746"/>
      <c r="C3" s="743"/>
      <c r="D3" s="748"/>
      <c r="E3" s="744" t="s">
        <v>542</v>
      </c>
    </row>
    <row r="4" spans="1:5" ht="15.6" customHeight="1">
      <c r="A4" s="746"/>
      <c r="B4" s="746"/>
      <c r="C4" s="743"/>
      <c r="D4" s="748"/>
      <c r="E4" s="742" t="str">
        <f>"Page 4 of "&amp;Workpaper</f>
        <v>Page 4 of 11</v>
      </c>
    </row>
    <row r="5" spans="1:5" ht="15.6" customHeight="1">
      <c r="A5" s="746"/>
      <c r="B5" s="746"/>
      <c r="C5" s="743"/>
      <c r="D5" s="748"/>
      <c r="E5" s="744" t="str">
        <f>'DE Ohio &amp; Kentucky'!$J$125</f>
        <v>For the 12 months ended: 12/31/2016</v>
      </c>
    </row>
    <row r="6" spans="1:5" ht="15.6" customHeight="1">
      <c r="A6" s="746"/>
      <c r="B6" s="746"/>
      <c r="C6" s="743"/>
      <c r="D6" s="744"/>
      <c r="E6" s="748"/>
    </row>
    <row r="7" spans="1:5" ht="15.6" customHeight="1">
      <c r="A7" s="864" t="s">
        <v>715</v>
      </c>
      <c r="B7" s="746"/>
      <c r="C7" s="743"/>
      <c r="D7" s="743"/>
      <c r="E7" s="747"/>
    </row>
    <row r="8" spans="1:5" ht="15.6" customHeight="1">
      <c r="A8" s="746"/>
      <c r="B8" s="746"/>
      <c r="C8" s="743"/>
      <c r="D8" s="743"/>
      <c r="E8" s="748"/>
    </row>
    <row r="9" spans="1:5" ht="15.6" customHeight="1">
      <c r="A9" s="105"/>
      <c r="B9" s="105"/>
      <c r="C9" s="105"/>
      <c r="D9" s="105"/>
    </row>
    <row r="10" spans="1:5" ht="15.6" customHeight="1">
      <c r="A10" s="119"/>
      <c r="B10" s="119"/>
      <c r="C10" s="118"/>
      <c r="D10" s="118"/>
    </row>
    <row r="11" spans="1:5" ht="15.6" customHeight="1">
      <c r="A11" s="118"/>
      <c r="B11" s="865"/>
      <c r="C11" s="120"/>
      <c r="D11" s="121"/>
    </row>
    <row r="12" spans="1:5" ht="22.15" customHeight="1">
      <c r="A12" s="922" t="s">
        <v>577</v>
      </c>
      <c r="B12" s="922" t="s">
        <v>359</v>
      </c>
      <c r="C12" s="122" t="s">
        <v>217</v>
      </c>
      <c r="D12" s="122" t="s">
        <v>218</v>
      </c>
      <c r="E12" s="122" t="s">
        <v>541</v>
      </c>
    </row>
    <row r="13" spans="1:5" ht="15.6" customHeight="1">
      <c r="A13" s="118"/>
      <c r="B13" s="118"/>
      <c r="C13" s="122"/>
      <c r="D13" s="122"/>
    </row>
    <row r="14" spans="1:5" ht="17.100000000000001" customHeight="1">
      <c r="A14" s="897" t="s">
        <v>376</v>
      </c>
      <c r="B14" s="898" t="s">
        <v>742</v>
      </c>
      <c r="C14" s="1034">
        <v>81791</v>
      </c>
      <c r="D14" s="1034">
        <v>20488</v>
      </c>
      <c r="E14" s="899">
        <f>D14+C14</f>
        <v>102279</v>
      </c>
    </row>
    <row r="15" spans="1:5" ht="17.100000000000001" customHeight="1">
      <c r="A15" s="920" t="s">
        <v>544</v>
      </c>
      <c r="B15" s="910" t="s">
        <v>713</v>
      </c>
      <c r="C15" s="940">
        <v>1244740</v>
      </c>
      <c r="D15" s="940">
        <v>699804</v>
      </c>
      <c r="E15" s="900">
        <f t="shared" ref="E15:E25" si="0">D15+C15</f>
        <v>1944544</v>
      </c>
    </row>
    <row r="16" spans="1:5" ht="17.100000000000001" customHeight="1">
      <c r="A16" s="920" t="s">
        <v>711</v>
      </c>
      <c r="B16" s="910" t="s">
        <v>714</v>
      </c>
      <c r="C16" s="940">
        <v>207700</v>
      </c>
      <c r="D16" s="940"/>
      <c r="E16" s="900">
        <f t="shared" si="0"/>
        <v>207700</v>
      </c>
    </row>
    <row r="17" spans="1:6" ht="17.100000000000001" customHeight="1">
      <c r="A17" s="920" t="s">
        <v>712</v>
      </c>
      <c r="B17" s="910" t="s">
        <v>714</v>
      </c>
      <c r="C17" s="940">
        <v>110741</v>
      </c>
      <c r="D17" s="940"/>
      <c r="E17" s="900">
        <f t="shared" si="0"/>
        <v>110741</v>
      </c>
    </row>
    <row r="18" spans="1:6" ht="17.100000000000001" customHeight="1">
      <c r="A18" s="904" t="s">
        <v>818</v>
      </c>
      <c r="B18" s="910" t="s">
        <v>714</v>
      </c>
      <c r="C18" s="940">
        <f>43000+109</f>
        <v>43109</v>
      </c>
      <c r="D18" s="940">
        <v>86</v>
      </c>
      <c r="E18" s="900">
        <f t="shared" si="0"/>
        <v>43195</v>
      </c>
    </row>
    <row r="19" spans="1:6" ht="17.100000000000001" customHeight="1">
      <c r="A19" s="921"/>
      <c r="B19" s="910"/>
      <c r="C19" s="940"/>
      <c r="D19" s="940"/>
      <c r="E19" s="900"/>
    </row>
    <row r="20" spans="1:6" ht="17.100000000000001" customHeight="1">
      <c r="A20" s="904" t="s">
        <v>545</v>
      </c>
      <c r="B20" s="910" t="s">
        <v>740</v>
      </c>
      <c r="C20" s="948">
        <f>422541+458</f>
        <v>422999</v>
      </c>
      <c r="D20" s="948">
        <f>530339+2346</f>
        <v>532685</v>
      </c>
      <c r="E20" s="900">
        <f t="shared" si="0"/>
        <v>955684</v>
      </c>
    </row>
    <row r="21" spans="1:6" ht="17.100000000000001" customHeight="1">
      <c r="A21" s="904" t="s">
        <v>820</v>
      </c>
      <c r="B21" s="910" t="s">
        <v>821</v>
      </c>
      <c r="C21" s="948">
        <v>84201</v>
      </c>
      <c r="D21" s="948">
        <v>58293</v>
      </c>
      <c r="E21" s="900">
        <f t="shared" si="0"/>
        <v>142494</v>
      </c>
      <c r="F21" s="977" t="s">
        <v>24</v>
      </c>
    </row>
    <row r="22" spans="1:6" ht="17.100000000000001" customHeight="1">
      <c r="A22" s="904" t="s">
        <v>716</v>
      </c>
      <c r="B22" s="910" t="s">
        <v>717</v>
      </c>
      <c r="C22" s="948"/>
      <c r="D22" s="948">
        <v>143214</v>
      </c>
      <c r="E22" s="900">
        <f t="shared" si="0"/>
        <v>143214</v>
      </c>
    </row>
    <row r="23" spans="1:6" ht="17.100000000000001" customHeight="1">
      <c r="A23" s="904" t="s">
        <v>716</v>
      </c>
      <c r="B23" s="910" t="s">
        <v>819</v>
      </c>
      <c r="C23" s="948">
        <v>14694</v>
      </c>
      <c r="D23" s="948">
        <v>13062</v>
      </c>
      <c r="E23" s="900">
        <f t="shared" si="0"/>
        <v>27756</v>
      </c>
    </row>
    <row r="24" spans="1:6" ht="17.100000000000001" customHeight="1">
      <c r="A24" s="904" t="s">
        <v>716</v>
      </c>
      <c r="B24" s="910" t="s">
        <v>718</v>
      </c>
      <c r="C24" s="948">
        <v>315095</v>
      </c>
      <c r="D24" s="948">
        <v>310288</v>
      </c>
      <c r="E24" s="900">
        <f t="shared" si="0"/>
        <v>625383</v>
      </c>
    </row>
    <row r="25" spans="1:6" ht="17.100000000000001" customHeight="1">
      <c r="A25" s="904" t="s">
        <v>716</v>
      </c>
      <c r="B25" s="910" t="s">
        <v>719</v>
      </c>
      <c r="C25" s="710">
        <v>8550</v>
      </c>
      <c r="D25" s="710">
        <v>7600</v>
      </c>
      <c r="E25" s="129">
        <f t="shared" si="0"/>
        <v>16150</v>
      </c>
    </row>
    <row r="26" spans="1:6" ht="18" customHeight="1">
      <c r="A26" s="904" t="s">
        <v>720</v>
      </c>
      <c r="B26" s="910"/>
      <c r="C26" s="969">
        <f>C20-C21-C22-C23-C24-C25</f>
        <v>459</v>
      </c>
      <c r="D26" s="969">
        <f>D20-D21-D22-D23-D24-D25</f>
        <v>228</v>
      </c>
      <c r="E26" s="969">
        <f>E20-E21-E22-E23-E24-E25</f>
        <v>687</v>
      </c>
    </row>
    <row r="27" spans="1:6" ht="15.6" customHeight="1">
      <c r="A27" s="124"/>
      <c r="B27" s="124"/>
      <c r="C27" s="118"/>
      <c r="D27" s="118"/>
      <c r="E27" s="118"/>
    </row>
    <row r="28" spans="1:6" ht="15.6" customHeight="1">
      <c r="A28" s="863" t="s">
        <v>546</v>
      </c>
      <c r="B28" s="124"/>
      <c r="C28" s="409">
        <f>SUM(C14:C18)+C26</f>
        <v>1688540</v>
      </c>
      <c r="D28" s="409">
        <f>SUM(D14:D18)+D26</f>
        <v>720606</v>
      </c>
      <c r="E28" s="409">
        <f>SUM(E14:E18)+E26</f>
        <v>2409146</v>
      </c>
    </row>
    <row r="29" spans="1:6" ht="15.6" customHeight="1">
      <c r="A29" s="862"/>
      <c r="B29" s="124"/>
      <c r="C29" s="118"/>
      <c r="D29" s="118"/>
      <c r="E29" s="118"/>
    </row>
    <row r="30" spans="1:6" ht="15.6" customHeight="1">
      <c r="A30" s="862" t="s">
        <v>250</v>
      </c>
      <c r="B30" s="124"/>
      <c r="C30" s="710">
        <v>0</v>
      </c>
      <c r="D30" s="710">
        <v>0</v>
      </c>
      <c r="E30" s="129">
        <f>D30+C30</f>
        <v>0</v>
      </c>
    </row>
    <row r="31" spans="1:6" ht="15.6" customHeight="1">
      <c r="A31" s="862"/>
      <c r="B31" s="124"/>
      <c r="C31" s="118"/>
      <c r="D31" s="118"/>
      <c r="E31" s="100"/>
      <c r="F31" s="978"/>
    </row>
    <row r="32" spans="1:6" ht="17.25">
      <c r="A32" s="921" t="s">
        <v>751</v>
      </c>
      <c r="B32" s="118"/>
      <c r="C32" s="127">
        <f>C28-C30</f>
        <v>1688540</v>
      </c>
      <c r="D32" s="127">
        <f>D28-D30</f>
        <v>720606</v>
      </c>
      <c r="E32" s="127">
        <f>E28-E30</f>
        <v>2409146</v>
      </c>
    </row>
    <row r="35" spans="1:1" ht="15">
      <c r="A35" s="133" t="s">
        <v>825</v>
      </c>
    </row>
    <row r="51" spans="1:3">
      <c r="A51" s="304"/>
      <c r="B51" s="304"/>
      <c r="C51" s="372"/>
    </row>
  </sheetData>
  <phoneticPr fontId="37" type="noConversion"/>
  <pageMargins left="1" right="1" top="1" bottom="0.5" header="0.5" footer="0.5"/>
  <pageSetup scale="56" orientation="portrait" blackAndWhite="1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1"/>
    <pageSetUpPr fitToPage="1"/>
  </sheetPr>
  <dimension ref="A1:E42"/>
  <sheetViews>
    <sheetView zoomScale="70" zoomScaleNormal="70" workbookViewId="0">
      <selection sqref="A1:E40"/>
    </sheetView>
  </sheetViews>
  <sheetFormatPr defaultColWidth="8.77734375" defaultRowHeight="15"/>
  <cols>
    <col min="1" max="1" width="46.21875" style="12" bestFit="1" customWidth="1"/>
    <col min="2" max="2" width="5.77734375" style="12" customWidth="1"/>
    <col min="3" max="3" width="15.5546875" style="12" bestFit="1" customWidth="1"/>
    <col min="4" max="4" width="19.21875" style="12" bestFit="1" customWidth="1"/>
    <col min="5" max="5" width="19.21875" style="12" customWidth="1"/>
    <col min="6" max="6" width="3" style="12" customWidth="1"/>
    <col min="7" max="16384" width="8.77734375" style="12"/>
  </cols>
  <sheetData>
    <row r="1" spans="1:5" ht="18">
      <c r="A1" s="737" t="str">
        <f>'P1 ADIT 190 &amp; 282'!A1</f>
        <v>Duke Energy Ohio and Duke Energy Kentucky</v>
      </c>
      <c r="B1" s="743"/>
      <c r="C1" s="743"/>
      <c r="D1" s="743"/>
      <c r="E1" s="743"/>
    </row>
    <row r="2" spans="1:5" ht="18">
      <c r="A2" s="737"/>
      <c r="B2" s="743"/>
      <c r="C2" s="743"/>
      <c r="D2" s="743"/>
      <c r="E2" s="743"/>
    </row>
    <row r="3" spans="1:5" ht="15.75">
      <c r="A3" s="746"/>
      <c r="B3" s="743"/>
      <c r="C3" s="743"/>
      <c r="D3" s="742"/>
      <c r="E3" s="744" t="s">
        <v>542</v>
      </c>
    </row>
    <row r="4" spans="1:5" ht="15.75">
      <c r="A4" s="746"/>
      <c r="B4" s="743"/>
      <c r="C4" s="743"/>
      <c r="D4" s="742"/>
      <c r="E4" s="742" t="str">
        <f>"Page 5 of "&amp;Workpaper</f>
        <v>Page 5 of 11</v>
      </c>
    </row>
    <row r="5" spans="1:5" ht="15.75">
      <c r="A5" s="746"/>
      <c r="B5" s="743"/>
      <c r="C5" s="743"/>
      <c r="D5" s="742"/>
      <c r="E5" s="744" t="str">
        <f>'DE Ohio &amp; Kentucky'!$J$125</f>
        <v>For the 12 months ended: 12/31/2016</v>
      </c>
    </row>
    <row r="6" spans="1:5" ht="15.75">
      <c r="A6" s="746" t="s">
        <v>206</v>
      </c>
      <c r="B6" s="743"/>
      <c r="C6" s="743"/>
      <c r="D6" s="743"/>
      <c r="E6" s="743"/>
    </row>
    <row r="7" spans="1:5" ht="15.75">
      <c r="A7" s="746"/>
      <c r="B7" s="743"/>
      <c r="C7" s="743"/>
      <c r="D7" s="743"/>
      <c r="E7" s="743"/>
    </row>
    <row r="8" spans="1:5" ht="15.75">
      <c r="A8" s="749"/>
      <c r="B8" s="750"/>
      <c r="C8" s="750"/>
      <c r="D8" s="750"/>
      <c r="E8" s="750"/>
    </row>
    <row r="9" spans="1:5" ht="20.25">
      <c r="A9" s="118"/>
      <c r="B9" s="214"/>
      <c r="C9" s="121"/>
      <c r="D9" s="121"/>
      <c r="E9" s="121"/>
    </row>
    <row r="10" spans="1:5" ht="21" thickBot="1">
      <c r="A10" s="118"/>
      <c r="B10" s="215"/>
      <c r="C10" s="122" t="s">
        <v>217</v>
      </c>
      <c r="D10" s="122" t="s">
        <v>218</v>
      </c>
      <c r="E10" s="122" t="s">
        <v>541</v>
      </c>
    </row>
    <row r="11" spans="1:5" ht="21" thickBot="1">
      <c r="A11" s="752" t="s">
        <v>253</v>
      </c>
      <c r="B11" s="215"/>
      <c r="C11" s="122"/>
      <c r="D11" s="122"/>
      <c r="E11" s="122"/>
    </row>
    <row r="12" spans="1:5" ht="23.25" customHeight="1">
      <c r="A12" s="123" t="s">
        <v>251</v>
      </c>
      <c r="B12" s="216"/>
      <c r="C12" s="216">
        <f>INPUT!C56</f>
        <v>54281296</v>
      </c>
      <c r="D12" s="216">
        <f>INPUT!D56</f>
        <v>19369738</v>
      </c>
      <c r="E12" s="409">
        <f>D12+C12</f>
        <v>73651034</v>
      </c>
    </row>
    <row r="13" spans="1:5">
      <c r="A13" s="124"/>
      <c r="B13" s="217"/>
      <c r="C13" s="217"/>
      <c r="D13" s="217"/>
      <c r="E13" s="118"/>
    </row>
    <row r="14" spans="1:5" ht="33">
      <c r="A14" s="659" t="s">
        <v>799</v>
      </c>
      <c r="B14" s="125"/>
      <c r="C14" s="967">
        <f>916712+6279</f>
        <v>922991</v>
      </c>
      <c r="D14" s="967">
        <f>318595+1375</f>
        <v>319970</v>
      </c>
      <c r="E14" s="936">
        <f t="shared" ref="E14:E19" si="0">D14+C14</f>
        <v>1242961</v>
      </c>
    </row>
    <row r="15" spans="1:5" s="933" customFormat="1" ht="39.75" customHeight="1">
      <c r="A15" s="659" t="s">
        <v>798</v>
      </c>
      <c r="B15" s="125"/>
      <c r="C15" s="967">
        <v>0</v>
      </c>
      <c r="D15" s="967">
        <v>0</v>
      </c>
      <c r="E15" s="936">
        <f t="shared" si="0"/>
        <v>0</v>
      </c>
    </row>
    <row r="16" spans="1:5" s="933" customFormat="1" ht="21.95" customHeight="1">
      <c r="A16" s="659" t="s">
        <v>768</v>
      </c>
      <c r="B16" s="125"/>
      <c r="C16" s="967">
        <f>13394+8700</f>
        <v>22094</v>
      </c>
      <c r="D16" s="967">
        <f>3525+2391</f>
        <v>5916</v>
      </c>
      <c r="E16" s="936">
        <f t="shared" si="0"/>
        <v>28010</v>
      </c>
    </row>
    <row r="17" spans="1:5" s="933" customFormat="1" ht="21.95" customHeight="1">
      <c r="A17" s="659" t="s">
        <v>797</v>
      </c>
      <c r="B17" s="125"/>
      <c r="C17" s="968">
        <v>0</v>
      </c>
      <c r="D17" s="967">
        <v>159021</v>
      </c>
      <c r="E17" s="936">
        <f t="shared" si="0"/>
        <v>159021</v>
      </c>
    </row>
    <row r="18" spans="1:5" s="933" customFormat="1" ht="21.95" customHeight="1">
      <c r="A18" s="659" t="s">
        <v>771</v>
      </c>
      <c r="B18" s="125"/>
      <c r="C18" s="967">
        <v>0</v>
      </c>
      <c r="D18" s="967">
        <v>0</v>
      </c>
      <c r="E18" s="936">
        <f t="shared" si="0"/>
        <v>0</v>
      </c>
    </row>
    <row r="19" spans="1:5" ht="48">
      <c r="A19" s="131" t="s">
        <v>255</v>
      </c>
      <c r="B19" s="125"/>
      <c r="C19" s="125">
        <v>0</v>
      </c>
      <c r="D19" s="125">
        <v>0</v>
      </c>
      <c r="E19" s="129">
        <f t="shared" si="0"/>
        <v>0</v>
      </c>
    </row>
    <row r="20" spans="1:5">
      <c r="A20" s="124"/>
      <c r="B20" s="217"/>
      <c r="C20" s="217"/>
      <c r="D20" s="217"/>
      <c r="E20" s="118"/>
    </row>
    <row r="21" spans="1:5" ht="24.75" customHeight="1">
      <c r="A21" s="126" t="s">
        <v>547</v>
      </c>
      <c r="B21" s="218"/>
      <c r="C21" s="218">
        <f>C12-SUM(C14:C19)</f>
        <v>53336211</v>
      </c>
      <c r="D21" s="218">
        <f>D12-SUM(D14:D19)</f>
        <v>18884831</v>
      </c>
      <c r="E21" s="218">
        <f>E12-SUM(E14:E19)</f>
        <v>72221042</v>
      </c>
    </row>
    <row r="22" spans="1:5" ht="14.25" customHeight="1">
      <c r="A22" s="126"/>
      <c r="B22" s="218"/>
      <c r="C22" s="218"/>
      <c r="D22" s="218"/>
      <c r="E22" s="135"/>
    </row>
    <row r="23" spans="1:5" ht="10.5" customHeight="1">
      <c r="A23" s="126"/>
      <c r="B23" s="218"/>
      <c r="C23" s="218"/>
      <c r="D23" s="218"/>
      <c r="E23" s="135"/>
    </row>
    <row r="24" spans="1:5" ht="15.75" thickBot="1">
      <c r="A24" s="124"/>
      <c r="B24" s="217"/>
      <c r="C24" s="217"/>
      <c r="D24" s="217"/>
      <c r="E24" s="118"/>
    </row>
    <row r="25" spans="1:5" ht="16.5" thickBot="1">
      <c r="A25" s="752" t="s">
        <v>254</v>
      </c>
      <c r="B25" s="217"/>
      <c r="C25" s="217"/>
      <c r="D25" s="217"/>
      <c r="E25" s="118"/>
    </row>
    <row r="26" spans="1:5" ht="21" customHeight="1">
      <c r="A26" s="123" t="s">
        <v>252</v>
      </c>
      <c r="B26" s="216"/>
      <c r="C26" s="216">
        <f>INPUT!C51</f>
        <v>50347880</v>
      </c>
      <c r="D26" s="216">
        <f>INPUT!D51</f>
        <v>19417545</v>
      </c>
      <c r="E26" s="409">
        <f>D26+C26</f>
        <v>69765425</v>
      </c>
    </row>
    <row r="27" spans="1:5">
      <c r="A27" s="124"/>
      <c r="B27" s="217"/>
      <c r="C27" s="217"/>
      <c r="D27" s="217"/>
      <c r="E27" s="118"/>
    </row>
    <row r="28" spans="1:5" ht="48">
      <c r="A28" s="131" t="s">
        <v>256</v>
      </c>
      <c r="B28" s="129"/>
      <c r="C28" s="710">
        <v>0</v>
      </c>
      <c r="D28" s="710">
        <v>0</v>
      </c>
      <c r="E28" s="129">
        <f>D28+C28</f>
        <v>0</v>
      </c>
    </row>
    <row r="29" spans="1:5">
      <c r="A29" s="124"/>
      <c r="B29" s="217"/>
      <c r="C29" s="217"/>
      <c r="D29" s="217"/>
      <c r="E29" s="118"/>
    </row>
    <row r="30" spans="1:5" ht="27" customHeight="1">
      <c r="A30" s="126" t="s">
        <v>704</v>
      </c>
      <c r="B30" s="218"/>
      <c r="C30" s="218">
        <f>C26+C28</f>
        <v>50347880</v>
      </c>
      <c r="D30" s="218">
        <f>D26+D28</f>
        <v>19417545</v>
      </c>
      <c r="E30" s="135">
        <f>E26-E28</f>
        <v>69765425</v>
      </c>
    </row>
    <row r="31" spans="1:5" ht="14.25" customHeight="1">
      <c r="A31" s="126"/>
      <c r="B31" s="218"/>
      <c r="C31" s="218"/>
      <c r="D31" s="218"/>
      <c r="E31" s="135"/>
    </row>
    <row r="32" spans="1:5" ht="10.5" customHeight="1">
      <c r="A32" s="126"/>
      <c r="B32" s="218"/>
      <c r="C32" s="218"/>
      <c r="D32" s="218"/>
      <c r="E32" s="135"/>
    </row>
    <row r="33" spans="1:5" ht="15.75" thickBot="1">
      <c r="A33" s="124"/>
      <c r="B33" s="217"/>
      <c r="C33" s="217"/>
      <c r="D33" s="217"/>
      <c r="E33" s="118"/>
    </row>
    <row r="34" spans="1:5" ht="16.5" thickBot="1">
      <c r="A34" s="752" t="s">
        <v>257</v>
      </c>
      <c r="B34" s="217"/>
      <c r="C34" s="217"/>
      <c r="D34" s="217"/>
      <c r="E34" s="118"/>
    </row>
    <row r="35" spans="1:5" ht="21" customHeight="1">
      <c r="A35" s="123" t="s">
        <v>258</v>
      </c>
      <c r="B35" s="216"/>
      <c r="C35" s="216">
        <f>INPUT!C101</f>
        <v>4614699</v>
      </c>
      <c r="D35" s="216">
        <f>INPUT!D101</f>
        <v>663997</v>
      </c>
      <c r="E35" s="409">
        <f>D35+C35</f>
        <v>5278696</v>
      </c>
    </row>
    <row r="36" spans="1:5">
      <c r="A36" s="124"/>
      <c r="B36" s="217"/>
      <c r="C36" s="217"/>
      <c r="D36" s="217"/>
      <c r="E36" s="118"/>
    </row>
    <row r="37" spans="1:5" ht="48">
      <c r="A37" s="131" t="s">
        <v>256</v>
      </c>
      <c r="B37" s="129"/>
      <c r="C37" s="710">
        <v>0</v>
      </c>
      <c r="D37" s="710">
        <v>0</v>
      </c>
      <c r="E37" s="129">
        <f>D37+C37</f>
        <v>0</v>
      </c>
    </row>
    <row r="38" spans="1:5">
      <c r="A38" s="124"/>
      <c r="B38" s="217"/>
      <c r="C38" s="118"/>
      <c r="D38" s="118"/>
      <c r="E38" s="118"/>
    </row>
    <row r="39" spans="1:5" ht="27" customHeight="1">
      <c r="A39" s="126" t="s">
        <v>550</v>
      </c>
      <c r="B39" s="218"/>
      <c r="C39" s="135">
        <f>C35+C37</f>
        <v>4614699</v>
      </c>
      <c r="D39" s="135">
        <f>D35+D37</f>
        <v>663997</v>
      </c>
      <c r="E39" s="135">
        <f>E35-E37</f>
        <v>5278696</v>
      </c>
    </row>
    <row r="40" spans="1:5">
      <c r="A40" s="124"/>
      <c r="B40" s="217"/>
      <c r="C40" s="118"/>
      <c r="D40" s="118"/>
      <c r="E40" s="118"/>
    </row>
    <row r="41" spans="1:5">
      <c r="A41" s="124"/>
      <c r="B41" s="217"/>
      <c r="C41" s="118"/>
      <c r="D41" s="118"/>
      <c r="E41" s="118"/>
    </row>
    <row r="42" spans="1:5" ht="39.75" customHeight="1">
      <c r="A42" s="1047"/>
      <c r="B42" s="1047"/>
      <c r="C42" s="1047"/>
      <c r="D42" s="1047"/>
      <c r="E42" s="467"/>
    </row>
  </sheetData>
  <mergeCells count="1">
    <mergeCell ref="A42:D42"/>
  </mergeCells>
  <phoneticPr fontId="0" type="noConversion"/>
  <pageMargins left="1" right="0.5" top="1" bottom="0.5" header="0.25" footer="0.25"/>
  <pageSetup scale="71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1"/>
    <pageSetUpPr fitToPage="1"/>
  </sheetPr>
  <dimension ref="A1:D44"/>
  <sheetViews>
    <sheetView zoomScale="80" zoomScaleNormal="80" workbookViewId="0">
      <selection sqref="A1:E18"/>
    </sheetView>
  </sheetViews>
  <sheetFormatPr defaultColWidth="8.77734375" defaultRowHeight="15"/>
  <cols>
    <col min="1" max="1" width="21.5546875" style="12" bestFit="1" customWidth="1"/>
    <col min="2" max="2" width="17.21875" style="12" customWidth="1"/>
    <col min="3" max="3" width="19.77734375" style="12" customWidth="1"/>
    <col min="4" max="4" width="17.21875" style="12" customWidth="1"/>
    <col min="5" max="16384" width="8.77734375" style="12"/>
  </cols>
  <sheetData>
    <row r="1" spans="1:4" ht="18">
      <c r="A1" s="128" t="str">
        <f>'P1 ADIT 190 &amp; 282'!A1</f>
        <v>Duke Energy Ohio and Duke Energy Kentucky</v>
      </c>
      <c r="B1" s="117"/>
      <c r="C1" s="117"/>
      <c r="D1" s="117"/>
    </row>
    <row r="2" spans="1:4" ht="18">
      <c r="A2" s="128"/>
      <c r="B2" s="117"/>
      <c r="C2" s="117"/>
      <c r="D2" s="117"/>
    </row>
    <row r="3" spans="1:4" ht="18">
      <c r="A3" s="128"/>
      <c r="B3" s="117"/>
      <c r="C3" s="117"/>
      <c r="D3" s="473" t="s">
        <v>542</v>
      </c>
    </row>
    <row r="4" spans="1:4">
      <c r="D4" s="742" t="str">
        <f>"Page 6 of "&amp;Workpaper</f>
        <v>Page 6 of 11</v>
      </c>
    </row>
    <row r="5" spans="1:4">
      <c r="D5" s="473" t="str">
        <f>'DE Ohio &amp; Kentucky'!$J$125</f>
        <v>For the 12 months ended: 12/31/2016</v>
      </c>
    </row>
    <row r="6" spans="1:4">
      <c r="D6" s="93"/>
    </row>
    <row r="7" spans="1:4" ht="15.75">
      <c r="A7" s="116" t="s">
        <v>387</v>
      </c>
      <c r="B7" s="117"/>
      <c r="C7" s="117"/>
      <c r="D7" s="117"/>
    </row>
    <row r="9" spans="1:4">
      <c r="A9" s="12" t="s">
        <v>181</v>
      </c>
      <c r="B9" s="866" t="s">
        <v>182</v>
      </c>
      <c r="C9" s="866" t="s">
        <v>183</v>
      </c>
    </row>
    <row r="10" spans="1:4">
      <c r="B10" s="374"/>
      <c r="C10" s="374"/>
    </row>
    <row r="11" spans="1:4">
      <c r="A11" s="290"/>
      <c r="B11" s="403" t="s">
        <v>211</v>
      </c>
      <c r="C11" s="403" t="s">
        <v>212</v>
      </c>
      <c r="D11" s="878" t="s">
        <v>700</v>
      </c>
    </row>
    <row r="12" spans="1:4">
      <c r="A12" s="12" t="s">
        <v>388</v>
      </c>
      <c r="B12" s="385">
        <f>DEO!J15</f>
        <v>114556177.60705304</v>
      </c>
      <c r="C12" s="385">
        <f>DEK!J15</f>
        <v>5153503.3229740225</v>
      </c>
      <c r="D12" s="385">
        <f>SUM(B12:C12)</f>
        <v>119709680.93002707</v>
      </c>
    </row>
    <row r="13" spans="1:4" ht="17.25">
      <c r="A13" s="12" t="s">
        <v>389</v>
      </c>
      <c r="B13" s="1035">
        <v>0</v>
      </c>
      <c r="C13" s="1035">
        <v>0.06</v>
      </c>
      <c r="D13" s="377"/>
    </row>
    <row r="14" spans="1:4" ht="6" customHeight="1">
      <c r="B14" s="377" t="s">
        <v>12</v>
      </c>
      <c r="C14" s="377" t="s">
        <v>12</v>
      </c>
      <c r="D14" s="377" t="s">
        <v>12</v>
      </c>
    </row>
    <row r="15" spans="1:4">
      <c r="A15" s="12" t="s">
        <v>390</v>
      </c>
      <c r="B15" s="385">
        <f>ROUND(B13*B12,2)</f>
        <v>0</v>
      </c>
      <c r="C15" s="385">
        <f>ROUND(C13*C12,2)</f>
        <v>309210.2</v>
      </c>
      <c r="D15" s="385">
        <f>SUM(B15:C15)</f>
        <v>309210.2</v>
      </c>
    </row>
    <row r="17" spans="1:4">
      <c r="A17" s="12" t="s">
        <v>391</v>
      </c>
      <c r="B17" s="386">
        <f>ROUND(B15/B12,4)</f>
        <v>0</v>
      </c>
      <c r="C17" s="386">
        <f>ROUND(C15/C12,4)</f>
        <v>0.06</v>
      </c>
      <c r="D17" s="386">
        <f>ROUND(D15/D12,4)</f>
        <v>2.5999999999999999E-3</v>
      </c>
    </row>
    <row r="44" spans="1:2">
      <c r="A44" s="80"/>
      <c r="B44" s="67"/>
    </row>
  </sheetData>
  <phoneticPr fontId="0" type="noConversion"/>
  <pageMargins left="1" right="0.75" top="1" bottom="0.5" header="1" footer="0.2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  <pageSetUpPr fitToPage="1"/>
  </sheetPr>
  <dimension ref="A1:E92"/>
  <sheetViews>
    <sheetView zoomScale="75" zoomScaleNormal="75" workbookViewId="0">
      <selection sqref="A1:D18"/>
    </sheetView>
  </sheetViews>
  <sheetFormatPr defaultColWidth="7.109375" defaultRowHeight="15"/>
  <cols>
    <col min="1" max="1" width="44" style="133" customWidth="1"/>
    <col min="2" max="3" width="14.6640625" style="133" customWidth="1"/>
    <col min="4" max="4" width="15" style="133" customWidth="1"/>
    <col min="5" max="5" width="11.6640625" style="133" customWidth="1"/>
    <col min="6" max="11" width="16.21875" style="133" bestFit="1" customWidth="1"/>
    <col min="12" max="12" width="16.77734375" style="133" bestFit="1" customWidth="1"/>
    <col min="13" max="13" width="7.77734375" style="133" bestFit="1" customWidth="1"/>
    <col min="14" max="14" width="8.21875" style="133" bestFit="1" customWidth="1"/>
    <col min="15" max="15" width="9.88671875" style="133" bestFit="1" customWidth="1"/>
    <col min="16" max="16" width="6.33203125" style="133" customWidth="1"/>
    <col min="17" max="17" width="9.88671875" style="133" bestFit="1" customWidth="1"/>
    <col min="18" max="18" width="6.33203125" style="133" customWidth="1"/>
    <col min="19" max="19" width="9.88671875" style="133" bestFit="1" customWidth="1"/>
    <col min="20" max="21" width="6.33203125" style="133" customWidth="1"/>
    <col min="22" max="22" width="9.88671875" style="133" bestFit="1" customWidth="1"/>
    <col min="23" max="23" width="6.33203125" style="133" customWidth="1"/>
    <col min="24" max="24" width="9.88671875" style="133" bestFit="1" customWidth="1"/>
    <col min="25" max="25" width="6.33203125" style="133" customWidth="1"/>
    <col min="26" max="26" width="9.88671875" style="133" bestFit="1" customWidth="1"/>
    <col min="27" max="27" width="6.33203125" style="133" customWidth="1"/>
    <col min="28" max="28" width="9.88671875" style="133" bestFit="1" customWidth="1"/>
    <col min="29" max="29" width="8.21875" style="133" bestFit="1" customWidth="1"/>
    <col min="30" max="16384" width="7.109375" style="133"/>
  </cols>
  <sheetData>
    <row r="1" spans="1:4" ht="18">
      <c r="A1" s="128" t="str">
        <f>'P1 ADIT 190 &amp; 282'!A1</f>
        <v>Duke Energy Ohio and Duke Energy Kentucky</v>
      </c>
      <c r="B1" s="117"/>
      <c r="C1" s="117"/>
      <c r="D1" s="117"/>
    </row>
    <row r="2" spans="1:4" ht="18">
      <c r="A2" s="128"/>
      <c r="B2" s="117"/>
      <c r="C2" s="117"/>
      <c r="D2" s="117"/>
    </row>
    <row r="3" spans="1:4" ht="18">
      <c r="A3" s="128"/>
      <c r="B3" s="117"/>
      <c r="C3" s="117"/>
      <c r="D3" s="473" t="s">
        <v>542</v>
      </c>
    </row>
    <row r="4" spans="1:4" ht="15.75">
      <c r="A4" s="116"/>
      <c r="B4" s="117"/>
      <c r="C4" s="117"/>
      <c r="D4" s="742" t="str">
        <f>"Page 7 of "&amp;Workpaper</f>
        <v>Page 7 of 11</v>
      </c>
    </row>
    <row r="5" spans="1:4" ht="15.75">
      <c r="A5" s="116"/>
      <c r="B5" s="117"/>
      <c r="C5" s="117"/>
      <c r="D5" s="473" t="str">
        <f>'DE Ohio &amp; Kentucky'!$J$125</f>
        <v>For the 12 months ended: 12/31/2016</v>
      </c>
    </row>
    <row r="6" spans="1:4" ht="15.75">
      <c r="A6" s="116"/>
      <c r="B6" s="117"/>
      <c r="C6" s="117"/>
      <c r="D6" s="92"/>
    </row>
    <row r="7" spans="1:4" ht="15.75">
      <c r="A7" s="116" t="s">
        <v>386</v>
      </c>
      <c r="B7" s="117"/>
      <c r="C7" s="117"/>
      <c r="D7" s="117"/>
    </row>
    <row r="8" spans="1:4" ht="15.75">
      <c r="A8" s="116"/>
      <c r="B8" s="117"/>
      <c r="C8" s="117"/>
      <c r="D8" s="117"/>
    </row>
    <row r="9" spans="1:4">
      <c r="A9" s="105"/>
      <c r="B9" s="105"/>
      <c r="C9" s="105"/>
      <c r="D9" s="105"/>
    </row>
    <row r="10" spans="1:4">
      <c r="A10" s="118"/>
      <c r="B10" s="121"/>
      <c r="C10" s="121"/>
      <c r="D10" s="121"/>
    </row>
    <row r="11" spans="1:4" ht="20.25">
      <c r="A11" s="118"/>
      <c r="B11" s="122" t="s">
        <v>217</v>
      </c>
      <c r="C11" s="122" t="s">
        <v>218</v>
      </c>
      <c r="D11" s="122" t="s">
        <v>541</v>
      </c>
    </row>
    <row r="12" spans="1:4" ht="20.25">
      <c r="A12" s="118"/>
      <c r="B12" s="122"/>
      <c r="C12" s="122"/>
      <c r="D12" s="122"/>
    </row>
    <row r="13" spans="1:4">
      <c r="A13" s="133" t="s">
        <v>669</v>
      </c>
      <c r="B13" s="964">
        <v>0</v>
      </c>
      <c r="C13" s="964">
        <f>5838602+10592322</f>
        <v>16430924</v>
      </c>
      <c r="D13" s="216">
        <f>+B13+C13</f>
        <v>16430924</v>
      </c>
    </row>
    <row r="14" spans="1:4">
      <c r="A14" s="123" t="s">
        <v>263</v>
      </c>
      <c r="B14" s="965">
        <v>0</v>
      </c>
      <c r="C14" s="965">
        <v>0</v>
      </c>
      <c r="D14" s="475">
        <f>C14+B14</f>
        <v>0</v>
      </c>
    </row>
    <row r="15" spans="1:4">
      <c r="A15" s="123" t="s">
        <v>261</v>
      </c>
      <c r="B15" s="965">
        <v>0</v>
      </c>
      <c r="C15" s="965">
        <v>0</v>
      </c>
      <c r="D15" s="475">
        <f>C15+B15</f>
        <v>0</v>
      </c>
    </row>
    <row r="16" spans="1:4" ht="17.25">
      <c r="A16" s="123" t="s">
        <v>262</v>
      </c>
      <c r="B16" s="710">
        <v>0</v>
      </c>
      <c r="C16" s="710">
        <v>0</v>
      </c>
      <c r="D16" s="129">
        <f>C16+B16</f>
        <v>0</v>
      </c>
    </row>
    <row r="17" spans="1:5">
      <c r="A17" s="124"/>
      <c r="B17" s="118"/>
      <c r="C17" s="118"/>
      <c r="D17" s="118"/>
      <c r="E17" s="118"/>
    </row>
    <row r="18" spans="1:5" ht="33.6" customHeight="1">
      <c r="A18" s="476" t="s">
        <v>548</v>
      </c>
      <c r="B18" s="753">
        <f>SUM(B13:B17)</f>
        <v>0</v>
      </c>
      <c r="C18" s="753">
        <f>SUM(C13:C17)</f>
        <v>16430924</v>
      </c>
      <c r="D18" s="753">
        <f>SUM(D13:D17)</f>
        <v>16430924</v>
      </c>
      <c r="E18" s="132"/>
    </row>
    <row r="19" spans="1:5">
      <c r="A19" s="118"/>
      <c r="B19" s="134"/>
      <c r="C19" s="134"/>
      <c r="D19" s="134"/>
    </row>
    <row r="57" spans="2:4">
      <c r="B57" s="704"/>
      <c r="C57" s="704"/>
      <c r="D57" s="702"/>
    </row>
    <row r="58" spans="2:4">
      <c r="B58" s="705"/>
      <c r="C58" s="705"/>
      <c r="D58" s="702"/>
    </row>
    <row r="59" spans="2:4">
      <c r="B59" s="704"/>
      <c r="C59" s="704"/>
      <c r="D59" s="702"/>
    </row>
    <row r="60" spans="2:4">
      <c r="B60" s="704"/>
      <c r="C60" s="704"/>
      <c r="D60" s="702"/>
    </row>
    <row r="61" spans="2:4">
      <c r="B61" s="704"/>
      <c r="C61" s="704"/>
      <c r="D61" s="702"/>
    </row>
    <row r="62" spans="2:4">
      <c r="B62" s="704"/>
      <c r="C62" s="704"/>
      <c r="D62" s="702"/>
    </row>
    <row r="63" spans="2:4">
      <c r="B63" s="704"/>
      <c r="C63" s="704"/>
      <c r="D63" s="702"/>
    </row>
    <row r="64" spans="2:4">
      <c r="B64" s="704"/>
      <c r="C64" s="704"/>
      <c r="D64" s="702"/>
    </row>
    <row r="65" spans="2:4">
      <c r="B65" s="704"/>
      <c r="C65" s="704"/>
      <c r="D65" s="702"/>
    </row>
    <row r="66" spans="2:4">
      <c r="B66" s="704"/>
      <c r="C66" s="704"/>
      <c r="D66" s="702"/>
    </row>
    <row r="67" spans="2:4">
      <c r="B67" s="704"/>
      <c r="C67" s="704"/>
      <c r="D67" s="702"/>
    </row>
    <row r="68" spans="2:4">
      <c r="B68" s="704"/>
      <c r="C68" s="704"/>
      <c r="D68" s="702"/>
    </row>
    <row r="69" spans="2:4">
      <c r="B69" s="704"/>
      <c r="C69" s="704"/>
      <c r="D69" s="702"/>
    </row>
    <row r="70" spans="2:4">
      <c r="B70" s="704"/>
      <c r="C70" s="704"/>
      <c r="D70" s="702"/>
    </row>
    <row r="71" spans="2:4">
      <c r="B71" s="704"/>
      <c r="C71" s="704"/>
      <c r="D71" s="702"/>
    </row>
    <row r="72" spans="2:4">
      <c r="B72" s="704"/>
      <c r="C72" s="704"/>
      <c r="D72" s="702"/>
    </row>
    <row r="73" spans="2:4">
      <c r="B73" s="704"/>
      <c r="C73" s="704"/>
      <c r="D73" s="702"/>
    </row>
    <row r="74" spans="2:4">
      <c r="B74" s="704"/>
      <c r="C74" s="704"/>
      <c r="D74" s="702"/>
    </row>
    <row r="75" spans="2:4">
      <c r="B75" s="704"/>
      <c r="C75" s="704"/>
      <c r="D75" s="702"/>
    </row>
    <row r="76" spans="2:4">
      <c r="B76" s="704"/>
      <c r="C76" s="704"/>
      <c r="D76" s="702"/>
    </row>
    <row r="77" spans="2:4">
      <c r="B77" s="704"/>
      <c r="C77" s="704"/>
      <c r="D77" s="702"/>
    </row>
    <row r="78" spans="2:4">
      <c r="B78" s="704"/>
      <c r="C78" s="703"/>
    </row>
    <row r="79" spans="2:4">
      <c r="B79" s="704"/>
      <c r="C79" s="703"/>
    </row>
    <row r="80" spans="2:4">
      <c r="B80" s="704"/>
      <c r="C80" s="703"/>
    </row>
    <row r="81" spans="2:3">
      <c r="B81" s="704"/>
      <c r="C81" s="703"/>
    </row>
    <row r="82" spans="2:3">
      <c r="B82" s="704"/>
      <c r="C82" s="703"/>
    </row>
    <row r="83" spans="2:3">
      <c r="B83" s="704"/>
      <c r="C83" s="703"/>
    </row>
    <row r="84" spans="2:3">
      <c r="B84" s="704"/>
      <c r="C84" s="703"/>
    </row>
    <row r="85" spans="2:3">
      <c r="B85" s="704"/>
      <c r="C85" s="703"/>
    </row>
    <row r="86" spans="2:3">
      <c r="B86" s="704"/>
      <c r="C86" s="703"/>
    </row>
    <row r="87" spans="2:3">
      <c r="B87" s="704"/>
      <c r="C87" s="703"/>
    </row>
    <row r="88" spans="2:3">
      <c r="B88" s="704"/>
      <c r="C88" s="703"/>
    </row>
    <row r="89" spans="2:3">
      <c r="B89" s="703"/>
      <c r="C89" s="703"/>
    </row>
    <row r="90" spans="2:3">
      <c r="B90" s="703"/>
      <c r="C90" s="703"/>
    </row>
    <row r="91" spans="2:3">
      <c r="B91" s="703"/>
      <c r="C91" s="703"/>
    </row>
    <row r="92" spans="2:3">
      <c r="B92" s="703"/>
      <c r="C92" s="703"/>
    </row>
  </sheetData>
  <pageMargins left="1" right="1" top="1" bottom="0.5" header="0.5" footer="0.5"/>
  <pageSetup scale="79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>
    <tabColor theme="1"/>
    <pageSetUpPr fitToPage="1"/>
  </sheetPr>
  <dimension ref="A1:H78"/>
  <sheetViews>
    <sheetView zoomScale="80" zoomScaleNormal="80" workbookViewId="0">
      <selection sqref="A1:F51"/>
    </sheetView>
  </sheetViews>
  <sheetFormatPr defaultColWidth="7.109375" defaultRowHeight="15"/>
  <cols>
    <col min="1" max="1" width="58.21875" style="118" customWidth="1"/>
    <col min="2" max="2" width="1.6640625" style="118" customWidth="1"/>
    <col min="3" max="3" width="14.5546875" style="217" customWidth="1"/>
    <col min="4" max="4" width="2" style="217" customWidth="1"/>
    <col min="5" max="5" width="15.109375" style="217" customWidth="1"/>
    <col min="6" max="6" width="14.21875" style="118" customWidth="1"/>
    <col min="7" max="7" width="7.109375" style="118"/>
    <col min="8" max="8" width="7.109375" style="217"/>
    <col min="9" max="16384" width="7.109375" style="118"/>
  </cols>
  <sheetData>
    <row r="1" spans="1:8" s="105" customFormat="1" ht="15.75">
      <c r="A1" s="116" t="str">
        <f>'P1 ADIT 190 &amp; 282'!A1</f>
        <v>Duke Energy Ohio and Duke Energy Kentucky</v>
      </c>
      <c r="B1" s="116"/>
      <c r="C1" s="277"/>
      <c r="D1" s="277"/>
      <c r="E1" s="277"/>
      <c r="F1" s="117"/>
      <c r="G1" s="92"/>
      <c r="H1" s="394"/>
    </row>
    <row r="2" spans="1:8" s="105" customFormat="1" ht="15.75">
      <c r="A2" s="116"/>
      <c r="B2" s="116"/>
      <c r="C2" s="277"/>
      <c r="D2" s="277"/>
      <c r="E2" s="277"/>
      <c r="F2" s="117"/>
      <c r="G2" s="92"/>
      <c r="H2" s="394"/>
    </row>
    <row r="3" spans="1:8" s="105" customFormat="1" ht="15.75">
      <c r="A3" s="116"/>
      <c r="B3" s="116"/>
      <c r="C3" s="277"/>
      <c r="D3" s="277"/>
      <c r="E3" s="277"/>
      <c r="F3" s="473" t="s">
        <v>542</v>
      </c>
      <c r="H3" s="394"/>
    </row>
    <row r="4" spans="1:8" s="105" customFormat="1" ht="15.75">
      <c r="A4" s="116"/>
      <c r="B4" s="116"/>
      <c r="C4" s="277"/>
      <c r="D4" s="277"/>
      <c r="E4" s="277"/>
      <c r="F4" s="742" t="str">
        <f>"Page 8 of "&amp;Workpaper</f>
        <v>Page 8 of 11</v>
      </c>
      <c r="H4" s="394"/>
    </row>
    <row r="5" spans="1:8" s="105" customFormat="1" ht="15.75">
      <c r="A5" s="116"/>
      <c r="B5" s="116"/>
      <c r="C5" s="277"/>
      <c r="D5" s="277"/>
      <c r="E5" s="277"/>
      <c r="F5" s="473" t="str">
        <f>'DE Ohio &amp; Kentucky'!$J$125</f>
        <v>For the 12 months ended: 12/31/2016</v>
      </c>
      <c r="H5" s="394"/>
    </row>
    <row r="6" spans="1:8" s="105" customFormat="1" ht="15.75">
      <c r="A6" s="116"/>
      <c r="B6" s="116"/>
      <c r="C6" s="277"/>
      <c r="D6" s="277"/>
      <c r="E6" s="277"/>
      <c r="F6" s="473"/>
      <c r="H6" s="394"/>
    </row>
    <row r="7" spans="1:8" s="105" customFormat="1" ht="15.75">
      <c r="A7" s="116" t="s">
        <v>140</v>
      </c>
      <c r="B7" s="116"/>
      <c r="C7" s="277"/>
      <c r="D7" s="277"/>
      <c r="E7" s="277"/>
      <c r="F7" s="117"/>
      <c r="H7" s="394"/>
    </row>
    <row r="8" spans="1:8" s="105" customFormat="1" ht="15.75">
      <c r="A8" s="116"/>
      <c r="B8" s="116"/>
      <c r="C8" s="277"/>
      <c r="D8" s="277"/>
      <c r="E8" s="277"/>
      <c r="F8" s="117"/>
      <c r="H8" s="394"/>
    </row>
    <row r="9" spans="1:8" s="105" customFormat="1">
      <c r="C9" s="394"/>
      <c r="D9" s="394"/>
      <c r="E9" s="394"/>
      <c r="H9" s="394"/>
    </row>
    <row r="11" spans="1:8" ht="15.75">
      <c r="A11" s="119"/>
      <c r="B11" s="119"/>
    </row>
    <row r="12" spans="1:8" ht="20.25">
      <c r="C12" s="214" t="s">
        <v>137</v>
      </c>
      <c r="D12" s="214"/>
      <c r="E12" s="214"/>
      <c r="F12" s="121"/>
      <c r="G12" s="395"/>
    </row>
    <row r="13" spans="1:8" ht="20.25">
      <c r="C13" s="215" t="s">
        <v>217</v>
      </c>
      <c r="D13" s="215"/>
      <c r="E13" s="215" t="s">
        <v>218</v>
      </c>
      <c r="F13" s="122" t="s">
        <v>541</v>
      </c>
      <c r="G13" s="396"/>
    </row>
    <row r="14" spans="1:8">
      <c r="A14" s="123" t="s">
        <v>138</v>
      </c>
      <c r="B14" s="397"/>
      <c r="C14" s="694">
        <v>11810930</v>
      </c>
      <c r="D14" s="694"/>
      <c r="E14" s="694">
        <v>985504</v>
      </c>
      <c r="F14" s="409">
        <f>E14+C14</f>
        <v>12796434</v>
      </c>
    </row>
    <row r="15" spans="1:8">
      <c r="C15" s="695"/>
      <c r="D15" s="695"/>
      <c r="E15" s="695"/>
    </row>
    <row r="16" spans="1:8">
      <c r="A16" s="118" t="s">
        <v>310</v>
      </c>
      <c r="C16" s="915">
        <v>85480</v>
      </c>
      <c r="D16" s="915"/>
      <c r="E16" s="915">
        <v>11123</v>
      </c>
      <c r="F16" s="477">
        <f>E16+C16</f>
        <v>96603</v>
      </c>
    </row>
    <row r="17" spans="1:7">
      <c r="C17" s="695"/>
      <c r="D17" s="695"/>
      <c r="E17" s="695"/>
    </row>
    <row r="18" spans="1:7">
      <c r="A18" s="118" t="s">
        <v>139</v>
      </c>
      <c r="C18" s="696">
        <v>1797461</v>
      </c>
      <c r="D18" s="696"/>
      <c r="E18" s="696">
        <v>176822</v>
      </c>
      <c r="F18" s="477">
        <f>E18+C18</f>
        <v>1974283</v>
      </c>
    </row>
    <row r="19" spans="1:7" ht="17.25">
      <c r="A19" s="118" t="s">
        <v>627</v>
      </c>
      <c r="C19" s="697">
        <v>0.05</v>
      </c>
      <c r="D19" s="698"/>
      <c r="E19" s="697">
        <v>0.05</v>
      </c>
      <c r="F19" s="478">
        <v>0.05</v>
      </c>
    </row>
    <row r="20" spans="1:7" ht="17.25">
      <c r="A20" s="398" t="s">
        <v>741</v>
      </c>
      <c r="B20" s="398"/>
      <c r="C20" s="401">
        <f>ROUND(C18*C19,0)+C16</f>
        <v>175353</v>
      </c>
      <c r="D20" s="401"/>
      <c r="E20" s="401">
        <f>ROUND(E18*E19,0)+E16</f>
        <v>19964</v>
      </c>
      <c r="F20" s="399">
        <f>ROUND(F18*F19,0)+F16</f>
        <v>195317</v>
      </c>
    </row>
    <row r="21" spans="1:7">
      <c r="C21" s="400"/>
      <c r="D21" s="400"/>
      <c r="E21" s="400"/>
      <c r="F21" s="479"/>
    </row>
    <row r="22" spans="1:7" ht="17.25">
      <c r="A22" s="118" t="s">
        <v>8</v>
      </c>
      <c r="C22" s="699">
        <v>0</v>
      </c>
      <c r="D22" s="699"/>
      <c r="E22" s="699">
        <v>0</v>
      </c>
      <c r="F22" s="507">
        <f>E22+C22</f>
        <v>0</v>
      </c>
    </row>
    <row r="23" spans="1:7" ht="17.25">
      <c r="A23" s="397" t="s">
        <v>743</v>
      </c>
      <c r="C23" s="401">
        <f>C22+C20</f>
        <v>175353</v>
      </c>
      <c r="D23" s="401"/>
      <c r="E23" s="401">
        <f>E22+E20</f>
        <v>19964</v>
      </c>
      <c r="F23" s="399">
        <f>F22+F20</f>
        <v>195317</v>
      </c>
    </row>
    <row r="24" spans="1:7">
      <c r="C24" s="400"/>
      <c r="D24" s="400"/>
      <c r="E24" s="400"/>
      <c r="F24" s="134"/>
    </row>
    <row r="26" spans="1:7" ht="15.75">
      <c r="A26" s="119"/>
      <c r="B26" s="119"/>
    </row>
    <row r="27" spans="1:7" ht="20.25">
      <c r="C27" s="214" t="s">
        <v>136</v>
      </c>
      <c r="D27" s="214"/>
      <c r="E27" s="545"/>
      <c r="F27" s="121"/>
      <c r="G27" s="395"/>
    </row>
    <row r="28" spans="1:7" ht="20.25">
      <c r="C28" s="215" t="s">
        <v>217</v>
      </c>
      <c r="D28" s="215"/>
      <c r="E28" s="215" t="s">
        <v>218</v>
      </c>
      <c r="F28" s="122" t="s">
        <v>541</v>
      </c>
      <c r="G28" s="396"/>
    </row>
    <row r="29" spans="1:7">
      <c r="A29" s="911" t="s">
        <v>721</v>
      </c>
      <c r="B29" s="123"/>
      <c r="C29" s="692">
        <f>8288968+19063330</f>
        <v>27352298</v>
      </c>
      <c r="D29" s="692"/>
      <c r="E29" s="692">
        <f>1529123+1724554</f>
        <v>3253677</v>
      </c>
      <c r="F29" s="409">
        <f>E29+C29</f>
        <v>30605975</v>
      </c>
    </row>
    <row r="30" spans="1:7" ht="17.25">
      <c r="A30" s="911"/>
      <c r="B30" s="123"/>
      <c r="C30" s="401"/>
      <c r="D30" s="401"/>
      <c r="E30" s="401"/>
      <c r="F30" s="399"/>
    </row>
    <row r="31" spans="1:7" ht="17.25">
      <c r="A31" s="911" t="s">
        <v>722</v>
      </c>
      <c r="B31" s="397"/>
      <c r="C31" s="699">
        <v>8288968</v>
      </c>
      <c r="D31" s="699"/>
      <c r="E31" s="699">
        <v>1529123</v>
      </c>
      <c r="F31" s="480">
        <f>E31+C31</f>
        <v>9818091</v>
      </c>
    </row>
    <row r="32" spans="1:7" ht="17.25">
      <c r="A32" s="902" t="s">
        <v>723</v>
      </c>
      <c r="B32" s="397"/>
      <c r="C32" s="401">
        <f>C29-C31</f>
        <v>19063330</v>
      </c>
      <c r="D32" s="401"/>
      <c r="E32" s="401">
        <f>E29-E31</f>
        <v>1724554</v>
      </c>
      <c r="F32" s="401">
        <f>F29-F31</f>
        <v>20787884</v>
      </c>
    </row>
    <row r="33" spans="1:8">
      <c r="A33" s="903"/>
      <c r="B33" s="397"/>
      <c r="C33" s="696"/>
      <c r="D33" s="696"/>
      <c r="E33" s="696"/>
      <c r="F33" s="475"/>
    </row>
    <row r="34" spans="1:8">
      <c r="A34" s="912" t="s">
        <v>735</v>
      </c>
      <c r="B34" s="397"/>
      <c r="C34" s="696"/>
      <c r="D34" s="696"/>
      <c r="E34" s="696"/>
      <c r="F34" s="475"/>
    </row>
    <row r="35" spans="1:8">
      <c r="A35" s="908" t="s">
        <v>724</v>
      </c>
      <c r="B35" s="397"/>
      <c r="C35" s="692">
        <f>621805-3034941+2423229</f>
        <v>10093</v>
      </c>
      <c r="D35" s="692"/>
      <c r="E35" s="692">
        <v>0</v>
      </c>
      <c r="F35" s="475">
        <f t="shared" ref="F35:F47" si="0">E35+C35</f>
        <v>10093</v>
      </c>
    </row>
    <row r="36" spans="1:8">
      <c r="A36" s="908" t="s">
        <v>725</v>
      </c>
      <c r="B36" s="397"/>
      <c r="C36" s="915">
        <f>-3372364+3370801</f>
        <v>-1563</v>
      </c>
      <c r="D36" s="915"/>
      <c r="E36" s="915">
        <v>0</v>
      </c>
      <c r="F36" s="475">
        <f t="shared" si="0"/>
        <v>-1563</v>
      </c>
    </row>
    <row r="37" spans="1:8">
      <c r="A37" s="908" t="s">
        <v>726</v>
      </c>
      <c r="B37" s="397"/>
      <c r="C37" s="915">
        <v>-22062</v>
      </c>
      <c r="D37" s="915"/>
      <c r="E37" s="915">
        <v>0</v>
      </c>
      <c r="F37" s="475">
        <f t="shared" si="0"/>
        <v>-22062</v>
      </c>
    </row>
    <row r="38" spans="1:8">
      <c r="A38" s="908" t="s">
        <v>727</v>
      </c>
      <c r="C38" s="915">
        <v>-64830</v>
      </c>
      <c r="D38" s="915"/>
      <c r="E38" s="915">
        <v>0</v>
      </c>
      <c r="F38" s="475">
        <f t="shared" si="0"/>
        <v>-64830</v>
      </c>
    </row>
    <row r="39" spans="1:8" ht="15.6" customHeight="1">
      <c r="A39" s="908" t="s">
        <v>728</v>
      </c>
      <c r="C39" s="915">
        <v>103950</v>
      </c>
      <c r="D39" s="915"/>
      <c r="E39" s="915">
        <v>18056</v>
      </c>
      <c r="F39" s="475">
        <f t="shared" si="0"/>
        <v>122006</v>
      </c>
    </row>
    <row r="40" spans="1:8">
      <c r="A40" s="908" t="s">
        <v>729</v>
      </c>
      <c r="C40" s="915">
        <v>16380983</v>
      </c>
      <c r="D40" s="915"/>
      <c r="E40" s="915">
        <v>0</v>
      </c>
      <c r="F40" s="475">
        <f t="shared" si="0"/>
        <v>16380983</v>
      </c>
    </row>
    <row r="41" spans="1:8">
      <c r="A41" s="908" t="s">
        <v>730</v>
      </c>
      <c r="C41" s="915">
        <v>0</v>
      </c>
      <c r="D41" s="915"/>
      <c r="E41" s="915"/>
      <c r="F41" s="475">
        <f t="shared" si="0"/>
        <v>0</v>
      </c>
    </row>
    <row r="42" spans="1:8">
      <c r="A42" s="908" t="s">
        <v>737</v>
      </c>
      <c r="C42" s="915">
        <v>1710453</v>
      </c>
      <c r="D42" s="915"/>
      <c r="E42" s="915">
        <v>0</v>
      </c>
      <c r="F42" s="475">
        <f t="shared" si="0"/>
        <v>1710453</v>
      </c>
    </row>
    <row r="43" spans="1:8">
      <c r="A43" s="908" t="s">
        <v>731</v>
      </c>
      <c r="C43" s="915">
        <v>0</v>
      </c>
      <c r="D43" s="915"/>
      <c r="E43" s="915">
        <v>0</v>
      </c>
      <c r="F43" s="475">
        <f t="shared" si="0"/>
        <v>0</v>
      </c>
    </row>
    <row r="44" spans="1:8">
      <c r="A44" s="908" t="s">
        <v>732</v>
      </c>
      <c r="C44" s="915">
        <v>222272</v>
      </c>
      <c r="D44" s="915"/>
      <c r="E44" s="915">
        <v>67830</v>
      </c>
      <c r="F44" s="475">
        <f t="shared" si="0"/>
        <v>290102</v>
      </c>
    </row>
    <row r="45" spans="1:8">
      <c r="A45" s="908" t="s">
        <v>733</v>
      </c>
      <c r="C45" s="915">
        <v>0</v>
      </c>
      <c r="D45" s="915"/>
      <c r="E45" s="915">
        <v>1601073</v>
      </c>
      <c r="F45" s="475">
        <f t="shared" si="0"/>
        <v>1601073</v>
      </c>
      <c r="G45" s="402"/>
    </row>
    <row r="46" spans="1:8">
      <c r="A46" s="908" t="s">
        <v>770</v>
      </c>
      <c r="C46" s="915">
        <v>0</v>
      </c>
      <c r="D46" s="915"/>
      <c r="E46" s="915">
        <v>0</v>
      </c>
      <c r="F46" s="475">
        <f t="shared" si="0"/>
        <v>0</v>
      </c>
      <c r="G46" s="402"/>
    </row>
    <row r="47" spans="1:8" ht="17.25">
      <c r="A47" s="908" t="s">
        <v>868</v>
      </c>
      <c r="B47" s="397"/>
      <c r="C47" s="907">
        <v>13337</v>
      </c>
      <c r="D47" s="907"/>
      <c r="E47" s="907">
        <v>0</v>
      </c>
      <c r="F47" s="480">
        <f t="shared" si="0"/>
        <v>13337</v>
      </c>
      <c r="G47" s="482"/>
      <c r="H47" s="484"/>
    </row>
    <row r="48" spans="1:8" ht="17.25">
      <c r="A48" s="912" t="s">
        <v>736</v>
      </c>
      <c r="B48" s="397"/>
      <c r="C48" s="401">
        <f>SUM(C35:C47)</f>
        <v>18352633</v>
      </c>
      <c r="D48" s="401"/>
      <c r="E48" s="401">
        <f>SUM(E35:E47)</f>
        <v>1686959</v>
      </c>
      <c r="F48" s="401">
        <f>SUM(F35:F47)</f>
        <v>20039592</v>
      </c>
      <c r="G48" s="482"/>
      <c r="H48" s="484"/>
    </row>
    <row r="49" spans="1:8" s="481" customFormat="1">
      <c r="A49" s="903"/>
      <c r="B49" s="397"/>
      <c r="C49" s="484"/>
      <c r="D49" s="484"/>
      <c r="E49" s="484"/>
      <c r="G49" s="482"/>
      <c r="H49" s="484"/>
    </row>
    <row r="50" spans="1:8" ht="17.25">
      <c r="A50" s="906" t="s">
        <v>734</v>
      </c>
      <c r="B50" s="217"/>
      <c r="C50" s="401">
        <f>C32-C48</f>
        <v>710697</v>
      </c>
      <c r="D50" s="905"/>
      <c r="E50" s="401">
        <f>E32-E48</f>
        <v>37595</v>
      </c>
      <c r="F50" s="401">
        <f>F32-F48</f>
        <v>748292</v>
      </c>
      <c r="G50" s="217"/>
    </row>
    <row r="51" spans="1:8" ht="20.25">
      <c r="A51" s="217"/>
      <c r="B51" s="217"/>
      <c r="C51" s="215"/>
      <c r="D51" s="215"/>
      <c r="E51" s="215"/>
      <c r="F51" s="215"/>
      <c r="G51" s="217"/>
    </row>
    <row r="52" spans="1:8">
      <c r="A52" s="546"/>
      <c r="B52" s="546"/>
      <c r="C52" s="547"/>
      <c r="D52" s="547"/>
      <c r="E52" s="547"/>
      <c r="F52" s="475"/>
      <c r="G52" s="217"/>
    </row>
    <row r="53" spans="1:8">
      <c r="A53" s="546"/>
      <c r="B53" s="546"/>
      <c r="C53" s="547"/>
      <c r="D53" s="547"/>
      <c r="E53" s="547"/>
      <c r="F53" s="475"/>
      <c r="G53" s="217"/>
    </row>
    <row r="54" spans="1:8">
      <c r="A54" s="546"/>
      <c r="B54" s="546"/>
      <c r="C54" s="547"/>
      <c r="D54" s="547"/>
      <c r="E54" s="547"/>
      <c r="F54" s="475"/>
      <c r="G54" s="217"/>
    </row>
    <row r="55" spans="1:8">
      <c r="A55" s="546"/>
      <c r="B55" s="546"/>
      <c r="C55" s="547"/>
      <c r="D55" s="547"/>
      <c r="E55" s="547"/>
      <c r="F55" s="475"/>
      <c r="G55" s="217"/>
    </row>
    <row r="56" spans="1:8">
      <c r="A56" s="546"/>
      <c r="B56" s="546"/>
      <c r="C56" s="547"/>
      <c r="D56" s="547"/>
      <c r="E56" s="547"/>
      <c r="F56" s="475"/>
      <c r="G56" s="217"/>
    </row>
    <row r="57" spans="1:8">
      <c r="A57" s="546"/>
      <c r="B57" s="546"/>
      <c r="C57" s="547"/>
      <c r="D57" s="547"/>
      <c r="E57" s="547"/>
      <c r="F57" s="475"/>
      <c r="G57" s="217"/>
    </row>
    <row r="58" spans="1:8">
      <c r="A58" s="546"/>
      <c r="B58" s="546"/>
      <c r="C58" s="547"/>
      <c r="D58" s="547"/>
      <c r="E58" s="547"/>
      <c r="F58" s="475"/>
      <c r="G58" s="217"/>
    </row>
    <row r="59" spans="1:8">
      <c r="A59" s="217"/>
      <c r="B59" s="217"/>
      <c r="C59" s="547"/>
      <c r="D59" s="547"/>
      <c r="E59" s="548"/>
      <c r="F59" s="548"/>
      <c r="G59" s="217"/>
    </row>
    <row r="60" spans="1:8" ht="15.75">
      <c r="A60" s="549"/>
      <c r="B60" s="546"/>
      <c r="C60" s="550"/>
      <c r="D60" s="550"/>
      <c r="E60" s="550"/>
      <c r="F60" s="550"/>
      <c r="G60" s="217"/>
    </row>
    <row r="61" spans="1:8">
      <c r="A61" s="546"/>
      <c r="B61" s="546"/>
      <c r="C61" s="548"/>
      <c r="D61" s="548"/>
      <c r="E61" s="548"/>
      <c r="F61" s="548"/>
      <c r="G61" s="217"/>
    </row>
    <row r="62" spans="1:8">
      <c r="A62" s="546"/>
      <c r="B62" s="546"/>
      <c r="C62" s="547"/>
      <c r="D62" s="547"/>
      <c r="E62" s="547"/>
      <c r="F62" s="475"/>
      <c r="G62" s="217"/>
    </row>
    <row r="63" spans="1:8" ht="17.25">
      <c r="A63" s="546"/>
      <c r="B63" s="546"/>
      <c r="C63" s="551"/>
      <c r="D63" s="551"/>
      <c r="E63" s="551"/>
      <c r="F63" s="480"/>
      <c r="G63" s="217"/>
    </row>
    <row r="64" spans="1:8">
      <c r="A64" s="546"/>
      <c r="B64" s="546"/>
      <c r="C64" s="552"/>
      <c r="D64" s="552"/>
      <c r="E64" s="552"/>
      <c r="F64" s="552"/>
      <c r="G64" s="217"/>
    </row>
    <row r="65" spans="1:7">
      <c r="A65" s="217"/>
      <c r="B65" s="217"/>
      <c r="C65" s="552"/>
      <c r="D65" s="552"/>
      <c r="E65" s="552"/>
      <c r="F65" s="552"/>
      <c r="G65" s="217"/>
    </row>
    <row r="66" spans="1:7">
      <c r="A66" s="217"/>
      <c r="B66" s="217"/>
      <c r="C66" s="552"/>
      <c r="D66" s="552"/>
      <c r="E66" s="552"/>
      <c r="F66" s="552"/>
      <c r="G66" s="217"/>
    </row>
    <row r="67" spans="1:7">
      <c r="A67" s="217"/>
      <c r="B67" s="217"/>
      <c r="E67" s="552"/>
      <c r="F67" s="552"/>
      <c r="G67" s="217"/>
    </row>
    <row r="68" spans="1:7">
      <c r="A68" s="546"/>
      <c r="B68" s="546"/>
      <c r="C68" s="547"/>
      <c r="D68" s="547"/>
      <c r="E68" s="547"/>
      <c r="F68" s="475"/>
      <c r="G68" s="217"/>
    </row>
    <row r="69" spans="1:7">
      <c r="A69" s="546"/>
      <c r="B69" s="546"/>
      <c r="C69" s="547"/>
      <c r="D69" s="547"/>
      <c r="E69" s="547"/>
      <c r="F69" s="475"/>
      <c r="G69" s="217"/>
    </row>
    <row r="70" spans="1:7">
      <c r="A70" s="546"/>
      <c r="B70" s="546"/>
      <c r="C70" s="552"/>
      <c r="D70" s="547"/>
      <c r="E70" s="552"/>
      <c r="F70" s="475"/>
      <c r="G70" s="217"/>
    </row>
    <row r="71" spans="1:7">
      <c r="A71" s="546"/>
      <c r="B71" s="546"/>
      <c r="C71" s="547"/>
      <c r="D71" s="547"/>
      <c r="E71" s="547"/>
      <c r="F71" s="475"/>
      <c r="G71" s="217"/>
    </row>
    <row r="72" spans="1:7">
      <c r="A72" s="546"/>
      <c r="B72" s="546"/>
      <c r="C72" s="547"/>
      <c r="D72" s="547"/>
      <c r="E72" s="547"/>
      <c r="F72" s="475"/>
      <c r="G72" s="217"/>
    </row>
    <row r="73" spans="1:7">
      <c r="A73" s="546"/>
      <c r="B73" s="546"/>
      <c r="C73" s="547"/>
      <c r="D73" s="547"/>
      <c r="E73" s="547"/>
      <c r="F73" s="475"/>
      <c r="G73" s="217"/>
    </row>
    <row r="74" spans="1:7" ht="17.25">
      <c r="A74" s="546"/>
      <c r="B74" s="546"/>
      <c r="C74" s="553"/>
      <c r="D74" s="553"/>
      <c r="E74" s="553"/>
      <c r="F74" s="480"/>
      <c r="G74" s="217"/>
    </row>
    <row r="75" spans="1:7">
      <c r="A75" s="546"/>
      <c r="B75" s="546"/>
      <c r="C75" s="550"/>
      <c r="D75" s="550"/>
      <c r="E75" s="550"/>
      <c r="F75" s="550"/>
      <c r="G75" s="217"/>
    </row>
    <row r="76" spans="1:7">
      <c r="A76" s="217"/>
      <c r="B76" s="217"/>
      <c r="F76" s="217"/>
      <c r="G76" s="217"/>
    </row>
    <row r="77" spans="1:7">
      <c r="A77" s="217"/>
      <c r="B77" s="217"/>
      <c r="F77" s="217"/>
      <c r="G77" s="217"/>
    </row>
    <row r="78" spans="1:7">
      <c r="A78" s="217"/>
      <c r="B78" s="217"/>
      <c r="C78" s="550"/>
      <c r="F78" s="217"/>
      <c r="G78" s="217"/>
    </row>
  </sheetData>
  <phoneticPr fontId="37" type="noConversion"/>
  <pageMargins left="1" right="1" top="1" bottom="1" header="0.5" footer="0.5"/>
  <pageSetup scale="65" orientation="portrait" blackAndWhite="1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  <pageSetUpPr fitToPage="1"/>
  </sheetPr>
  <dimension ref="A1:F29"/>
  <sheetViews>
    <sheetView zoomScale="80" zoomScaleNormal="80" workbookViewId="0">
      <pane xSplit="1" ySplit="14" topLeftCell="B15" activePane="bottomRight" state="frozen"/>
      <selection pane="topRight" activeCell="B1" sqref="B1"/>
      <selection pane="bottomLeft" activeCell="A14" sqref="A14"/>
      <selection pane="bottomRight" sqref="A1:E23"/>
    </sheetView>
  </sheetViews>
  <sheetFormatPr defaultRowHeight="14.25"/>
  <cols>
    <col min="1" max="1" width="57" style="267" customWidth="1"/>
    <col min="2" max="2" width="16" style="267" bestFit="1" customWidth="1"/>
    <col min="3" max="3" width="2.77734375" style="267" customWidth="1"/>
    <col min="4" max="4" width="5.77734375" style="267" customWidth="1"/>
    <col min="5" max="5" width="5.44140625" style="267" customWidth="1"/>
    <col min="6" max="245" width="8.77734375" style="267"/>
    <col min="246" max="246" width="54.6640625" style="267" customWidth="1"/>
    <col min="247" max="247" width="13.77734375" style="267" customWidth="1"/>
    <col min="248" max="248" width="0" style="267" hidden="1" customWidth="1"/>
    <col min="249" max="249" width="6.6640625" style="267" customWidth="1"/>
    <col min="250" max="250" width="15" style="267" customWidth="1"/>
    <col min="251" max="251" width="3.6640625" style="267" bestFit="1" customWidth="1"/>
    <col min="252" max="252" width="15.44140625" style="267" bestFit="1" customWidth="1"/>
    <col min="253" max="253" width="3.77734375" style="267" customWidth="1"/>
    <col min="254" max="254" width="11.21875" style="267" bestFit="1" customWidth="1"/>
    <col min="255" max="255" width="3.6640625" style="267" customWidth="1"/>
    <col min="256" max="256" width="13.5546875" style="267" customWidth="1"/>
    <col min="257" max="257" width="1" style="267" customWidth="1"/>
    <col min="258" max="258" width="14.21875" style="267" bestFit="1" customWidth="1"/>
    <col min="259" max="259" width="3.33203125" style="267" customWidth="1"/>
    <col min="260" max="260" width="20.44140625" style="267" customWidth="1"/>
    <col min="261" max="501" width="8.77734375" style="267"/>
    <col min="502" max="502" width="54.6640625" style="267" customWidth="1"/>
    <col min="503" max="503" width="13.77734375" style="267" customWidth="1"/>
    <col min="504" max="504" width="0" style="267" hidden="1" customWidth="1"/>
    <col min="505" max="505" width="6.6640625" style="267" customWidth="1"/>
    <col min="506" max="506" width="15" style="267" customWidth="1"/>
    <col min="507" max="507" width="3.6640625" style="267" bestFit="1" customWidth="1"/>
    <col min="508" max="508" width="15.44140625" style="267" bestFit="1" customWidth="1"/>
    <col min="509" max="509" width="3.77734375" style="267" customWidth="1"/>
    <col min="510" max="510" width="11.21875" style="267" bestFit="1" customWidth="1"/>
    <col min="511" max="511" width="3.6640625" style="267" customWidth="1"/>
    <col min="512" max="512" width="13.5546875" style="267" customWidth="1"/>
    <col min="513" max="513" width="1" style="267" customWidth="1"/>
    <col min="514" max="514" width="14.21875" style="267" bestFit="1" customWidth="1"/>
    <col min="515" max="515" width="3.33203125" style="267" customWidth="1"/>
    <col min="516" max="516" width="20.44140625" style="267" customWidth="1"/>
    <col min="517" max="757" width="8.77734375" style="267"/>
    <col min="758" max="758" width="54.6640625" style="267" customWidth="1"/>
    <col min="759" max="759" width="13.77734375" style="267" customWidth="1"/>
    <col min="760" max="760" width="0" style="267" hidden="1" customWidth="1"/>
    <col min="761" max="761" width="6.6640625" style="267" customWidth="1"/>
    <col min="762" max="762" width="15" style="267" customWidth="1"/>
    <col min="763" max="763" width="3.6640625" style="267" bestFit="1" customWidth="1"/>
    <col min="764" max="764" width="15.44140625" style="267" bestFit="1" customWidth="1"/>
    <col min="765" max="765" width="3.77734375" style="267" customWidth="1"/>
    <col min="766" max="766" width="11.21875" style="267" bestFit="1" customWidth="1"/>
    <col min="767" max="767" width="3.6640625" style="267" customWidth="1"/>
    <col min="768" max="768" width="13.5546875" style="267" customWidth="1"/>
    <col min="769" max="769" width="1" style="267" customWidth="1"/>
    <col min="770" max="770" width="14.21875" style="267" bestFit="1" customWidth="1"/>
    <col min="771" max="771" width="3.33203125" style="267" customWidth="1"/>
    <col min="772" max="772" width="20.44140625" style="267" customWidth="1"/>
    <col min="773" max="1013" width="8.77734375" style="267"/>
    <col min="1014" max="1014" width="54.6640625" style="267" customWidth="1"/>
    <col min="1015" max="1015" width="13.77734375" style="267" customWidth="1"/>
    <col min="1016" max="1016" width="0" style="267" hidden="1" customWidth="1"/>
    <col min="1017" max="1017" width="6.6640625" style="267" customWidth="1"/>
    <col min="1018" max="1018" width="15" style="267" customWidth="1"/>
    <col min="1019" max="1019" width="3.6640625" style="267" bestFit="1" customWidth="1"/>
    <col min="1020" max="1020" width="15.44140625" style="267" bestFit="1" customWidth="1"/>
    <col min="1021" max="1021" width="3.77734375" style="267" customWidth="1"/>
    <col min="1022" max="1022" width="11.21875" style="267" bestFit="1" customWidth="1"/>
    <col min="1023" max="1023" width="3.6640625" style="267" customWidth="1"/>
    <col min="1024" max="1024" width="13.5546875" style="267" customWidth="1"/>
    <col min="1025" max="1025" width="1" style="267" customWidth="1"/>
    <col min="1026" max="1026" width="14.21875" style="267" bestFit="1" customWidth="1"/>
    <col min="1027" max="1027" width="3.33203125" style="267" customWidth="1"/>
    <col min="1028" max="1028" width="20.44140625" style="267" customWidth="1"/>
    <col min="1029" max="1269" width="8.77734375" style="267"/>
    <col min="1270" max="1270" width="54.6640625" style="267" customWidth="1"/>
    <col min="1271" max="1271" width="13.77734375" style="267" customWidth="1"/>
    <col min="1272" max="1272" width="0" style="267" hidden="1" customWidth="1"/>
    <col min="1273" max="1273" width="6.6640625" style="267" customWidth="1"/>
    <col min="1274" max="1274" width="15" style="267" customWidth="1"/>
    <col min="1275" max="1275" width="3.6640625" style="267" bestFit="1" customWidth="1"/>
    <col min="1276" max="1276" width="15.44140625" style="267" bestFit="1" customWidth="1"/>
    <col min="1277" max="1277" width="3.77734375" style="267" customWidth="1"/>
    <col min="1278" max="1278" width="11.21875" style="267" bestFit="1" customWidth="1"/>
    <col min="1279" max="1279" width="3.6640625" style="267" customWidth="1"/>
    <col min="1280" max="1280" width="13.5546875" style="267" customWidth="1"/>
    <col min="1281" max="1281" width="1" style="267" customWidth="1"/>
    <col min="1282" max="1282" width="14.21875" style="267" bestFit="1" customWidth="1"/>
    <col min="1283" max="1283" width="3.33203125" style="267" customWidth="1"/>
    <col min="1284" max="1284" width="20.44140625" style="267" customWidth="1"/>
    <col min="1285" max="1525" width="8.77734375" style="267"/>
    <col min="1526" max="1526" width="54.6640625" style="267" customWidth="1"/>
    <col min="1527" max="1527" width="13.77734375" style="267" customWidth="1"/>
    <col min="1528" max="1528" width="0" style="267" hidden="1" customWidth="1"/>
    <col min="1529" max="1529" width="6.6640625" style="267" customWidth="1"/>
    <col min="1530" max="1530" width="15" style="267" customWidth="1"/>
    <col min="1531" max="1531" width="3.6640625" style="267" bestFit="1" customWidth="1"/>
    <col min="1532" max="1532" width="15.44140625" style="267" bestFit="1" customWidth="1"/>
    <col min="1533" max="1533" width="3.77734375" style="267" customWidth="1"/>
    <col min="1534" max="1534" width="11.21875" style="267" bestFit="1" customWidth="1"/>
    <col min="1535" max="1535" width="3.6640625" style="267" customWidth="1"/>
    <col min="1536" max="1536" width="13.5546875" style="267" customWidth="1"/>
    <col min="1537" max="1537" width="1" style="267" customWidth="1"/>
    <col min="1538" max="1538" width="14.21875" style="267" bestFit="1" customWidth="1"/>
    <col min="1539" max="1539" width="3.33203125" style="267" customWidth="1"/>
    <col min="1540" max="1540" width="20.44140625" style="267" customWidth="1"/>
    <col min="1541" max="1781" width="8.77734375" style="267"/>
    <col min="1782" max="1782" width="54.6640625" style="267" customWidth="1"/>
    <col min="1783" max="1783" width="13.77734375" style="267" customWidth="1"/>
    <col min="1784" max="1784" width="0" style="267" hidden="1" customWidth="1"/>
    <col min="1785" max="1785" width="6.6640625" style="267" customWidth="1"/>
    <col min="1786" max="1786" width="15" style="267" customWidth="1"/>
    <col min="1787" max="1787" width="3.6640625" style="267" bestFit="1" customWidth="1"/>
    <col min="1788" max="1788" width="15.44140625" style="267" bestFit="1" customWidth="1"/>
    <col min="1789" max="1789" width="3.77734375" style="267" customWidth="1"/>
    <col min="1790" max="1790" width="11.21875" style="267" bestFit="1" customWidth="1"/>
    <col min="1791" max="1791" width="3.6640625" style="267" customWidth="1"/>
    <col min="1792" max="1792" width="13.5546875" style="267" customWidth="1"/>
    <col min="1793" max="1793" width="1" style="267" customWidth="1"/>
    <col min="1794" max="1794" width="14.21875" style="267" bestFit="1" customWidth="1"/>
    <col min="1795" max="1795" width="3.33203125" style="267" customWidth="1"/>
    <col min="1796" max="1796" width="20.44140625" style="267" customWidth="1"/>
    <col min="1797" max="2037" width="8.77734375" style="267"/>
    <col min="2038" max="2038" width="54.6640625" style="267" customWidth="1"/>
    <col min="2039" max="2039" width="13.77734375" style="267" customWidth="1"/>
    <col min="2040" max="2040" width="0" style="267" hidden="1" customWidth="1"/>
    <col min="2041" max="2041" width="6.6640625" style="267" customWidth="1"/>
    <col min="2042" max="2042" width="15" style="267" customWidth="1"/>
    <col min="2043" max="2043" width="3.6640625" style="267" bestFit="1" customWidth="1"/>
    <col min="2044" max="2044" width="15.44140625" style="267" bestFit="1" customWidth="1"/>
    <col min="2045" max="2045" width="3.77734375" style="267" customWidth="1"/>
    <col min="2046" max="2046" width="11.21875" style="267" bestFit="1" customWidth="1"/>
    <col min="2047" max="2047" width="3.6640625" style="267" customWidth="1"/>
    <col min="2048" max="2048" width="13.5546875" style="267" customWidth="1"/>
    <col min="2049" max="2049" width="1" style="267" customWidth="1"/>
    <col min="2050" max="2050" width="14.21875" style="267" bestFit="1" customWidth="1"/>
    <col min="2051" max="2051" width="3.33203125" style="267" customWidth="1"/>
    <col min="2052" max="2052" width="20.44140625" style="267" customWidth="1"/>
    <col min="2053" max="2293" width="8.77734375" style="267"/>
    <col min="2294" max="2294" width="54.6640625" style="267" customWidth="1"/>
    <col min="2295" max="2295" width="13.77734375" style="267" customWidth="1"/>
    <col min="2296" max="2296" width="0" style="267" hidden="1" customWidth="1"/>
    <col min="2297" max="2297" width="6.6640625" style="267" customWidth="1"/>
    <col min="2298" max="2298" width="15" style="267" customWidth="1"/>
    <col min="2299" max="2299" width="3.6640625" style="267" bestFit="1" customWidth="1"/>
    <col min="2300" max="2300" width="15.44140625" style="267" bestFit="1" customWidth="1"/>
    <col min="2301" max="2301" width="3.77734375" style="267" customWidth="1"/>
    <col min="2302" max="2302" width="11.21875" style="267" bestFit="1" customWidth="1"/>
    <col min="2303" max="2303" width="3.6640625" style="267" customWidth="1"/>
    <col min="2304" max="2304" width="13.5546875" style="267" customWidth="1"/>
    <col min="2305" max="2305" width="1" style="267" customWidth="1"/>
    <col min="2306" max="2306" width="14.21875" style="267" bestFit="1" customWidth="1"/>
    <col min="2307" max="2307" width="3.33203125" style="267" customWidth="1"/>
    <col min="2308" max="2308" width="20.44140625" style="267" customWidth="1"/>
    <col min="2309" max="2549" width="8.77734375" style="267"/>
    <col min="2550" max="2550" width="54.6640625" style="267" customWidth="1"/>
    <col min="2551" max="2551" width="13.77734375" style="267" customWidth="1"/>
    <col min="2552" max="2552" width="0" style="267" hidden="1" customWidth="1"/>
    <col min="2553" max="2553" width="6.6640625" style="267" customWidth="1"/>
    <col min="2554" max="2554" width="15" style="267" customWidth="1"/>
    <col min="2555" max="2555" width="3.6640625" style="267" bestFit="1" customWidth="1"/>
    <col min="2556" max="2556" width="15.44140625" style="267" bestFit="1" customWidth="1"/>
    <col min="2557" max="2557" width="3.77734375" style="267" customWidth="1"/>
    <col min="2558" max="2558" width="11.21875" style="267" bestFit="1" customWidth="1"/>
    <col min="2559" max="2559" width="3.6640625" style="267" customWidth="1"/>
    <col min="2560" max="2560" width="13.5546875" style="267" customWidth="1"/>
    <col min="2561" max="2561" width="1" style="267" customWidth="1"/>
    <col min="2562" max="2562" width="14.21875" style="267" bestFit="1" customWidth="1"/>
    <col min="2563" max="2563" width="3.33203125" style="267" customWidth="1"/>
    <col min="2564" max="2564" width="20.44140625" style="267" customWidth="1"/>
    <col min="2565" max="2805" width="8.77734375" style="267"/>
    <col min="2806" max="2806" width="54.6640625" style="267" customWidth="1"/>
    <col min="2807" max="2807" width="13.77734375" style="267" customWidth="1"/>
    <col min="2808" max="2808" width="0" style="267" hidden="1" customWidth="1"/>
    <col min="2809" max="2809" width="6.6640625" style="267" customWidth="1"/>
    <col min="2810" max="2810" width="15" style="267" customWidth="1"/>
    <col min="2811" max="2811" width="3.6640625" style="267" bestFit="1" customWidth="1"/>
    <col min="2812" max="2812" width="15.44140625" style="267" bestFit="1" customWidth="1"/>
    <col min="2813" max="2813" width="3.77734375" style="267" customWidth="1"/>
    <col min="2814" max="2814" width="11.21875" style="267" bestFit="1" customWidth="1"/>
    <col min="2815" max="2815" width="3.6640625" style="267" customWidth="1"/>
    <col min="2816" max="2816" width="13.5546875" style="267" customWidth="1"/>
    <col min="2817" max="2817" width="1" style="267" customWidth="1"/>
    <col min="2818" max="2818" width="14.21875" style="267" bestFit="1" customWidth="1"/>
    <col min="2819" max="2819" width="3.33203125" style="267" customWidth="1"/>
    <col min="2820" max="2820" width="20.44140625" style="267" customWidth="1"/>
    <col min="2821" max="3061" width="8.77734375" style="267"/>
    <col min="3062" max="3062" width="54.6640625" style="267" customWidth="1"/>
    <col min="3063" max="3063" width="13.77734375" style="267" customWidth="1"/>
    <col min="3064" max="3064" width="0" style="267" hidden="1" customWidth="1"/>
    <col min="3065" max="3065" width="6.6640625" style="267" customWidth="1"/>
    <col min="3066" max="3066" width="15" style="267" customWidth="1"/>
    <col min="3067" max="3067" width="3.6640625" style="267" bestFit="1" customWidth="1"/>
    <col min="3068" max="3068" width="15.44140625" style="267" bestFit="1" customWidth="1"/>
    <col min="3069" max="3069" width="3.77734375" style="267" customWidth="1"/>
    <col min="3070" max="3070" width="11.21875" style="267" bestFit="1" customWidth="1"/>
    <col min="3071" max="3071" width="3.6640625" style="267" customWidth="1"/>
    <col min="3072" max="3072" width="13.5546875" style="267" customWidth="1"/>
    <col min="3073" max="3073" width="1" style="267" customWidth="1"/>
    <col min="3074" max="3074" width="14.21875" style="267" bestFit="1" customWidth="1"/>
    <col min="3075" max="3075" width="3.33203125" style="267" customWidth="1"/>
    <col min="3076" max="3076" width="20.44140625" style="267" customWidth="1"/>
    <col min="3077" max="3317" width="8.77734375" style="267"/>
    <col min="3318" max="3318" width="54.6640625" style="267" customWidth="1"/>
    <col min="3319" max="3319" width="13.77734375" style="267" customWidth="1"/>
    <col min="3320" max="3320" width="0" style="267" hidden="1" customWidth="1"/>
    <col min="3321" max="3321" width="6.6640625" style="267" customWidth="1"/>
    <col min="3322" max="3322" width="15" style="267" customWidth="1"/>
    <col min="3323" max="3323" width="3.6640625" style="267" bestFit="1" customWidth="1"/>
    <col min="3324" max="3324" width="15.44140625" style="267" bestFit="1" customWidth="1"/>
    <col min="3325" max="3325" width="3.77734375" style="267" customWidth="1"/>
    <col min="3326" max="3326" width="11.21875" style="267" bestFit="1" customWidth="1"/>
    <col min="3327" max="3327" width="3.6640625" style="267" customWidth="1"/>
    <col min="3328" max="3328" width="13.5546875" style="267" customWidth="1"/>
    <col min="3329" max="3329" width="1" style="267" customWidth="1"/>
    <col min="3330" max="3330" width="14.21875" style="267" bestFit="1" customWidth="1"/>
    <col min="3331" max="3331" width="3.33203125" style="267" customWidth="1"/>
    <col min="3332" max="3332" width="20.44140625" style="267" customWidth="1"/>
    <col min="3333" max="3573" width="8.77734375" style="267"/>
    <col min="3574" max="3574" width="54.6640625" style="267" customWidth="1"/>
    <col min="3575" max="3575" width="13.77734375" style="267" customWidth="1"/>
    <col min="3576" max="3576" width="0" style="267" hidden="1" customWidth="1"/>
    <col min="3577" max="3577" width="6.6640625" style="267" customWidth="1"/>
    <col min="3578" max="3578" width="15" style="267" customWidth="1"/>
    <col min="3579" max="3579" width="3.6640625" style="267" bestFit="1" customWidth="1"/>
    <col min="3580" max="3580" width="15.44140625" style="267" bestFit="1" customWidth="1"/>
    <col min="3581" max="3581" width="3.77734375" style="267" customWidth="1"/>
    <col min="3582" max="3582" width="11.21875" style="267" bestFit="1" customWidth="1"/>
    <col min="3583" max="3583" width="3.6640625" style="267" customWidth="1"/>
    <col min="3584" max="3584" width="13.5546875" style="267" customWidth="1"/>
    <col min="3585" max="3585" width="1" style="267" customWidth="1"/>
    <col min="3586" max="3586" width="14.21875" style="267" bestFit="1" customWidth="1"/>
    <col min="3587" max="3587" width="3.33203125" style="267" customWidth="1"/>
    <col min="3588" max="3588" width="20.44140625" style="267" customWidth="1"/>
    <col min="3589" max="3829" width="8.77734375" style="267"/>
    <col min="3830" max="3830" width="54.6640625" style="267" customWidth="1"/>
    <col min="3831" max="3831" width="13.77734375" style="267" customWidth="1"/>
    <col min="3832" max="3832" width="0" style="267" hidden="1" customWidth="1"/>
    <col min="3833" max="3833" width="6.6640625" style="267" customWidth="1"/>
    <col min="3834" max="3834" width="15" style="267" customWidth="1"/>
    <col min="3835" max="3835" width="3.6640625" style="267" bestFit="1" customWidth="1"/>
    <col min="3836" max="3836" width="15.44140625" style="267" bestFit="1" customWidth="1"/>
    <col min="3837" max="3837" width="3.77734375" style="267" customWidth="1"/>
    <col min="3838" max="3838" width="11.21875" style="267" bestFit="1" customWidth="1"/>
    <col min="3839" max="3839" width="3.6640625" style="267" customWidth="1"/>
    <col min="3840" max="3840" width="13.5546875" style="267" customWidth="1"/>
    <col min="3841" max="3841" width="1" style="267" customWidth="1"/>
    <col min="3842" max="3842" width="14.21875" style="267" bestFit="1" customWidth="1"/>
    <col min="3843" max="3843" width="3.33203125" style="267" customWidth="1"/>
    <col min="3844" max="3844" width="20.44140625" style="267" customWidth="1"/>
    <col min="3845" max="4085" width="8.77734375" style="267"/>
    <col min="4086" max="4086" width="54.6640625" style="267" customWidth="1"/>
    <col min="4087" max="4087" width="13.77734375" style="267" customWidth="1"/>
    <col min="4088" max="4088" width="0" style="267" hidden="1" customWidth="1"/>
    <col min="4089" max="4089" width="6.6640625" style="267" customWidth="1"/>
    <col min="4090" max="4090" width="15" style="267" customWidth="1"/>
    <col min="4091" max="4091" width="3.6640625" style="267" bestFit="1" customWidth="1"/>
    <col min="4092" max="4092" width="15.44140625" style="267" bestFit="1" customWidth="1"/>
    <col min="4093" max="4093" width="3.77734375" style="267" customWidth="1"/>
    <col min="4094" max="4094" width="11.21875" style="267" bestFit="1" customWidth="1"/>
    <col min="4095" max="4095" width="3.6640625" style="267" customWidth="1"/>
    <col min="4096" max="4096" width="13.5546875" style="267" customWidth="1"/>
    <col min="4097" max="4097" width="1" style="267" customWidth="1"/>
    <col min="4098" max="4098" width="14.21875" style="267" bestFit="1" customWidth="1"/>
    <col min="4099" max="4099" width="3.33203125" style="267" customWidth="1"/>
    <col min="4100" max="4100" width="20.44140625" style="267" customWidth="1"/>
    <col min="4101" max="4341" width="8.77734375" style="267"/>
    <col min="4342" max="4342" width="54.6640625" style="267" customWidth="1"/>
    <col min="4343" max="4343" width="13.77734375" style="267" customWidth="1"/>
    <col min="4344" max="4344" width="0" style="267" hidden="1" customWidth="1"/>
    <col min="4345" max="4345" width="6.6640625" style="267" customWidth="1"/>
    <col min="4346" max="4346" width="15" style="267" customWidth="1"/>
    <col min="4347" max="4347" width="3.6640625" style="267" bestFit="1" customWidth="1"/>
    <col min="4348" max="4348" width="15.44140625" style="267" bestFit="1" customWidth="1"/>
    <col min="4349" max="4349" width="3.77734375" style="267" customWidth="1"/>
    <col min="4350" max="4350" width="11.21875" style="267" bestFit="1" customWidth="1"/>
    <col min="4351" max="4351" width="3.6640625" style="267" customWidth="1"/>
    <col min="4352" max="4352" width="13.5546875" style="267" customWidth="1"/>
    <col min="4353" max="4353" width="1" style="267" customWidth="1"/>
    <col min="4354" max="4354" width="14.21875" style="267" bestFit="1" customWidth="1"/>
    <col min="4355" max="4355" width="3.33203125" style="267" customWidth="1"/>
    <col min="4356" max="4356" width="20.44140625" style="267" customWidth="1"/>
    <col min="4357" max="4597" width="8.77734375" style="267"/>
    <col min="4598" max="4598" width="54.6640625" style="267" customWidth="1"/>
    <col min="4599" max="4599" width="13.77734375" style="267" customWidth="1"/>
    <col min="4600" max="4600" width="0" style="267" hidden="1" customWidth="1"/>
    <col min="4601" max="4601" width="6.6640625" style="267" customWidth="1"/>
    <col min="4602" max="4602" width="15" style="267" customWidth="1"/>
    <col min="4603" max="4603" width="3.6640625" style="267" bestFit="1" customWidth="1"/>
    <col min="4604" max="4604" width="15.44140625" style="267" bestFit="1" customWidth="1"/>
    <col min="4605" max="4605" width="3.77734375" style="267" customWidth="1"/>
    <col min="4606" max="4606" width="11.21875" style="267" bestFit="1" customWidth="1"/>
    <col min="4607" max="4607" width="3.6640625" style="267" customWidth="1"/>
    <col min="4608" max="4608" width="13.5546875" style="267" customWidth="1"/>
    <col min="4609" max="4609" width="1" style="267" customWidth="1"/>
    <col min="4610" max="4610" width="14.21875" style="267" bestFit="1" customWidth="1"/>
    <col min="4611" max="4611" width="3.33203125" style="267" customWidth="1"/>
    <col min="4612" max="4612" width="20.44140625" style="267" customWidth="1"/>
    <col min="4613" max="4853" width="8.77734375" style="267"/>
    <col min="4854" max="4854" width="54.6640625" style="267" customWidth="1"/>
    <col min="4855" max="4855" width="13.77734375" style="267" customWidth="1"/>
    <col min="4856" max="4856" width="0" style="267" hidden="1" customWidth="1"/>
    <col min="4857" max="4857" width="6.6640625" style="267" customWidth="1"/>
    <col min="4858" max="4858" width="15" style="267" customWidth="1"/>
    <col min="4859" max="4859" width="3.6640625" style="267" bestFit="1" customWidth="1"/>
    <col min="4860" max="4860" width="15.44140625" style="267" bestFit="1" customWidth="1"/>
    <col min="4861" max="4861" width="3.77734375" style="267" customWidth="1"/>
    <col min="4862" max="4862" width="11.21875" style="267" bestFit="1" customWidth="1"/>
    <col min="4863" max="4863" width="3.6640625" style="267" customWidth="1"/>
    <col min="4864" max="4864" width="13.5546875" style="267" customWidth="1"/>
    <col min="4865" max="4865" width="1" style="267" customWidth="1"/>
    <col min="4866" max="4866" width="14.21875" style="267" bestFit="1" customWidth="1"/>
    <col min="4867" max="4867" width="3.33203125" style="267" customWidth="1"/>
    <col min="4868" max="4868" width="20.44140625" style="267" customWidth="1"/>
    <col min="4869" max="5109" width="8.77734375" style="267"/>
    <col min="5110" max="5110" width="54.6640625" style="267" customWidth="1"/>
    <col min="5111" max="5111" width="13.77734375" style="267" customWidth="1"/>
    <col min="5112" max="5112" width="0" style="267" hidden="1" customWidth="1"/>
    <col min="5113" max="5113" width="6.6640625" style="267" customWidth="1"/>
    <col min="5114" max="5114" width="15" style="267" customWidth="1"/>
    <col min="5115" max="5115" width="3.6640625" style="267" bestFit="1" customWidth="1"/>
    <col min="5116" max="5116" width="15.44140625" style="267" bestFit="1" customWidth="1"/>
    <col min="5117" max="5117" width="3.77734375" style="267" customWidth="1"/>
    <col min="5118" max="5118" width="11.21875" style="267" bestFit="1" customWidth="1"/>
    <col min="5119" max="5119" width="3.6640625" style="267" customWidth="1"/>
    <col min="5120" max="5120" width="13.5546875" style="267" customWidth="1"/>
    <col min="5121" max="5121" width="1" style="267" customWidth="1"/>
    <col min="5122" max="5122" width="14.21875" style="267" bestFit="1" customWidth="1"/>
    <col min="5123" max="5123" width="3.33203125" style="267" customWidth="1"/>
    <col min="5124" max="5124" width="20.44140625" style="267" customWidth="1"/>
    <col min="5125" max="5365" width="8.77734375" style="267"/>
    <col min="5366" max="5366" width="54.6640625" style="267" customWidth="1"/>
    <col min="5367" max="5367" width="13.77734375" style="267" customWidth="1"/>
    <col min="5368" max="5368" width="0" style="267" hidden="1" customWidth="1"/>
    <col min="5369" max="5369" width="6.6640625" style="267" customWidth="1"/>
    <col min="5370" max="5370" width="15" style="267" customWidth="1"/>
    <col min="5371" max="5371" width="3.6640625" style="267" bestFit="1" customWidth="1"/>
    <col min="5372" max="5372" width="15.44140625" style="267" bestFit="1" customWidth="1"/>
    <col min="5373" max="5373" width="3.77734375" style="267" customWidth="1"/>
    <col min="5374" max="5374" width="11.21875" style="267" bestFit="1" customWidth="1"/>
    <col min="5375" max="5375" width="3.6640625" style="267" customWidth="1"/>
    <col min="5376" max="5376" width="13.5546875" style="267" customWidth="1"/>
    <col min="5377" max="5377" width="1" style="267" customWidth="1"/>
    <col min="5378" max="5378" width="14.21875" style="267" bestFit="1" customWidth="1"/>
    <col min="5379" max="5379" width="3.33203125" style="267" customWidth="1"/>
    <col min="5380" max="5380" width="20.44140625" style="267" customWidth="1"/>
    <col min="5381" max="5621" width="8.77734375" style="267"/>
    <col min="5622" max="5622" width="54.6640625" style="267" customWidth="1"/>
    <col min="5623" max="5623" width="13.77734375" style="267" customWidth="1"/>
    <col min="5624" max="5624" width="0" style="267" hidden="1" customWidth="1"/>
    <col min="5625" max="5625" width="6.6640625" style="267" customWidth="1"/>
    <col min="5626" max="5626" width="15" style="267" customWidth="1"/>
    <col min="5627" max="5627" width="3.6640625" style="267" bestFit="1" customWidth="1"/>
    <col min="5628" max="5628" width="15.44140625" style="267" bestFit="1" customWidth="1"/>
    <col min="5629" max="5629" width="3.77734375" style="267" customWidth="1"/>
    <col min="5630" max="5630" width="11.21875" style="267" bestFit="1" customWidth="1"/>
    <col min="5631" max="5631" width="3.6640625" style="267" customWidth="1"/>
    <col min="5632" max="5632" width="13.5546875" style="267" customWidth="1"/>
    <col min="5633" max="5633" width="1" style="267" customWidth="1"/>
    <col min="5634" max="5634" width="14.21875" style="267" bestFit="1" customWidth="1"/>
    <col min="5635" max="5635" width="3.33203125" style="267" customWidth="1"/>
    <col min="5636" max="5636" width="20.44140625" style="267" customWidth="1"/>
    <col min="5637" max="5877" width="8.77734375" style="267"/>
    <col min="5878" max="5878" width="54.6640625" style="267" customWidth="1"/>
    <col min="5879" max="5879" width="13.77734375" style="267" customWidth="1"/>
    <col min="5880" max="5880" width="0" style="267" hidden="1" customWidth="1"/>
    <col min="5881" max="5881" width="6.6640625" style="267" customWidth="1"/>
    <col min="5882" max="5882" width="15" style="267" customWidth="1"/>
    <col min="5883" max="5883" width="3.6640625" style="267" bestFit="1" customWidth="1"/>
    <col min="5884" max="5884" width="15.44140625" style="267" bestFit="1" customWidth="1"/>
    <col min="5885" max="5885" width="3.77734375" style="267" customWidth="1"/>
    <col min="5886" max="5886" width="11.21875" style="267" bestFit="1" customWidth="1"/>
    <col min="5887" max="5887" width="3.6640625" style="267" customWidth="1"/>
    <col min="5888" max="5888" width="13.5546875" style="267" customWidth="1"/>
    <col min="5889" max="5889" width="1" style="267" customWidth="1"/>
    <col min="5890" max="5890" width="14.21875" style="267" bestFit="1" customWidth="1"/>
    <col min="5891" max="5891" width="3.33203125" style="267" customWidth="1"/>
    <col min="5892" max="5892" width="20.44140625" style="267" customWidth="1"/>
    <col min="5893" max="6133" width="8.77734375" style="267"/>
    <col min="6134" max="6134" width="54.6640625" style="267" customWidth="1"/>
    <col min="6135" max="6135" width="13.77734375" style="267" customWidth="1"/>
    <col min="6136" max="6136" width="0" style="267" hidden="1" customWidth="1"/>
    <col min="6137" max="6137" width="6.6640625" style="267" customWidth="1"/>
    <col min="6138" max="6138" width="15" style="267" customWidth="1"/>
    <col min="6139" max="6139" width="3.6640625" style="267" bestFit="1" customWidth="1"/>
    <col min="6140" max="6140" width="15.44140625" style="267" bestFit="1" customWidth="1"/>
    <col min="6141" max="6141" width="3.77734375" style="267" customWidth="1"/>
    <col min="6142" max="6142" width="11.21875" style="267" bestFit="1" customWidth="1"/>
    <col min="6143" max="6143" width="3.6640625" style="267" customWidth="1"/>
    <col min="6144" max="6144" width="13.5546875" style="267" customWidth="1"/>
    <col min="6145" max="6145" width="1" style="267" customWidth="1"/>
    <col min="6146" max="6146" width="14.21875" style="267" bestFit="1" customWidth="1"/>
    <col min="6147" max="6147" width="3.33203125" style="267" customWidth="1"/>
    <col min="6148" max="6148" width="20.44140625" style="267" customWidth="1"/>
    <col min="6149" max="6389" width="8.77734375" style="267"/>
    <col min="6390" max="6390" width="54.6640625" style="267" customWidth="1"/>
    <col min="6391" max="6391" width="13.77734375" style="267" customWidth="1"/>
    <col min="6392" max="6392" width="0" style="267" hidden="1" customWidth="1"/>
    <col min="6393" max="6393" width="6.6640625" style="267" customWidth="1"/>
    <col min="6394" max="6394" width="15" style="267" customWidth="1"/>
    <col min="6395" max="6395" width="3.6640625" style="267" bestFit="1" customWidth="1"/>
    <col min="6396" max="6396" width="15.44140625" style="267" bestFit="1" customWidth="1"/>
    <col min="6397" max="6397" width="3.77734375" style="267" customWidth="1"/>
    <col min="6398" max="6398" width="11.21875" style="267" bestFit="1" customWidth="1"/>
    <col min="6399" max="6399" width="3.6640625" style="267" customWidth="1"/>
    <col min="6400" max="6400" width="13.5546875" style="267" customWidth="1"/>
    <col min="6401" max="6401" width="1" style="267" customWidth="1"/>
    <col min="6402" max="6402" width="14.21875" style="267" bestFit="1" customWidth="1"/>
    <col min="6403" max="6403" width="3.33203125" style="267" customWidth="1"/>
    <col min="6404" max="6404" width="20.44140625" style="267" customWidth="1"/>
    <col min="6405" max="6645" width="8.77734375" style="267"/>
    <col min="6646" max="6646" width="54.6640625" style="267" customWidth="1"/>
    <col min="6647" max="6647" width="13.77734375" style="267" customWidth="1"/>
    <col min="6648" max="6648" width="0" style="267" hidden="1" customWidth="1"/>
    <col min="6649" max="6649" width="6.6640625" style="267" customWidth="1"/>
    <col min="6650" max="6650" width="15" style="267" customWidth="1"/>
    <col min="6651" max="6651" width="3.6640625" style="267" bestFit="1" customWidth="1"/>
    <col min="6652" max="6652" width="15.44140625" style="267" bestFit="1" customWidth="1"/>
    <col min="6653" max="6653" width="3.77734375" style="267" customWidth="1"/>
    <col min="6654" max="6654" width="11.21875" style="267" bestFit="1" customWidth="1"/>
    <col min="6655" max="6655" width="3.6640625" style="267" customWidth="1"/>
    <col min="6656" max="6656" width="13.5546875" style="267" customWidth="1"/>
    <col min="6657" max="6657" width="1" style="267" customWidth="1"/>
    <col min="6658" max="6658" width="14.21875" style="267" bestFit="1" customWidth="1"/>
    <col min="6659" max="6659" width="3.33203125" style="267" customWidth="1"/>
    <col min="6660" max="6660" width="20.44140625" style="267" customWidth="1"/>
    <col min="6661" max="6901" width="8.77734375" style="267"/>
    <col min="6902" max="6902" width="54.6640625" style="267" customWidth="1"/>
    <col min="6903" max="6903" width="13.77734375" style="267" customWidth="1"/>
    <col min="6904" max="6904" width="0" style="267" hidden="1" customWidth="1"/>
    <col min="6905" max="6905" width="6.6640625" style="267" customWidth="1"/>
    <col min="6906" max="6906" width="15" style="267" customWidth="1"/>
    <col min="6907" max="6907" width="3.6640625" style="267" bestFit="1" customWidth="1"/>
    <col min="6908" max="6908" width="15.44140625" style="267" bestFit="1" customWidth="1"/>
    <col min="6909" max="6909" width="3.77734375" style="267" customWidth="1"/>
    <col min="6910" max="6910" width="11.21875" style="267" bestFit="1" customWidth="1"/>
    <col min="6911" max="6911" width="3.6640625" style="267" customWidth="1"/>
    <col min="6912" max="6912" width="13.5546875" style="267" customWidth="1"/>
    <col min="6913" max="6913" width="1" style="267" customWidth="1"/>
    <col min="6914" max="6914" width="14.21875" style="267" bestFit="1" customWidth="1"/>
    <col min="6915" max="6915" width="3.33203125" style="267" customWidth="1"/>
    <col min="6916" max="6916" width="20.44140625" style="267" customWidth="1"/>
    <col min="6917" max="7157" width="8.77734375" style="267"/>
    <col min="7158" max="7158" width="54.6640625" style="267" customWidth="1"/>
    <col min="7159" max="7159" width="13.77734375" style="267" customWidth="1"/>
    <col min="7160" max="7160" width="0" style="267" hidden="1" customWidth="1"/>
    <col min="7161" max="7161" width="6.6640625" style="267" customWidth="1"/>
    <col min="7162" max="7162" width="15" style="267" customWidth="1"/>
    <col min="7163" max="7163" width="3.6640625" style="267" bestFit="1" customWidth="1"/>
    <col min="7164" max="7164" width="15.44140625" style="267" bestFit="1" customWidth="1"/>
    <col min="7165" max="7165" width="3.77734375" style="267" customWidth="1"/>
    <col min="7166" max="7166" width="11.21875" style="267" bestFit="1" customWidth="1"/>
    <col min="7167" max="7167" width="3.6640625" style="267" customWidth="1"/>
    <col min="7168" max="7168" width="13.5546875" style="267" customWidth="1"/>
    <col min="7169" max="7169" width="1" style="267" customWidth="1"/>
    <col min="7170" max="7170" width="14.21875" style="267" bestFit="1" customWidth="1"/>
    <col min="7171" max="7171" width="3.33203125" style="267" customWidth="1"/>
    <col min="7172" max="7172" width="20.44140625" style="267" customWidth="1"/>
    <col min="7173" max="7413" width="8.77734375" style="267"/>
    <col min="7414" max="7414" width="54.6640625" style="267" customWidth="1"/>
    <col min="7415" max="7415" width="13.77734375" style="267" customWidth="1"/>
    <col min="7416" max="7416" width="0" style="267" hidden="1" customWidth="1"/>
    <col min="7417" max="7417" width="6.6640625" style="267" customWidth="1"/>
    <col min="7418" max="7418" width="15" style="267" customWidth="1"/>
    <col min="7419" max="7419" width="3.6640625" style="267" bestFit="1" customWidth="1"/>
    <col min="7420" max="7420" width="15.44140625" style="267" bestFit="1" customWidth="1"/>
    <col min="7421" max="7421" width="3.77734375" style="267" customWidth="1"/>
    <col min="7422" max="7422" width="11.21875" style="267" bestFit="1" customWidth="1"/>
    <col min="7423" max="7423" width="3.6640625" style="267" customWidth="1"/>
    <col min="7424" max="7424" width="13.5546875" style="267" customWidth="1"/>
    <col min="7425" max="7425" width="1" style="267" customWidth="1"/>
    <col min="7426" max="7426" width="14.21875" style="267" bestFit="1" customWidth="1"/>
    <col min="7427" max="7427" width="3.33203125" style="267" customWidth="1"/>
    <col min="7428" max="7428" width="20.44140625" style="267" customWidth="1"/>
    <col min="7429" max="7669" width="8.77734375" style="267"/>
    <col min="7670" max="7670" width="54.6640625" style="267" customWidth="1"/>
    <col min="7671" max="7671" width="13.77734375" style="267" customWidth="1"/>
    <col min="7672" max="7672" width="0" style="267" hidden="1" customWidth="1"/>
    <col min="7673" max="7673" width="6.6640625" style="267" customWidth="1"/>
    <col min="7674" max="7674" width="15" style="267" customWidth="1"/>
    <col min="7675" max="7675" width="3.6640625" style="267" bestFit="1" customWidth="1"/>
    <col min="7676" max="7676" width="15.44140625" style="267" bestFit="1" customWidth="1"/>
    <col min="7677" max="7677" width="3.77734375" style="267" customWidth="1"/>
    <col min="7678" max="7678" width="11.21875" style="267" bestFit="1" customWidth="1"/>
    <col min="7679" max="7679" width="3.6640625" style="267" customWidth="1"/>
    <col min="7680" max="7680" width="13.5546875" style="267" customWidth="1"/>
    <col min="7681" max="7681" width="1" style="267" customWidth="1"/>
    <col min="7682" max="7682" width="14.21875" style="267" bestFit="1" customWidth="1"/>
    <col min="7683" max="7683" width="3.33203125" style="267" customWidth="1"/>
    <col min="7684" max="7684" width="20.44140625" style="267" customWidth="1"/>
    <col min="7685" max="7925" width="8.77734375" style="267"/>
    <col min="7926" max="7926" width="54.6640625" style="267" customWidth="1"/>
    <col min="7927" max="7927" width="13.77734375" style="267" customWidth="1"/>
    <col min="7928" max="7928" width="0" style="267" hidden="1" customWidth="1"/>
    <col min="7929" max="7929" width="6.6640625" style="267" customWidth="1"/>
    <col min="7930" max="7930" width="15" style="267" customWidth="1"/>
    <col min="7931" max="7931" width="3.6640625" style="267" bestFit="1" customWidth="1"/>
    <col min="7932" max="7932" width="15.44140625" style="267" bestFit="1" customWidth="1"/>
    <col min="7933" max="7933" width="3.77734375" style="267" customWidth="1"/>
    <col min="7934" max="7934" width="11.21875" style="267" bestFit="1" customWidth="1"/>
    <col min="7935" max="7935" width="3.6640625" style="267" customWidth="1"/>
    <col min="7936" max="7936" width="13.5546875" style="267" customWidth="1"/>
    <col min="7937" max="7937" width="1" style="267" customWidth="1"/>
    <col min="7938" max="7938" width="14.21875" style="267" bestFit="1" customWidth="1"/>
    <col min="7939" max="7939" width="3.33203125" style="267" customWidth="1"/>
    <col min="7940" max="7940" width="20.44140625" style="267" customWidth="1"/>
    <col min="7941" max="8181" width="8.77734375" style="267"/>
    <col min="8182" max="8182" width="54.6640625" style="267" customWidth="1"/>
    <col min="8183" max="8183" width="13.77734375" style="267" customWidth="1"/>
    <col min="8184" max="8184" width="0" style="267" hidden="1" customWidth="1"/>
    <col min="8185" max="8185" width="6.6640625" style="267" customWidth="1"/>
    <col min="8186" max="8186" width="15" style="267" customWidth="1"/>
    <col min="8187" max="8187" width="3.6640625" style="267" bestFit="1" customWidth="1"/>
    <col min="8188" max="8188" width="15.44140625" style="267" bestFit="1" customWidth="1"/>
    <col min="8189" max="8189" width="3.77734375" style="267" customWidth="1"/>
    <col min="8190" max="8190" width="11.21875" style="267" bestFit="1" customWidth="1"/>
    <col min="8191" max="8191" width="3.6640625" style="267" customWidth="1"/>
    <col min="8192" max="8192" width="13.5546875" style="267" customWidth="1"/>
    <col min="8193" max="8193" width="1" style="267" customWidth="1"/>
    <col min="8194" max="8194" width="14.21875" style="267" bestFit="1" customWidth="1"/>
    <col min="8195" max="8195" width="3.33203125" style="267" customWidth="1"/>
    <col min="8196" max="8196" width="20.44140625" style="267" customWidth="1"/>
    <col min="8197" max="8437" width="8.77734375" style="267"/>
    <col min="8438" max="8438" width="54.6640625" style="267" customWidth="1"/>
    <col min="8439" max="8439" width="13.77734375" style="267" customWidth="1"/>
    <col min="8440" max="8440" width="0" style="267" hidden="1" customWidth="1"/>
    <col min="8441" max="8441" width="6.6640625" style="267" customWidth="1"/>
    <col min="8442" max="8442" width="15" style="267" customWidth="1"/>
    <col min="8443" max="8443" width="3.6640625" style="267" bestFit="1" customWidth="1"/>
    <col min="8444" max="8444" width="15.44140625" style="267" bestFit="1" customWidth="1"/>
    <col min="8445" max="8445" width="3.77734375" style="267" customWidth="1"/>
    <col min="8446" max="8446" width="11.21875" style="267" bestFit="1" customWidth="1"/>
    <col min="8447" max="8447" width="3.6640625" style="267" customWidth="1"/>
    <col min="8448" max="8448" width="13.5546875" style="267" customWidth="1"/>
    <col min="8449" max="8449" width="1" style="267" customWidth="1"/>
    <col min="8450" max="8450" width="14.21875" style="267" bestFit="1" customWidth="1"/>
    <col min="8451" max="8451" width="3.33203125" style="267" customWidth="1"/>
    <col min="8452" max="8452" width="20.44140625" style="267" customWidth="1"/>
    <col min="8453" max="8693" width="8.77734375" style="267"/>
    <col min="8694" max="8694" width="54.6640625" style="267" customWidth="1"/>
    <col min="8695" max="8695" width="13.77734375" style="267" customWidth="1"/>
    <col min="8696" max="8696" width="0" style="267" hidden="1" customWidth="1"/>
    <col min="8697" max="8697" width="6.6640625" style="267" customWidth="1"/>
    <col min="8698" max="8698" width="15" style="267" customWidth="1"/>
    <col min="8699" max="8699" width="3.6640625" style="267" bestFit="1" customWidth="1"/>
    <col min="8700" max="8700" width="15.44140625" style="267" bestFit="1" customWidth="1"/>
    <col min="8701" max="8701" width="3.77734375" style="267" customWidth="1"/>
    <col min="8702" max="8702" width="11.21875" style="267" bestFit="1" customWidth="1"/>
    <col min="8703" max="8703" width="3.6640625" style="267" customWidth="1"/>
    <col min="8704" max="8704" width="13.5546875" style="267" customWidth="1"/>
    <col min="8705" max="8705" width="1" style="267" customWidth="1"/>
    <col min="8706" max="8706" width="14.21875" style="267" bestFit="1" customWidth="1"/>
    <col min="8707" max="8707" width="3.33203125" style="267" customWidth="1"/>
    <col min="8708" max="8708" width="20.44140625" style="267" customWidth="1"/>
    <col min="8709" max="8949" width="8.77734375" style="267"/>
    <col min="8950" max="8950" width="54.6640625" style="267" customWidth="1"/>
    <col min="8951" max="8951" width="13.77734375" style="267" customWidth="1"/>
    <col min="8952" max="8952" width="0" style="267" hidden="1" customWidth="1"/>
    <col min="8953" max="8953" width="6.6640625" style="267" customWidth="1"/>
    <col min="8954" max="8954" width="15" style="267" customWidth="1"/>
    <col min="8955" max="8955" width="3.6640625" style="267" bestFit="1" customWidth="1"/>
    <col min="8956" max="8956" width="15.44140625" style="267" bestFit="1" customWidth="1"/>
    <col min="8957" max="8957" width="3.77734375" style="267" customWidth="1"/>
    <col min="8958" max="8958" width="11.21875" style="267" bestFit="1" customWidth="1"/>
    <col min="8959" max="8959" width="3.6640625" style="267" customWidth="1"/>
    <col min="8960" max="8960" width="13.5546875" style="267" customWidth="1"/>
    <col min="8961" max="8961" width="1" style="267" customWidth="1"/>
    <col min="8962" max="8962" width="14.21875" style="267" bestFit="1" customWidth="1"/>
    <col min="8963" max="8963" width="3.33203125" style="267" customWidth="1"/>
    <col min="8964" max="8964" width="20.44140625" style="267" customWidth="1"/>
    <col min="8965" max="9205" width="8.77734375" style="267"/>
    <col min="9206" max="9206" width="54.6640625" style="267" customWidth="1"/>
    <col min="9207" max="9207" width="13.77734375" style="267" customWidth="1"/>
    <col min="9208" max="9208" width="0" style="267" hidden="1" customWidth="1"/>
    <col min="9209" max="9209" width="6.6640625" style="267" customWidth="1"/>
    <col min="9210" max="9210" width="15" style="267" customWidth="1"/>
    <col min="9211" max="9211" width="3.6640625" style="267" bestFit="1" customWidth="1"/>
    <col min="9212" max="9212" width="15.44140625" style="267" bestFit="1" customWidth="1"/>
    <col min="9213" max="9213" width="3.77734375" style="267" customWidth="1"/>
    <col min="9214" max="9214" width="11.21875" style="267" bestFit="1" customWidth="1"/>
    <col min="9215" max="9215" width="3.6640625" style="267" customWidth="1"/>
    <col min="9216" max="9216" width="13.5546875" style="267" customWidth="1"/>
    <col min="9217" max="9217" width="1" style="267" customWidth="1"/>
    <col min="9218" max="9218" width="14.21875" style="267" bestFit="1" customWidth="1"/>
    <col min="9219" max="9219" width="3.33203125" style="267" customWidth="1"/>
    <col min="9220" max="9220" width="20.44140625" style="267" customWidth="1"/>
    <col min="9221" max="9461" width="8.77734375" style="267"/>
    <col min="9462" max="9462" width="54.6640625" style="267" customWidth="1"/>
    <col min="9463" max="9463" width="13.77734375" style="267" customWidth="1"/>
    <col min="9464" max="9464" width="0" style="267" hidden="1" customWidth="1"/>
    <col min="9465" max="9465" width="6.6640625" style="267" customWidth="1"/>
    <col min="9466" max="9466" width="15" style="267" customWidth="1"/>
    <col min="9467" max="9467" width="3.6640625" style="267" bestFit="1" customWidth="1"/>
    <col min="9468" max="9468" width="15.44140625" style="267" bestFit="1" customWidth="1"/>
    <col min="9469" max="9469" width="3.77734375" style="267" customWidth="1"/>
    <col min="9470" max="9470" width="11.21875" style="267" bestFit="1" customWidth="1"/>
    <col min="9471" max="9471" width="3.6640625" style="267" customWidth="1"/>
    <col min="9472" max="9472" width="13.5546875" style="267" customWidth="1"/>
    <col min="9473" max="9473" width="1" style="267" customWidth="1"/>
    <col min="9474" max="9474" width="14.21875" style="267" bestFit="1" customWidth="1"/>
    <col min="9475" max="9475" width="3.33203125" style="267" customWidth="1"/>
    <col min="9476" max="9476" width="20.44140625" style="267" customWidth="1"/>
    <col min="9477" max="9717" width="8.77734375" style="267"/>
    <col min="9718" max="9718" width="54.6640625" style="267" customWidth="1"/>
    <col min="9719" max="9719" width="13.77734375" style="267" customWidth="1"/>
    <col min="9720" max="9720" width="0" style="267" hidden="1" customWidth="1"/>
    <col min="9721" max="9721" width="6.6640625" style="267" customWidth="1"/>
    <col min="9722" max="9722" width="15" style="267" customWidth="1"/>
    <col min="9723" max="9723" width="3.6640625" style="267" bestFit="1" customWidth="1"/>
    <col min="9724" max="9724" width="15.44140625" style="267" bestFit="1" customWidth="1"/>
    <col min="9725" max="9725" width="3.77734375" style="267" customWidth="1"/>
    <col min="9726" max="9726" width="11.21875" style="267" bestFit="1" customWidth="1"/>
    <col min="9727" max="9727" width="3.6640625" style="267" customWidth="1"/>
    <col min="9728" max="9728" width="13.5546875" style="267" customWidth="1"/>
    <col min="9729" max="9729" width="1" style="267" customWidth="1"/>
    <col min="9730" max="9730" width="14.21875" style="267" bestFit="1" customWidth="1"/>
    <col min="9731" max="9731" width="3.33203125" style="267" customWidth="1"/>
    <col min="9732" max="9732" width="20.44140625" style="267" customWidth="1"/>
    <col min="9733" max="9973" width="8.77734375" style="267"/>
    <col min="9974" max="9974" width="54.6640625" style="267" customWidth="1"/>
    <col min="9975" max="9975" width="13.77734375" style="267" customWidth="1"/>
    <col min="9976" max="9976" width="0" style="267" hidden="1" customWidth="1"/>
    <col min="9977" max="9977" width="6.6640625" style="267" customWidth="1"/>
    <col min="9978" max="9978" width="15" style="267" customWidth="1"/>
    <col min="9979" max="9979" width="3.6640625" style="267" bestFit="1" customWidth="1"/>
    <col min="9980" max="9980" width="15.44140625" style="267" bestFit="1" customWidth="1"/>
    <col min="9981" max="9981" width="3.77734375" style="267" customWidth="1"/>
    <col min="9982" max="9982" width="11.21875" style="267" bestFit="1" customWidth="1"/>
    <col min="9983" max="9983" width="3.6640625" style="267" customWidth="1"/>
    <col min="9984" max="9984" width="13.5546875" style="267" customWidth="1"/>
    <col min="9985" max="9985" width="1" style="267" customWidth="1"/>
    <col min="9986" max="9986" width="14.21875" style="267" bestFit="1" customWidth="1"/>
    <col min="9987" max="9987" width="3.33203125" style="267" customWidth="1"/>
    <col min="9988" max="9988" width="20.44140625" style="267" customWidth="1"/>
    <col min="9989" max="10229" width="8.77734375" style="267"/>
    <col min="10230" max="10230" width="54.6640625" style="267" customWidth="1"/>
    <col min="10231" max="10231" width="13.77734375" style="267" customWidth="1"/>
    <col min="10232" max="10232" width="0" style="267" hidden="1" customWidth="1"/>
    <col min="10233" max="10233" width="6.6640625" style="267" customWidth="1"/>
    <col min="10234" max="10234" width="15" style="267" customWidth="1"/>
    <col min="10235" max="10235" width="3.6640625" style="267" bestFit="1" customWidth="1"/>
    <col min="10236" max="10236" width="15.44140625" style="267" bestFit="1" customWidth="1"/>
    <col min="10237" max="10237" width="3.77734375" style="267" customWidth="1"/>
    <col min="10238" max="10238" width="11.21875" style="267" bestFit="1" customWidth="1"/>
    <col min="10239" max="10239" width="3.6640625" style="267" customWidth="1"/>
    <col min="10240" max="10240" width="13.5546875" style="267" customWidth="1"/>
    <col min="10241" max="10241" width="1" style="267" customWidth="1"/>
    <col min="10242" max="10242" width="14.21875" style="267" bestFit="1" customWidth="1"/>
    <col min="10243" max="10243" width="3.33203125" style="267" customWidth="1"/>
    <col min="10244" max="10244" width="20.44140625" style="267" customWidth="1"/>
    <col min="10245" max="10485" width="8.77734375" style="267"/>
    <col min="10486" max="10486" width="54.6640625" style="267" customWidth="1"/>
    <col min="10487" max="10487" width="13.77734375" style="267" customWidth="1"/>
    <col min="10488" max="10488" width="0" style="267" hidden="1" customWidth="1"/>
    <col min="10489" max="10489" width="6.6640625" style="267" customWidth="1"/>
    <col min="10490" max="10490" width="15" style="267" customWidth="1"/>
    <col min="10491" max="10491" width="3.6640625" style="267" bestFit="1" customWidth="1"/>
    <col min="10492" max="10492" width="15.44140625" style="267" bestFit="1" customWidth="1"/>
    <col min="10493" max="10493" width="3.77734375" style="267" customWidth="1"/>
    <col min="10494" max="10494" width="11.21875" style="267" bestFit="1" customWidth="1"/>
    <col min="10495" max="10495" width="3.6640625" style="267" customWidth="1"/>
    <col min="10496" max="10496" width="13.5546875" style="267" customWidth="1"/>
    <col min="10497" max="10497" width="1" style="267" customWidth="1"/>
    <col min="10498" max="10498" width="14.21875" style="267" bestFit="1" customWidth="1"/>
    <col min="10499" max="10499" width="3.33203125" style="267" customWidth="1"/>
    <col min="10500" max="10500" width="20.44140625" style="267" customWidth="1"/>
    <col min="10501" max="10741" width="8.77734375" style="267"/>
    <col min="10742" max="10742" width="54.6640625" style="267" customWidth="1"/>
    <col min="10743" max="10743" width="13.77734375" style="267" customWidth="1"/>
    <col min="10744" max="10744" width="0" style="267" hidden="1" customWidth="1"/>
    <col min="10745" max="10745" width="6.6640625" style="267" customWidth="1"/>
    <col min="10746" max="10746" width="15" style="267" customWidth="1"/>
    <col min="10747" max="10747" width="3.6640625" style="267" bestFit="1" customWidth="1"/>
    <col min="10748" max="10748" width="15.44140625" style="267" bestFit="1" customWidth="1"/>
    <col min="10749" max="10749" width="3.77734375" style="267" customWidth="1"/>
    <col min="10750" max="10750" width="11.21875" style="267" bestFit="1" customWidth="1"/>
    <col min="10751" max="10751" width="3.6640625" style="267" customWidth="1"/>
    <col min="10752" max="10752" width="13.5546875" style="267" customWidth="1"/>
    <col min="10753" max="10753" width="1" style="267" customWidth="1"/>
    <col min="10754" max="10754" width="14.21875" style="267" bestFit="1" customWidth="1"/>
    <col min="10755" max="10755" width="3.33203125" style="267" customWidth="1"/>
    <col min="10756" max="10756" width="20.44140625" style="267" customWidth="1"/>
    <col min="10757" max="10997" width="8.77734375" style="267"/>
    <col min="10998" max="10998" width="54.6640625" style="267" customWidth="1"/>
    <col min="10999" max="10999" width="13.77734375" style="267" customWidth="1"/>
    <col min="11000" max="11000" width="0" style="267" hidden="1" customWidth="1"/>
    <col min="11001" max="11001" width="6.6640625" style="267" customWidth="1"/>
    <col min="11002" max="11002" width="15" style="267" customWidth="1"/>
    <col min="11003" max="11003" width="3.6640625" style="267" bestFit="1" customWidth="1"/>
    <col min="11004" max="11004" width="15.44140625" style="267" bestFit="1" customWidth="1"/>
    <col min="11005" max="11005" width="3.77734375" style="267" customWidth="1"/>
    <col min="11006" max="11006" width="11.21875" style="267" bestFit="1" customWidth="1"/>
    <col min="11007" max="11007" width="3.6640625" style="267" customWidth="1"/>
    <col min="11008" max="11008" width="13.5546875" style="267" customWidth="1"/>
    <col min="11009" max="11009" width="1" style="267" customWidth="1"/>
    <col min="11010" max="11010" width="14.21875" style="267" bestFit="1" customWidth="1"/>
    <col min="11011" max="11011" width="3.33203125" style="267" customWidth="1"/>
    <col min="11012" max="11012" width="20.44140625" style="267" customWidth="1"/>
    <col min="11013" max="11253" width="8.77734375" style="267"/>
    <col min="11254" max="11254" width="54.6640625" style="267" customWidth="1"/>
    <col min="11255" max="11255" width="13.77734375" style="267" customWidth="1"/>
    <col min="11256" max="11256" width="0" style="267" hidden="1" customWidth="1"/>
    <col min="11257" max="11257" width="6.6640625" style="267" customWidth="1"/>
    <col min="11258" max="11258" width="15" style="267" customWidth="1"/>
    <col min="11259" max="11259" width="3.6640625" style="267" bestFit="1" customWidth="1"/>
    <col min="11260" max="11260" width="15.44140625" style="267" bestFit="1" customWidth="1"/>
    <col min="11261" max="11261" width="3.77734375" style="267" customWidth="1"/>
    <col min="11262" max="11262" width="11.21875" style="267" bestFit="1" customWidth="1"/>
    <col min="11263" max="11263" width="3.6640625" style="267" customWidth="1"/>
    <col min="11264" max="11264" width="13.5546875" style="267" customWidth="1"/>
    <col min="11265" max="11265" width="1" style="267" customWidth="1"/>
    <col min="11266" max="11266" width="14.21875" style="267" bestFit="1" customWidth="1"/>
    <col min="11267" max="11267" width="3.33203125" style="267" customWidth="1"/>
    <col min="11268" max="11268" width="20.44140625" style="267" customWidth="1"/>
    <col min="11269" max="11509" width="8.77734375" style="267"/>
    <col min="11510" max="11510" width="54.6640625" style="267" customWidth="1"/>
    <col min="11511" max="11511" width="13.77734375" style="267" customWidth="1"/>
    <col min="11512" max="11512" width="0" style="267" hidden="1" customWidth="1"/>
    <col min="11513" max="11513" width="6.6640625" style="267" customWidth="1"/>
    <col min="11514" max="11514" width="15" style="267" customWidth="1"/>
    <col min="11515" max="11515" width="3.6640625" style="267" bestFit="1" customWidth="1"/>
    <col min="11516" max="11516" width="15.44140625" style="267" bestFit="1" customWidth="1"/>
    <col min="11517" max="11517" width="3.77734375" style="267" customWidth="1"/>
    <col min="11518" max="11518" width="11.21875" style="267" bestFit="1" customWidth="1"/>
    <col min="11519" max="11519" width="3.6640625" style="267" customWidth="1"/>
    <col min="11520" max="11520" width="13.5546875" style="267" customWidth="1"/>
    <col min="11521" max="11521" width="1" style="267" customWidth="1"/>
    <col min="11522" max="11522" width="14.21875" style="267" bestFit="1" customWidth="1"/>
    <col min="11523" max="11523" width="3.33203125" style="267" customWidth="1"/>
    <col min="11524" max="11524" width="20.44140625" style="267" customWidth="1"/>
    <col min="11525" max="11765" width="8.77734375" style="267"/>
    <col min="11766" max="11766" width="54.6640625" style="267" customWidth="1"/>
    <col min="11767" max="11767" width="13.77734375" style="267" customWidth="1"/>
    <col min="11768" max="11768" width="0" style="267" hidden="1" customWidth="1"/>
    <col min="11769" max="11769" width="6.6640625" style="267" customWidth="1"/>
    <col min="11770" max="11770" width="15" style="267" customWidth="1"/>
    <col min="11771" max="11771" width="3.6640625" style="267" bestFit="1" customWidth="1"/>
    <col min="11772" max="11772" width="15.44140625" style="267" bestFit="1" customWidth="1"/>
    <col min="11773" max="11773" width="3.77734375" style="267" customWidth="1"/>
    <col min="11774" max="11774" width="11.21875" style="267" bestFit="1" customWidth="1"/>
    <col min="11775" max="11775" width="3.6640625" style="267" customWidth="1"/>
    <col min="11776" max="11776" width="13.5546875" style="267" customWidth="1"/>
    <col min="11777" max="11777" width="1" style="267" customWidth="1"/>
    <col min="11778" max="11778" width="14.21875" style="267" bestFit="1" customWidth="1"/>
    <col min="11779" max="11779" width="3.33203125" style="267" customWidth="1"/>
    <col min="11780" max="11780" width="20.44140625" style="267" customWidth="1"/>
    <col min="11781" max="12021" width="8.77734375" style="267"/>
    <col min="12022" max="12022" width="54.6640625" style="267" customWidth="1"/>
    <col min="12023" max="12023" width="13.77734375" style="267" customWidth="1"/>
    <col min="12024" max="12024" width="0" style="267" hidden="1" customWidth="1"/>
    <col min="12025" max="12025" width="6.6640625" style="267" customWidth="1"/>
    <col min="12026" max="12026" width="15" style="267" customWidth="1"/>
    <col min="12027" max="12027" width="3.6640625" style="267" bestFit="1" customWidth="1"/>
    <col min="12028" max="12028" width="15.44140625" style="267" bestFit="1" customWidth="1"/>
    <col min="12029" max="12029" width="3.77734375" style="267" customWidth="1"/>
    <col min="12030" max="12030" width="11.21875" style="267" bestFit="1" customWidth="1"/>
    <col min="12031" max="12031" width="3.6640625" style="267" customWidth="1"/>
    <col min="12032" max="12032" width="13.5546875" style="267" customWidth="1"/>
    <col min="12033" max="12033" width="1" style="267" customWidth="1"/>
    <col min="12034" max="12034" width="14.21875" style="267" bestFit="1" customWidth="1"/>
    <col min="12035" max="12035" width="3.33203125" style="267" customWidth="1"/>
    <col min="12036" max="12036" width="20.44140625" style="267" customWidth="1"/>
    <col min="12037" max="12277" width="8.77734375" style="267"/>
    <col min="12278" max="12278" width="54.6640625" style="267" customWidth="1"/>
    <col min="12279" max="12279" width="13.77734375" style="267" customWidth="1"/>
    <col min="12280" max="12280" width="0" style="267" hidden="1" customWidth="1"/>
    <col min="12281" max="12281" width="6.6640625" style="267" customWidth="1"/>
    <col min="12282" max="12282" width="15" style="267" customWidth="1"/>
    <col min="12283" max="12283" width="3.6640625" style="267" bestFit="1" customWidth="1"/>
    <col min="12284" max="12284" width="15.44140625" style="267" bestFit="1" customWidth="1"/>
    <col min="12285" max="12285" width="3.77734375" style="267" customWidth="1"/>
    <col min="12286" max="12286" width="11.21875" style="267" bestFit="1" customWidth="1"/>
    <col min="12287" max="12287" width="3.6640625" style="267" customWidth="1"/>
    <col min="12288" max="12288" width="13.5546875" style="267" customWidth="1"/>
    <col min="12289" max="12289" width="1" style="267" customWidth="1"/>
    <col min="12290" max="12290" width="14.21875" style="267" bestFit="1" customWidth="1"/>
    <col min="12291" max="12291" width="3.33203125" style="267" customWidth="1"/>
    <col min="12292" max="12292" width="20.44140625" style="267" customWidth="1"/>
    <col min="12293" max="12533" width="8.77734375" style="267"/>
    <col min="12534" max="12534" width="54.6640625" style="267" customWidth="1"/>
    <col min="12535" max="12535" width="13.77734375" style="267" customWidth="1"/>
    <col min="12536" max="12536" width="0" style="267" hidden="1" customWidth="1"/>
    <col min="12537" max="12537" width="6.6640625" style="267" customWidth="1"/>
    <col min="12538" max="12538" width="15" style="267" customWidth="1"/>
    <col min="12539" max="12539" width="3.6640625" style="267" bestFit="1" customWidth="1"/>
    <col min="12540" max="12540" width="15.44140625" style="267" bestFit="1" customWidth="1"/>
    <col min="12541" max="12541" width="3.77734375" style="267" customWidth="1"/>
    <col min="12542" max="12542" width="11.21875" style="267" bestFit="1" customWidth="1"/>
    <col min="12543" max="12543" width="3.6640625" style="267" customWidth="1"/>
    <col min="12544" max="12544" width="13.5546875" style="267" customWidth="1"/>
    <col min="12545" max="12545" width="1" style="267" customWidth="1"/>
    <col min="12546" max="12546" width="14.21875" style="267" bestFit="1" customWidth="1"/>
    <col min="12547" max="12547" width="3.33203125" style="267" customWidth="1"/>
    <col min="12548" max="12548" width="20.44140625" style="267" customWidth="1"/>
    <col min="12549" max="12789" width="8.77734375" style="267"/>
    <col min="12790" max="12790" width="54.6640625" style="267" customWidth="1"/>
    <col min="12791" max="12791" width="13.77734375" style="267" customWidth="1"/>
    <col min="12792" max="12792" width="0" style="267" hidden="1" customWidth="1"/>
    <col min="12793" max="12793" width="6.6640625" style="267" customWidth="1"/>
    <col min="12794" max="12794" width="15" style="267" customWidth="1"/>
    <col min="12795" max="12795" width="3.6640625" style="267" bestFit="1" customWidth="1"/>
    <col min="12796" max="12796" width="15.44140625" style="267" bestFit="1" customWidth="1"/>
    <col min="12797" max="12797" width="3.77734375" style="267" customWidth="1"/>
    <col min="12798" max="12798" width="11.21875" style="267" bestFit="1" customWidth="1"/>
    <col min="12799" max="12799" width="3.6640625" style="267" customWidth="1"/>
    <col min="12800" max="12800" width="13.5546875" style="267" customWidth="1"/>
    <col min="12801" max="12801" width="1" style="267" customWidth="1"/>
    <col min="12802" max="12802" width="14.21875" style="267" bestFit="1" customWidth="1"/>
    <col min="12803" max="12803" width="3.33203125" style="267" customWidth="1"/>
    <col min="12804" max="12804" width="20.44140625" style="267" customWidth="1"/>
    <col min="12805" max="13045" width="8.77734375" style="267"/>
    <col min="13046" max="13046" width="54.6640625" style="267" customWidth="1"/>
    <col min="13047" max="13047" width="13.77734375" style="267" customWidth="1"/>
    <col min="13048" max="13048" width="0" style="267" hidden="1" customWidth="1"/>
    <col min="13049" max="13049" width="6.6640625" style="267" customWidth="1"/>
    <col min="13050" max="13050" width="15" style="267" customWidth="1"/>
    <col min="13051" max="13051" width="3.6640625" style="267" bestFit="1" customWidth="1"/>
    <col min="13052" max="13052" width="15.44140625" style="267" bestFit="1" customWidth="1"/>
    <col min="13053" max="13053" width="3.77734375" style="267" customWidth="1"/>
    <col min="13054" max="13054" width="11.21875" style="267" bestFit="1" customWidth="1"/>
    <col min="13055" max="13055" width="3.6640625" style="267" customWidth="1"/>
    <col min="13056" max="13056" width="13.5546875" style="267" customWidth="1"/>
    <col min="13057" max="13057" width="1" style="267" customWidth="1"/>
    <col min="13058" max="13058" width="14.21875" style="267" bestFit="1" customWidth="1"/>
    <col min="13059" max="13059" width="3.33203125" style="267" customWidth="1"/>
    <col min="13060" max="13060" width="20.44140625" style="267" customWidth="1"/>
    <col min="13061" max="13301" width="8.77734375" style="267"/>
    <col min="13302" max="13302" width="54.6640625" style="267" customWidth="1"/>
    <col min="13303" max="13303" width="13.77734375" style="267" customWidth="1"/>
    <col min="13304" max="13304" width="0" style="267" hidden="1" customWidth="1"/>
    <col min="13305" max="13305" width="6.6640625" style="267" customWidth="1"/>
    <col min="13306" max="13306" width="15" style="267" customWidth="1"/>
    <col min="13307" max="13307" width="3.6640625" style="267" bestFit="1" customWidth="1"/>
    <col min="13308" max="13308" width="15.44140625" style="267" bestFit="1" customWidth="1"/>
    <col min="13309" max="13309" width="3.77734375" style="267" customWidth="1"/>
    <col min="13310" max="13310" width="11.21875" style="267" bestFit="1" customWidth="1"/>
    <col min="13311" max="13311" width="3.6640625" style="267" customWidth="1"/>
    <col min="13312" max="13312" width="13.5546875" style="267" customWidth="1"/>
    <col min="13313" max="13313" width="1" style="267" customWidth="1"/>
    <col min="13314" max="13314" width="14.21875" style="267" bestFit="1" customWidth="1"/>
    <col min="13315" max="13315" width="3.33203125" style="267" customWidth="1"/>
    <col min="13316" max="13316" width="20.44140625" style="267" customWidth="1"/>
    <col min="13317" max="13557" width="8.77734375" style="267"/>
    <col min="13558" max="13558" width="54.6640625" style="267" customWidth="1"/>
    <col min="13559" max="13559" width="13.77734375" style="267" customWidth="1"/>
    <col min="13560" max="13560" width="0" style="267" hidden="1" customWidth="1"/>
    <col min="13561" max="13561" width="6.6640625" style="267" customWidth="1"/>
    <col min="13562" max="13562" width="15" style="267" customWidth="1"/>
    <col min="13563" max="13563" width="3.6640625" style="267" bestFit="1" customWidth="1"/>
    <col min="13564" max="13564" width="15.44140625" style="267" bestFit="1" customWidth="1"/>
    <col min="13565" max="13565" width="3.77734375" style="267" customWidth="1"/>
    <col min="13566" max="13566" width="11.21875" style="267" bestFit="1" customWidth="1"/>
    <col min="13567" max="13567" width="3.6640625" style="267" customWidth="1"/>
    <col min="13568" max="13568" width="13.5546875" style="267" customWidth="1"/>
    <col min="13569" max="13569" width="1" style="267" customWidth="1"/>
    <col min="13570" max="13570" width="14.21875" style="267" bestFit="1" customWidth="1"/>
    <col min="13571" max="13571" width="3.33203125" style="267" customWidth="1"/>
    <col min="13572" max="13572" width="20.44140625" style="267" customWidth="1"/>
    <col min="13573" max="13813" width="8.77734375" style="267"/>
    <col min="13814" max="13814" width="54.6640625" style="267" customWidth="1"/>
    <col min="13815" max="13815" width="13.77734375" style="267" customWidth="1"/>
    <col min="13816" max="13816" width="0" style="267" hidden="1" customWidth="1"/>
    <col min="13817" max="13817" width="6.6640625" style="267" customWidth="1"/>
    <col min="13818" max="13818" width="15" style="267" customWidth="1"/>
    <col min="13819" max="13819" width="3.6640625" style="267" bestFit="1" customWidth="1"/>
    <col min="13820" max="13820" width="15.44140625" style="267" bestFit="1" customWidth="1"/>
    <col min="13821" max="13821" width="3.77734375" style="267" customWidth="1"/>
    <col min="13822" max="13822" width="11.21875" style="267" bestFit="1" customWidth="1"/>
    <col min="13823" max="13823" width="3.6640625" style="267" customWidth="1"/>
    <col min="13824" max="13824" width="13.5546875" style="267" customWidth="1"/>
    <col min="13825" max="13825" width="1" style="267" customWidth="1"/>
    <col min="13826" max="13826" width="14.21875" style="267" bestFit="1" customWidth="1"/>
    <col min="13827" max="13827" width="3.33203125" style="267" customWidth="1"/>
    <col min="13828" max="13828" width="20.44140625" style="267" customWidth="1"/>
    <col min="13829" max="14069" width="8.77734375" style="267"/>
    <col min="14070" max="14070" width="54.6640625" style="267" customWidth="1"/>
    <col min="14071" max="14071" width="13.77734375" style="267" customWidth="1"/>
    <col min="14072" max="14072" width="0" style="267" hidden="1" customWidth="1"/>
    <col min="14073" max="14073" width="6.6640625" style="267" customWidth="1"/>
    <col min="14074" max="14074" width="15" style="267" customWidth="1"/>
    <col min="14075" max="14075" width="3.6640625" style="267" bestFit="1" customWidth="1"/>
    <col min="14076" max="14076" width="15.44140625" style="267" bestFit="1" customWidth="1"/>
    <col min="14077" max="14077" width="3.77734375" style="267" customWidth="1"/>
    <col min="14078" max="14078" width="11.21875" style="267" bestFit="1" customWidth="1"/>
    <col min="14079" max="14079" width="3.6640625" style="267" customWidth="1"/>
    <col min="14080" max="14080" width="13.5546875" style="267" customWidth="1"/>
    <col min="14081" max="14081" width="1" style="267" customWidth="1"/>
    <col min="14082" max="14082" width="14.21875" style="267" bestFit="1" customWidth="1"/>
    <col min="14083" max="14083" width="3.33203125" style="267" customWidth="1"/>
    <col min="14084" max="14084" width="20.44140625" style="267" customWidth="1"/>
    <col min="14085" max="14325" width="8.77734375" style="267"/>
    <col min="14326" max="14326" width="54.6640625" style="267" customWidth="1"/>
    <col min="14327" max="14327" width="13.77734375" style="267" customWidth="1"/>
    <col min="14328" max="14328" width="0" style="267" hidden="1" customWidth="1"/>
    <col min="14329" max="14329" width="6.6640625" style="267" customWidth="1"/>
    <col min="14330" max="14330" width="15" style="267" customWidth="1"/>
    <col min="14331" max="14331" width="3.6640625" style="267" bestFit="1" customWidth="1"/>
    <col min="14332" max="14332" width="15.44140625" style="267" bestFit="1" customWidth="1"/>
    <col min="14333" max="14333" width="3.77734375" style="267" customWidth="1"/>
    <col min="14334" max="14334" width="11.21875" style="267" bestFit="1" customWidth="1"/>
    <col min="14335" max="14335" width="3.6640625" style="267" customWidth="1"/>
    <col min="14336" max="14336" width="13.5546875" style="267" customWidth="1"/>
    <col min="14337" max="14337" width="1" style="267" customWidth="1"/>
    <col min="14338" max="14338" width="14.21875" style="267" bestFit="1" customWidth="1"/>
    <col min="14339" max="14339" width="3.33203125" style="267" customWidth="1"/>
    <col min="14340" max="14340" width="20.44140625" style="267" customWidth="1"/>
    <col min="14341" max="14581" width="8.77734375" style="267"/>
    <col min="14582" max="14582" width="54.6640625" style="267" customWidth="1"/>
    <col min="14583" max="14583" width="13.77734375" style="267" customWidth="1"/>
    <col min="14584" max="14584" width="0" style="267" hidden="1" customWidth="1"/>
    <col min="14585" max="14585" width="6.6640625" style="267" customWidth="1"/>
    <col min="14586" max="14586" width="15" style="267" customWidth="1"/>
    <col min="14587" max="14587" width="3.6640625" style="267" bestFit="1" customWidth="1"/>
    <col min="14588" max="14588" width="15.44140625" style="267" bestFit="1" customWidth="1"/>
    <col min="14589" max="14589" width="3.77734375" style="267" customWidth="1"/>
    <col min="14590" max="14590" width="11.21875" style="267" bestFit="1" customWidth="1"/>
    <col min="14591" max="14591" width="3.6640625" style="267" customWidth="1"/>
    <col min="14592" max="14592" width="13.5546875" style="267" customWidth="1"/>
    <col min="14593" max="14593" width="1" style="267" customWidth="1"/>
    <col min="14594" max="14594" width="14.21875" style="267" bestFit="1" customWidth="1"/>
    <col min="14595" max="14595" width="3.33203125" style="267" customWidth="1"/>
    <col min="14596" max="14596" width="20.44140625" style="267" customWidth="1"/>
    <col min="14597" max="14837" width="8.77734375" style="267"/>
    <col min="14838" max="14838" width="54.6640625" style="267" customWidth="1"/>
    <col min="14839" max="14839" width="13.77734375" style="267" customWidth="1"/>
    <col min="14840" max="14840" width="0" style="267" hidden="1" customWidth="1"/>
    <col min="14841" max="14841" width="6.6640625" style="267" customWidth="1"/>
    <col min="14842" max="14842" width="15" style="267" customWidth="1"/>
    <col min="14843" max="14843" width="3.6640625" style="267" bestFit="1" customWidth="1"/>
    <col min="14844" max="14844" width="15.44140625" style="267" bestFit="1" customWidth="1"/>
    <col min="14845" max="14845" width="3.77734375" style="267" customWidth="1"/>
    <col min="14846" max="14846" width="11.21875" style="267" bestFit="1" customWidth="1"/>
    <col min="14847" max="14847" width="3.6640625" style="267" customWidth="1"/>
    <col min="14848" max="14848" width="13.5546875" style="267" customWidth="1"/>
    <col min="14849" max="14849" width="1" style="267" customWidth="1"/>
    <col min="14850" max="14850" width="14.21875" style="267" bestFit="1" customWidth="1"/>
    <col min="14851" max="14851" width="3.33203125" style="267" customWidth="1"/>
    <col min="14852" max="14852" width="20.44140625" style="267" customWidth="1"/>
    <col min="14853" max="15093" width="8.77734375" style="267"/>
    <col min="15094" max="15094" width="54.6640625" style="267" customWidth="1"/>
    <col min="15095" max="15095" width="13.77734375" style="267" customWidth="1"/>
    <col min="15096" max="15096" width="0" style="267" hidden="1" customWidth="1"/>
    <col min="15097" max="15097" width="6.6640625" style="267" customWidth="1"/>
    <col min="15098" max="15098" width="15" style="267" customWidth="1"/>
    <col min="15099" max="15099" width="3.6640625" style="267" bestFit="1" customWidth="1"/>
    <col min="15100" max="15100" width="15.44140625" style="267" bestFit="1" customWidth="1"/>
    <col min="15101" max="15101" width="3.77734375" style="267" customWidth="1"/>
    <col min="15102" max="15102" width="11.21875" style="267" bestFit="1" customWidth="1"/>
    <col min="15103" max="15103" width="3.6640625" style="267" customWidth="1"/>
    <col min="15104" max="15104" width="13.5546875" style="267" customWidth="1"/>
    <col min="15105" max="15105" width="1" style="267" customWidth="1"/>
    <col min="15106" max="15106" width="14.21875" style="267" bestFit="1" customWidth="1"/>
    <col min="15107" max="15107" width="3.33203125" style="267" customWidth="1"/>
    <col min="15108" max="15108" width="20.44140625" style="267" customWidth="1"/>
    <col min="15109" max="15349" width="8.77734375" style="267"/>
    <col min="15350" max="15350" width="54.6640625" style="267" customWidth="1"/>
    <col min="15351" max="15351" width="13.77734375" style="267" customWidth="1"/>
    <col min="15352" max="15352" width="0" style="267" hidden="1" customWidth="1"/>
    <col min="15353" max="15353" width="6.6640625" style="267" customWidth="1"/>
    <col min="15354" max="15354" width="15" style="267" customWidth="1"/>
    <col min="15355" max="15355" width="3.6640625" style="267" bestFit="1" customWidth="1"/>
    <col min="15356" max="15356" width="15.44140625" style="267" bestFit="1" customWidth="1"/>
    <col min="15357" max="15357" width="3.77734375" style="267" customWidth="1"/>
    <col min="15358" max="15358" width="11.21875" style="267" bestFit="1" customWidth="1"/>
    <col min="15359" max="15359" width="3.6640625" style="267" customWidth="1"/>
    <col min="15360" max="15360" width="13.5546875" style="267" customWidth="1"/>
    <col min="15361" max="15361" width="1" style="267" customWidth="1"/>
    <col min="15362" max="15362" width="14.21875" style="267" bestFit="1" customWidth="1"/>
    <col min="15363" max="15363" width="3.33203125" style="267" customWidth="1"/>
    <col min="15364" max="15364" width="20.44140625" style="267" customWidth="1"/>
    <col min="15365" max="15605" width="8.77734375" style="267"/>
    <col min="15606" max="15606" width="54.6640625" style="267" customWidth="1"/>
    <col min="15607" max="15607" width="13.77734375" style="267" customWidth="1"/>
    <col min="15608" max="15608" width="0" style="267" hidden="1" customWidth="1"/>
    <col min="15609" max="15609" width="6.6640625" style="267" customWidth="1"/>
    <col min="15610" max="15610" width="15" style="267" customWidth="1"/>
    <col min="15611" max="15611" width="3.6640625" style="267" bestFit="1" customWidth="1"/>
    <col min="15612" max="15612" width="15.44140625" style="267" bestFit="1" customWidth="1"/>
    <col min="15613" max="15613" width="3.77734375" style="267" customWidth="1"/>
    <col min="15614" max="15614" width="11.21875" style="267" bestFit="1" customWidth="1"/>
    <col min="15615" max="15615" width="3.6640625" style="267" customWidth="1"/>
    <col min="15616" max="15616" width="13.5546875" style="267" customWidth="1"/>
    <col min="15617" max="15617" width="1" style="267" customWidth="1"/>
    <col min="15618" max="15618" width="14.21875" style="267" bestFit="1" customWidth="1"/>
    <col min="15619" max="15619" width="3.33203125" style="267" customWidth="1"/>
    <col min="15620" max="15620" width="20.44140625" style="267" customWidth="1"/>
    <col min="15621" max="15861" width="8.77734375" style="267"/>
    <col min="15862" max="15862" width="54.6640625" style="267" customWidth="1"/>
    <col min="15863" max="15863" width="13.77734375" style="267" customWidth="1"/>
    <col min="15864" max="15864" width="0" style="267" hidden="1" customWidth="1"/>
    <col min="15865" max="15865" width="6.6640625" style="267" customWidth="1"/>
    <col min="15866" max="15866" width="15" style="267" customWidth="1"/>
    <col min="15867" max="15867" width="3.6640625" style="267" bestFit="1" customWidth="1"/>
    <col min="15868" max="15868" width="15.44140625" style="267" bestFit="1" customWidth="1"/>
    <col min="15869" max="15869" width="3.77734375" style="267" customWidth="1"/>
    <col min="15870" max="15870" width="11.21875" style="267" bestFit="1" customWidth="1"/>
    <col min="15871" max="15871" width="3.6640625" style="267" customWidth="1"/>
    <col min="15872" max="15872" width="13.5546875" style="267" customWidth="1"/>
    <col min="15873" max="15873" width="1" style="267" customWidth="1"/>
    <col min="15874" max="15874" width="14.21875" style="267" bestFit="1" customWidth="1"/>
    <col min="15875" max="15875" width="3.33203125" style="267" customWidth="1"/>
    <col min="15876" max="15876" width="20.44140625" style="267" customWidth="1"/>
    <col min="15877" max="16117" width="8.77734375" style="267"/>
    <col min="16118" max="16118" width="54.6640625" style="267" customWidth="1"/>
    <col min="16119" max="16119" width="13.77734375" style="267" customWidth="1"/>
    <col min="16120" max="16120" width="0" style="267" hidden="1" customWidth="1"/>
    <col min="16121" max="16121" width="6.6640625" style="267" customWidth="1"/>
    <col min="16122" max="16122" width="15" style="267" customWidth="1"/>
    <col min="16123" max="16123" width="3.6640625" style="267" bestFit="1" customWidth="1"/>
    <col min="16124" max="16124" width="15.44140625" style="267" bestFit="1" customWidth="1"/>
    <col min="16125" max="16125" width="3.77734375" style="267" customWidth="1"/>
    <col min="16126" max="16126" width="11.21875" style="267" bestFit="1" customWidth="1"/>
    <col min="16127" max="16127" width="3.6640625" style="267" customWidth="1"/>
    <col min="16128" max="16128" width="13.5546875" style="267" customWidth="1"/>
    <col min="16129" max="16129" width="1" style="267" customWidth="1"/>
    <col min="16130" max="16130" width="14.21875" style="267" bestFit="1" customWidth="1"/>
    <col min="16131" max="16131" width="3.33203125" style="267" customWidth="1"/>
    <col min="16132" max="16132" width="20.44140625" style="267" customWidth="1"/>
    <col min="16133" max="16371" width="8.77734375" style="267"/>
    <col min="16372" max="16384" width="8.77734375" style="267" customWidth="1"/>
  </cols>
  <sheetData>
    <row r="1" spans="1:6" s="503" customFormat="1" ht="20.25">
      <c r="A1" s="575" t="str">
        <f>'P1 ADIT 190 &amp; 282'!A1</f>
        <v>Duke Energy Ohio and Duke Energy Kentucky</v>
      </c>
      <c r="B1" s="575"/>
      <c r="C1" s="575"/>
      <c r="D1" s="575"/>
    </row>
    <row r="2" spans="1:6" s="503" customFormat="1" ht="15">
      <c r="A2" s="1048"/>
      <c r="B2" s="1048"/>
      <c r="C2" s="1048"/>
      <c r="D2" s="1048"/>
    </row>
    <row r="3" spans="1:6" s="503" customFormat="1" ht="15">
      <c r="A3" s="734"/>
      <c r="B3" s="734"/>
      <c r="C3" s="734"/>
      <c r="D3" s="554" t="s">
        <v>542</v>
      </c>
    </row>
    <row r="4" spans="1:6" s="503" customFormat="1" ht="15">
      <c r="A4" s="734"/>
      <c r="B4" s="734"/>
      <c r="C4" s="734"/>
      <c r="D4" s="751" t="str">
        <f>"Page 9 of "&amp;Workpaper</f>
        <v>Page 9 of 11</v>
      </c>
    </row>
    <row r="5" spans="1:6">
      <c r="D5" s="554" t="str">
        <f>'DE Ohio &amp; Kentucky'!$J$7</f>
        <v>For the 12 months ended: 12/31/2016</v>
      </c>
    </row>
    <row r="6" spans="1:6" s="876" customFormat="1">
      <c r="D6" s="554"/>
    </row>
    <row r="7" spans="1:6">
      <c r="A7" s="540" t="s">
        <v>9</v>
      </c>
      <c r="B7" s="540"/>
      <c r="C7" s="540"/>
      <c r="D7" s="540"/>
    </row>
    <row r="8" spans="1:6">
      <c r="A8" s="540" t="s">
        <v>10</v>
      </c>
      <c r="B8" s="540"/>
      <c r="C8" s="540"/>
      <c r="D8" s="540"/>
    </row>
    <row r="9" spans="1:6">
      <c r="A9" s="541" t="s">
        <v>816</v>
      </c>
      <c r="B9" s="541"/>
      <c r="C9" s="541"/>
      <c r="D9" s="541"/>
    </row>
    <row r="10" spans="1:6">
      <c r="A10" s="542" t="s">
        <v>313</v>
      </c>
      <c r="B10" s="542"/>
      <c r="C10" s="542"/>
      <c r="D10" s="542"/>
    </row>
    <row r="11" spans="1:6">
      <c r="A11" s="268"/>
      <c r="B11" s="268"/>
      <c r="C11" s="268"/>
      <c r="D11" s="268"/>
    </row>
    <row r="12" spans="1:6" ht="15">
      <c r="A12" s="876"/>
      <c r="B12" s="956" t="s">
        <v>800</v>
      </c>
      <c r="C12" s="955"/>
      <c r="D12" s="953"/>
      <c r="E12" s="954"/>
      <c r="F12" s="953"/>
    </row>
    <row r="13" spans="1:6" ht="15">
      <c r="A13" s="876"/>
      <c r="B13" s="956" t="s">
        <v>801</v>
      </c>
      <c r="C13" s="955"/>
      <c r="D13" s="1011"/>
      <c r="E13" s="955"/>
      <c r="F13" s="955"/>
    </row>
    <row r="14" spans="1:6" ht="15">
      <c r="A14" s="876"/>
      <c r="B14" s="957" t="s">
        <v>817</v>
      </c>
      <c r="C14" s="955"/>
      <c r="D14" s="955"/>
      <c r="E14" s="955"/>
    </row>
    <row r="15" spans="1:6">
      <c r="A15" s="876"/>
      <c r="B15" s="876"/>
      <c r="C15" s="877"/>
      <c r="D15" s="877"/>
      <c r="E15" s="877"/>
    </row>
    <row r="16" spans="1:6" s="269" customFormat="1" ht="21" customHeight="1">
      <c r="A16" s="1010"/>
      <c r="B16" s="558"/>
      <c r="C16" s="559"/>
      <c r="D16" s="559"/>
      <c r="E16" s="1012"/>
    </row>
    <row r="17" spans="1:5" ht="15">
      <c r="A17" s="123" t="s">
        <v>870</v>
      </c>
      <c r="B17" s="556">
        <v>3007218364</v>
      </c>
      <c r="C17" s="1013"/>
      <c r="D17" s="557"/>
      <c r="E17" s="877"/>
    </row>
    <row r="18" spans="1:5" ht="15">
      <c r="A18" s="950"/>
      <c r="B18" s="556"/>
      <c r="C18" s="555"/>
      <c r="D18" s="556"/>
      <c r="E18" s="876"/>
    </row>
    <row r="19" spans="1:5" ht="15.75">
      <c r="A19" s="659" t="s">
        <v>871</v>
      </c>
      <c r="B19" s="561">
        <v>746918647</v>
      </c>
      <c r="C19" s="560"/>
      <c r="D19" s="561"/>
      <c r="E19" s="876"/>
    </row>
    <row r="20" spans="1:5" s="876" customFormat="1" ht="15">
      <c r="A20" s="659"/>
      <c r="B20" s="561"/>
      <c r="C20" s="560"/>
      <c r="D20" s="561"/>
    </row>
    <row r="21" spans="1:5" ht="15.75" thickBot="1">
      <c r="A21" s="951" t="s">
        <v>315</v>
      </c>
      <c r="B21" s="960">
        <f>B17-B19</f>
        <v>2260299717</v>
      </c>
      <c r="C21" s="562"/>
      <c r="D21" s="959"/>
      <c r="E21" s="877"/>
    </row>
    <row r="22" spans="1:5" ht="15.75" thickTop="1">
      <c r="A22" s="952"/>
      <c r="B22" s="563"/>
      <c r="C22" s="564"/>
      <c r="D22" s="959"/>
      <c r="E22" s="877"/>
    </row>
    <row r="23" spans="1:5" s="877" customFormat="1" ht="15">
      <c r="A23" s="958"/>
      <c r="B23" s="565"/>
      <c r="C23" s="565"/>
      <c r="D23" s="565"/>
      <c r="E23" s="949"/>
    </row>
    <row r="24" spans="1:5">
      <c r="A24" s="267" t="s">
        <v>12</v>
      </c>
      <c r="B24" s="876"/>
    </row>
    <row r="25" spans="1:5">
      <c r="B25" s="876"/>
    </row>
    <row r="26" spans="1:5">
      <c r="B26" s="876"/>
    </row>
    <row r="27" spans="1:5">
      <c r="B27" s="876"/>
    </row>
    <row r="28" spans="1:5">
      <c r="B28" s="876"/>
    </row>
    <row r="29" spans="1:5">
      <c r="B29" s="876"/>
    </row>
  </sheetData>
  <mergeCells count="1">
    <mergeCell ref="A2:D2"/>
  </mergeCells>
  <phoneticPr fontId="37" type="noConversion"/>
  <pageMargins left="0.5" right="0.5" top="1" bottom="1" header="0.5" footer="0.5"/>
  <pageSetup scale="92"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1"/>
    <pageSetUpPr fitToPage="1"/>
  </sheetPr>
  <dimension ref="A1:Q24"/>
  <sheetViews>
    <sheetView zoomScaleNormal="100" zoomScaleSheetLayoutView="85" workbookViewId="0">
      <selection sqref="A1:O22"/>
    </sheetView>
  </sheetViews>
  <sheetFormatPr defaultColWidth="7.109375" defaultRowHeight="12.75"/>
  <cols>
    <col min="1" max="1" width="37.109375" style="86" customWidth="1"/>
    <col min="2" max="13" width="8.5546875" style="86" bestFit="1" customWidth="1"/>
    <col min="14" max="14" width="9.21875" style="86" bestFit="1" customWidth="1"/>
    <col min="15" max="15" width="8.44140625" style="86" bestFit="1" customWidth="1"/>
    <col min="16" max="16384" width="7.109375" style="86"/>
  </cols>
  <sheetData>
    <row r="1" spans="1:17" ht="15.75">
      <c r="A1" s="516" t="str">
        <f>'P1 ADIT 190 &amp; 282'!A1</f>
        <v>Duke Energy Ohio and Duke Energy Kentucky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ht="15.7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Q2" s="473"/>
    </row>
    <row r="3" spans="1:17" ht="15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251" t="s">
        <v>542</v>
      </c>
      <c r="Q3" s="473"/>
    </row>
    <row r="4" spans="1:17" ht="15.7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736" t="str">
        <f>"Page 10 of "&amp;Workpaper</f>
        <v>Page 10 of 11</v>
      </c>
      <c r="Q4" s="473"/>
    </row>
    <row r="5" spans="1:17" ht="15.7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251" t="str">
        <f>'DE Ohio &amp; Kentucky'!$J$125</f>
        <v>For the 12 months ended: 12/31/2016</v>
      </c>
    </row>
    <row r="7" spans="1:17">
      <c r="A7" s="97" t="str">
        <f>CONCATENATE(TEXT(RIGHT('DE Ohio &amp; Kentucky'!J7,10),"YYYY")," MONTHLY PEAKS IN KILOWATTS")</f>
        <v>2016 MONTHLY PEAKS IN KILOWATTS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7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7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1" spans="1:17" ht="15">
      <c r="B11" s="88" t="s">
        <v>188</v>
      </c>
      <c r="C11" s="88" t="s">
        <v>189</v>
      </c>
      <c r="D11" s="88" t="s">
        <v>190</v>
      </c>
      <c r="E11" s="88" t="s">
        <v>191</v>
      </c>
      <c r="F11" s="88" t="s">
        <v>322</v>
      </c>
      <c r="G11" s="88" t="s">
        <v>192</v>
      </c>
      <c r="H11" s="88" t="s">
        <v>323</v>
      </c>
      <c r="I11" s="88" t="s">
        <v>193</v>
      </c>
      <c r="J11" s="88" t="s">
        <v>324</v>
      </c>
      <c r="K11" s="88" t="s">
        <v>325</v>
      </c>
      <c r="L11" s="88" t="s">
        <v>326</v>
      </c>
      <c r="M11" s="88" t="s">
        <v>194</v>
      </c>
      <c r="N11" s="88" t="s">
        <v>17</v>
      </c>
      <c r="O11" s="88" t="s">
        <v>195</v>
      </c>
    </row>
    <row r="12" spans="1:17" ht="15"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7">
      <c r="A13" s="667" t="s">
        <v>470</v>
      </c>
      <c r="B13" s="1036">
        <v>4385000</v>
      </c>
      <c r="C13" s="1036">
        <v>4187000</v>
      </c>
      <c r="D13" s="1036">
        <v>3605000</v>
      </c>
      <c r="E13" s="1036">
        <v>3562000</v>
      </c>
      <c r="F13" s="1036">
        <v>4454000</v>
      </c>
      <c r="G13" s="1036">
        <v>4906000</v>
      </c>
      <c r="H13" s="1036">
        <v>5308000</v>
      </c>
      <c r="I13" s="1036">
        <v>5184000</v>
      </c>
      <c r="J13" s="1036">
        <v>5084000</v>
      </c>
      <c r="K13" s="1036">
        <v>3907000</v>
      </c>
      <c r="L13" s="1036">
        <v>3474000</v>
      </c>
      <c r="M13" s="1036">
        <v>4392000</v>
      </c>
      <c r="N13" s="89">
        <f>SUM(B13:M13)</f>
        <v>52448000</v>
      </c>
      <c r="O13" s="89">
        <f>ROUND(N13/12,0)</f>
        <v>4370667</v>
      </c>
    </row>
    <row r="14" spans="1:17">
      <c r="B14" s="1037"/>
      <c r="C14" s="1037"/>
      <c r="D14" s="1037"/>
      <c r="E14" s="1037"/>
      <c r="F14" s="1037"/>
      <c r="G14" s="1037"/>
      <c r="H14" s="1037"/>
      <c r="I14" s="1037"/>
      <c r="J14" s="1037"/>
      <c r="K14" s="1037"/>
      <c r="L14" s="1037"/>
      <c r="M14" s="1037"/>
      <c r="N14" s="89"/>
      <c r="O14" s="89"/>
    </row>
    <row r="15" spans="1:17">
      <c r="A15" s="286" t="s">
        <v>489</v>
      </c>
      <c r="B15" s="1037"/>
      <c r="C15" s="1037"/>
      <c r="D15" s="1037"/>
      <c r="E15" s="1037"/>
      <c r="F15" s="1037"/>
      <c r="G15" s="1037"/>
      <c r="H15" s="1037"/>
      <c r="I15" s="1037"/>
      <c r="J15" s="1037"/>
      <c r="K15" s="1037"/>
      <c r="L15" s="1037"/>
      <c r="M15" s="1037"/>
      <c r="N15" s="89"/>
      <c r="O15" s="89"/>
    </row>
    <row r="16" spans="1:17">
      <c r="A16" s="208" t="s">
        <v>549</v>
      </c>
      <c r="B16" s="1038">
        <v>712000</v>
      </c>
      <c r="C16" s="1038">
        <v>679000</v>
      </c>
      <c r="D16" s="1038">
        <v>621000</v>
      </c>
      <c r="E16" s="1038">
        <v>599000</v>
      </c>
      <c r="F16" s="1038">
        <v>717000</v>
      </c>
      <c r="G16" s="1038">
        <v>787000</v>
      </c>
      <c r="H16" s="1038">
        <v>847000</v>
      </c>
      <c r="I16" s="1038">
        <v>844000</v>
      </c>
      <c r="J16" s="1038">
        <v>816000</v>
      </c>
      <c r="K16" s="1038">
        <v>637000</v>
      </c>
      <c r="L16" s="1038">
        <v>557000</v>
      </c>
      <c r="M16" s="1038">
        <v>705000</v>
      </c>
      <c r="N16" s="89">
        <f>SUM(B16:M16)</f>
        <v>8521000</v>
      </c>
      <c r="O16" s="89">
        <f>ROUND(N16/12,0)</f>
        <v>710083</v>
      </c>
    </row>
    <row r="17" spans="1:17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7" ht="42" customHeight="1">
      <c r="A18" s="668" t="s">
        <v>471</v>
      </c>
      <c r="B18" s="90">
        <f>B13-B16</f>
        <v>3673000</v>
      </c>
      <c r="C18" s="90">
        <f t="shared" ref="C18:O18" si="0">C13-C16</f>
        <v>3508000</v>
      </c>
      <c r="D18" s="90">
        <f t="shared" si="0"/>
        <v>2984000</v>
      </c>
      <c r="E18" s="90">
        <f t="shared" si="0"/>
        <v>2963000</v>
      </c>
      <c r="F18" s="90">
        <f t="shared" si="0"/>
        <v>3737000</v>
      </c>
      <c r="G18" s="90">
        <f t="shared" si="0"/>
        <v>4119000</v>
      </c>
      <c r="H18" s="90">
        <f t="shared" si="0"/>
        <v>4461000</v>
      </c>
      <c r="I18" s="90">
        <f t="shared" si="0"/>
        <v>4340000</v>
      </c>
      <c r="J18" s="90">
        <f t="shared" si="0"/>
        <v>4268000</v>
      </c>
      <c r="K18" s="90">
        <f t="shared" si="0"/>
        <v>3270000</v>
      </c>
      <c r="L18" s="90">
        <f t="shared" si="0"/>
        <v>2917000</v>
      </c>
      <c r="M18" s="90">
        <f t="shared" si="0"/>
        <v>3687000</v>
      </c>
      <c r="N18" s="90">
        <f t="shared" si="0"/>
        <v>43927000</v>
      </c>
      <c r="O18" s="90">
        <f t="shared" si="0"/>
        <v>3660584</v>
      </c>
      <c r="Q18" s="286"/>
    </row>
    <row r="20" spans="1:17" ht="15">
      <c r="A20" s="543" t="s">
        <v>196</v>
      </c>
      <c r="B20" s="679"/>
      <c r="C20" s="680"/>
      <c r="D20" s="680"/>
      <c r="E20" s="680"/>
      <c r="F20" s="680"/>
      <c r="G20" s="680"/>
      <c r="H20" s="680"/>
      <c r="I20" s="680"/>
      <c r="J20" s="681"/>
      <c r="K20" s="681"/>
      <c r="L20" s="88"/>
      <c r="M20" s="88"/>
      <c r="N20" s="88"/>
      <c r="O20" s="88"/>
    </row>
    <row r="21" spans="1:17">
      <c r="A21" s="870" t="s">
        <v>696</v>
      </c>
      <c r="B21" s="543"/>
      <c r="C21" s="543"/>
      <c r="D21" s="543"/>
      <c r="E21" s="543"/>
      <c r="F21" s="543"/>
      <c r="G21" s="543"/>
      <c r="H21" s="543"/>
      <c r="I21" s="543"/>
      <c r="J21" s="543"/>
      <c r="K21" s="543"/>
    </row>
    <row r="22" spans="1:17">
      <c r="A22" s="869" t="s">
        <v>628</v>
      </c>
    </row>
    <row r="23" spans="1:17" ht="15">
      <c r="A23" s="65"/>
    </row>
    <row r="24" spans="1:17">
      <c r="A24" s="544"/>
      <c r="B24" s="543"/>
      <c r="C24" s="543"/>
      <c r="D24" s="543"/>
      <c r="E24" s="543"/>
      <c r="F24" s="543"/>
      <c r="G24" s="543"/>
      <c r="H24" s="543"/>
      <c r="I24" s="543"/>
      <c r="J24" s="543"/>
      <c r="K24" s="543"/>
      <c r="L24" s="543"/>
      <c r="M24" s="543"/>
    </row>
  </sheetData>
  <phoneticPr fontId="29" type="noConversion"/>
  <pageMargins left="0.75" right="0.5" top="1" bottom="0.5" header="0.25" footer="0.25"/>
  <pageSetup scale="66" fitToHeight="2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1"/>
    <pageSetUpPr fitToPage="1"/>
  </sheetPr>
  <dimension ref="A1:E42"/>
  <sheetViews>
    <sheetView zoomScale="70" zoomScaleNormal="70" workbookViewId="0">
      <selection sqref="A1:E45"/>
    </sheetView>
  </sheetViews>
  <sheetFormatPr defaultColWidth="8.77734375" defaultRowHeight="15"/>
  <cols>
    <col min="1" max="1" width="46.21875" style="933" bestFit="1" customWidth="1"/>
    <col min="2" max="2" width="5.77734375" style="933" customWidth="1"/>
    <col min="3" max="3" width="15.5546875" style="933" bestFit="1" customWidth="1"/>
    <col min="4" max="4" width="19.21875" style="933" bestFit="1" customWidth="1"/>
    <col min="5" max="5" width="19.21875" style="933" customWidth="1"/>
    <col min="6" max="6" width="3" style="933" customWidth="1"/>
    <col min="7" max="16384" width="8.77734375" style="933"/>
  </cols>
  <sheetData>
    <row r="1" spans="1:5" ht="18">
      <c r="A1" s="737" t="str">
        <f>'P1 ADIT 190 &amp; 282'!A1</f>
        <v>Duke Energy Ohio and Duke Energy Kentucky</v>
      </c>
      <c r="B1" s="743"/>
      <c r="C1" s="743"/>
      <c r="D1" s="743"/>
      <c r="E1" s="743"/>
    </row>
    <row r="2" spans="1:5" ht="18">
      <c r="A2" s="737"/>
      <c r="B2" s="743"/>
      <c r="C2" s="743"/>
      <c r="D2" s="743"/>
      <c r="E2" s="743"/>
    </row>
    <row r="3" spans="1:5" ht="15.75">
      <c r="A3" s="746"/>
      <c r="B3" s="743"/>
      <c r="C3" s="743"/>
      <c r="D3" s="742"/>
      <c r="E3" s="744" t="s">
        <v>542</v>
      </c>
    </row>
    <row r="4" spans="1:5" ht="15.75">
      <c r="A4" s="746"/>
      <c r="B4" s="743"/>
      <c r="C4" s="743"/>
      <c r="D4" s="742"/>
      <c r="E4" s="742" t="str">
        <f>"Page 11 of "&amp;Workpaper</f>
        <v>Page 11 of 11</v>
      </c>
    </row>
    <row r="5" spans="1:5" ht="15.75">
      <c r="A5" s="746"/>
      <c r="B5" s="743"/>
      <c r="C5" s="743"/>
      <c r="D5" s="742"/>
      <c r="E5" s="744" t="str">
        <f>'DE Ohio &amp; Kentucky'!$J$125</f>
        <v>For the 12 months ended: 12/31/2016</v>
      </c>
    </row>
    <row r="6" spans="1:5" ht="15.75">
      <c r="A6" s="746"/>
      <c r="B6" s="743"/>
      <c r="C6" s="743"/>
      <c r="D6" s="743"/>
      <c r="E6" s="743"/>
    </row>
    <row r="7" spans="1:5" ht="15.75">
      <c r="A7" s="746"/>
      <c r="B7" s="743"/>
      <c r="C7" s="743"/>
      <c r="D7" s="743"/>
      <c r="E7" s="743"/>
    </row>
    <row r="8" spans="1:5" ht="15.75">
      <c r="A8" s="749"/>
      <c r="B8" s="750"/>
      <c r="C8" s="750"/>
      <c r="D8" s="750"/>
      <c r="E8" s="750"/>
    </row>
    <row r="9" spans="1:5" ht="20.25">
      <c r="A9" s="118"/>
      <c r="B9" s="214"/>
      <c r="C9" s="121"/>
      <c r="D9" s="121"/>
      <c r="E9" s="121"/>
    </row>
    <row r="10" spans="1:5" ht="21" thickBot="1">
      <c r="A10" s="118"/>
      <c r="B10" s="215"/>
      <c r="C10" s="122" t="s">
        <v>217</v>
      </c>
      <c r="D10" s="122" t="s">
        <v>218</v>
      </c>
      <c r="E10" s="122" t="s">
        <v>541</v>
      </c>
    </row>
    <row r="11" spans="1:5" ht="21" thickBot="1">
      <c r="A11" s="752" t="s">
        <v>802</v>
      </c>
      <c r="B11" s="215"/>
      <c r="C11" s="122"/>
      <c r="D11" s="122"/>
      <c r="E11" s="122"/>
    </row>
    <row r="12" spans="1:5" ht="24" customHeight="1">
      <c r="A12" s="123" t="s">
        <v>803</v>
      </c>
      <c r="B12" s="216"/>
      <c r="C12" s="216">
        <v>2679205</v>
      </c>
      <c r="D12" s="216">
        <v>12883570</v>
      </c>
      <c r="E12" s="409">
        <f>D12+C12</f>
        <v>15562775</v>
      </c>
    </row>
    <row r="13" spans="1:5">
      <c r="A13" s="124"/>
      <c r="B13" s="217"/>
      <c r="C13" s="217"/>
      <c r="D13" s="217"/>
      <c r="E13" s="118"/>
    </row>
    <row r="14" spans="1:5" ht="40.5" customHeight="1">
      <c r="A14" s="659" t="s">
        <v>810</v>
      </c>
      <c r="B14" s="125"/>
      <c r="C14" s="710">
        <v>0</v>
      </c>
      <c r="D14" s="710">
        <v>0</v>
      </c>
      <c r="E14" s="974">
        <f>D14+C14</f>
        <v>0</v>
      </c>
    </row>
    <row r="15" spans="1:5">
      <c r="A15" s="124"/>
      <c r="B15" s="217"/>
      <c r="C15" s="217"/>
      <c r="D15" s="217"/>
      <c r="E15" s="118"/>
    </row>
    <row r="16" spans="1:5" ht="24.75" customHeight="1">
      <c r="A16" s="126" t="s">
        <v>811</v>
      </c>
      <c r="B16" s="218"/>
      <c r="C16" s="218">
        <f>C12-SUM(C14:C14)</f>
        <v>2679205</v>
      </c>
      <c r="D16" s="218">
        <f>D12-SUM(D14:D14)</f>
        <v>12883570</v>
      </c>
      <c r="E16" s="218">
        <f>E12-SUM(E14:E14)</f>
        <v>15562775</v>
      </c>
    </row>
    <row r="17" spans="1:5" ht="14.25" customHeight="1">
      <c r="A17" s="126"/>
      <c r="B17" s="218"/>
      <c r="C17" s="218"/>
      <c r="D17" s="218"/>
      <c r="E17" s="135"/>
    </row>
    <row r="18" spans="1:5" ht="10.5" customHeight="1">
      <c r="A18" s="126"/>
      <c r="B18" s="218"/>
      <c r="C18" s="218"/>
      <c r="D18" s="218"/>
      <c r="E18" s="135"/>
    </row>
    <row r="19" spans="1:5" ht="15.75" thickBot="1">
      <c r="A19" s="124"/>
      <c r="B19" s="217"/>
      <c r="C19" s="217"/>
      <c r="D19" s="217"/>
      <c r="E19" s="118"/>
    </row>
    <row r="20" spans="1:5" ht="16.5" thickBot="1">
      <c r="A20" s="752" t="s">
        <v>804</v>
      </c>
      <c r="B20" s="217"/>
      <c r="C20" s="217"/>
      <c r="D20" s="217"/>
      <c r="E20" s="118"/>
    </row>
    <row r="21" spans="1:5" ht="24" customHeight="1">
      <c r="A21" s="123" t="s">
        <v>805</v>
      </c>
      <c r="B21" s="216"/>
      <c r="C21" s="216">
        <v>7938688</v>
      </c>
      <c r="D21" s="216">
        <v>1173166</v>
      </c>
      <c r="E21" s="409">
        <f>D21+C21</f>
        <v>9111854</v>
      </c>
    </row>
    <row r="22" spans="1:5">
      <c r="A22" s="124"/>
      <c r="B22" s="217"/>
      <c r="C22" s="217"/>
      <c r="D22" s="217"/>
      <c r="E22" s="118"/>
    </row>
    <row r="23" spans="1:5" ht="41.25" customHeight="1">
      <c r="A23" s="659" t="s">
        <v>810</v>
      </c>
      <c r="B23" s="129"/>
      <c r="C23" s="710">
        <v>0</v>
      </c>
      <c r="D23" s="710">
        <v>0</v>
      </c>
      <c r="E23" s="129">
        <f>D23+C23</f>
        <v>0</v>
      </c>
    </row>
    <row r="24" spans="1:5">
      <c r="A24" s="124"/>
      <c r="B24" s="217"/>
      <c r="C24" s="217"/>
      <c r="D24" s="217"/>
      <c r="E24" s="118"/>
    </row>
    <row r="25" spans="1:5" ht="27" customHeight="1">
      <c r="A25" s="126" t="s">
        <v>812</v>
      </c>
      <c r="B25" s="218"/>
      <c r="C25" s="218">
        <f>C21-SUM(C23:C23)</f>
        <v>7938688</v>
      </c>
      <c r="D25" s="218">
        <f>D21-SUM(D23:D23)</f>
        <v>1173166</v>
      </c>
      <c r="E25" s="135">
        <f>E21-E23</f>
        <v>9111854</v>
      </c>
    </row>
    <row r="26" spans="1:5" ht="14.25" customHeight="1">
      <c r="A26" s="126"/>
      <c r="B26" s="218"/>
      <c r="C26" s="218"/>
      <c r="D26" s="218"/>
      <c r="E26" s="135"/>
    </row>
    <row r="27" spans="1:5" ht="10.5" customHeight="1">
      <c r="A27" s="126"/>
      <c r="B27" s="218"/>
      <c r="C27" s="218"/>
      <c r="D27" s="218"/>
      <c r="E27" s="135"/>
    </row>
    <row r="28" spans="1:5" ht="15.75" thickBot="1">
      <c r="A28" s="124"/>
      <c r="B28" s="217"/>
      <c r="C28" s="217"/>
      <c r="D28" s="217"/>
      <c r="E28" s="118"/>
    </row>
    <row r="29" spans="1:5" ht="16.5" thickBot="1">
      <c r="A29" s="752" t="s">
        <v>806</v>
      </c>
      <c r="B29" s="217"/>
      <c r="C29" s="217"/>
      <c r="D29" s="217"/>
      <c r="E29" s="118"/>
    </row>
    <row r="30" spans="1:5" ht="24" customHeight="1">
      <c r="A30" s="123" t="s">
        <v>807</v>
      </c>
      <c r="B30" s="216"/>
      <c r="C30" s="216">
        <v>27827368</v>
      </c>
      <c r="D30" s="216">
        <v>5202066</v>
      </c>
      <c r="E30" s="409">
        <f>D30+C30</f>
        <v>33029434</v>
      </c>
    </row>
    <row r="31" spans="1:5">
      <c r="A31" s="124"/>
      <c r="B31" s="217"/>
      <c r="C31" s="217"/>
      <c r="D31" s="217"/>
      <c r="E31" s="118"/>
    </row>
    <row r="32" spans="1:5" ht="43.5" customHeight="1">
      <c r="A32" s="659" t="s">
        <v>810</v>
      </c>
      <c r="B32" s="129"/>
      <c r="C32" s="710">
        <v>0</v>
      </c>
      <c r="D32" s="710">
        <v>0</v>
      </c>
      <c r="E32" s="129">
        <f>D32+C32</f>
        <v>0</v>
      </c>
    </row>
    <row r="33" spans="1:5">
      <c r="A33" s="124"/>
      <c r="B33" s="217"/>
      <c r="C33" s="118"/>
      <c r="D33" s="118"/>
      <c r="E33" s="118"/>
    </row>
    <row r="34" spans="1:5" ht="27" customHeight="1">
      <c r="A34" s="126" t="s">
        <v>813</v>
      </c>
      <c r="B34" s="218"/>
      <c r="C34" s="218">
        <f>C30-SUM(C32:C32)</f>
        <v>27827368</v>
      </c>
      <c r="D34" s="218">
        <f>D30-SUM(D32:D32)</f>
        <v>5202066</v>
      </c>
      <c r="E34" s="135">
        <f>E30-E32</f>
        <v>33029434</v>
      </c>
    </row>
    <row r="35" spans="1:5">
      <c r="A35" s="124"/>
      <c r="B35" s="217"/>
      <c r="C35" s="118"/>
      <c r="D35" s="118"/>
      <c r="E35" s="118"/>
    </row>
    <row r="36" spans="1:5" ht="15.75" thickBot="1">
      <c r="A36" s="124"/>
      <c r="B36" s="217"/>
      <c r="C36" s="118"/>
      <c r="D36" s="118"/>
      <c r="E36" s="118"/>
    </row>
    <row r="37" spans="1:5" ht="17.100000000000001" customHeight="1" thickBot="1">
      <c r="A37" s="752" t="s">
        <v>808</v>
      </c>
      <c r="B37" s="217"/>
      <c r="C37" s="217"/>
      <c r="D37" s="217"/>
      <c r="E37" s="118"/>
    </row>
    <row r="38" spans="1:5" ht="24" customHeight="1">
      <c r="A38" s="123" t="s">
        <v>809</v>
      </c>
      <c r="B38" s="216"/>
      <c r="C38" s="216">
        <f>11600857+891823</f>
        <v>12492680</v>
      </c>
      <c r="D38" s="216">
        <f>2808547+223343</f>
        <v>3031890</v>
      </c>
      <c r="E38" s="409">
        <f>D38+C38</f>
        <v>15524570</v>
      </c>
    </row>
    <row r="39" spans="1:5">
      <c r="A39" s="124"/>
      <c r="B39" s="217"/>
      <c r="C39" s="217"/>
      <c r="D39" s="217"/>
      <c r="E39" s="118"/>
    </row>
    <row r="40" spans="1:5" ht="37.5" customHeight="1">
      <c r="A40" s="659" t="s">
        <v>810</v>
      </c>
      <c r="B40" s="129"/>
      <c r="C40" s="710">
        <v>28</v>
      </c>
      <c r="D40" s="710">
        <v>6</v>
      </c>
      <c r="E40" s="129">
        <f>D40+C40</f>
        <v>34</v>
      </c>
    </row>
    <row r="41" spans="1:5">
      <c r="A41" s="124"/>
      <c r="B41" s="217"/>
      <c r="C41" s="118"/>
      <c r="D41" s="118"/>
      <c r="E41" s="118"/>
    </row>
    <row r="42" spans="1:5" ht="17.25">
      <c r="A42" s="126" t="s">
        <v>814</v>
      </c>
      <c r="B42" s="218"/>
      <c r="C42" s="218">
        <f>C38-SUM(C40:C40)</f>
        <v>12492652</v>
      </c>
      <c r="D42" s="218">
        <f>D38-SUM(D40:D40)</f>
        <v>3031884</v>
      </c>
      <c r="E42" s="135">
        <f>E38-E40</f>
        <v>15524536</v>
      </c>
    </row>
  </sheetData>
  <pageMargins left="1" right="0.5" top="1" bottom="0.5" header="0.25" footer="0.25"/>
  <pageSetup scale="7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J40"/>
  <sheetViews>
    <sheetView topLeftCell="A19" zoomScale="80" zoomScaleNormal="80" workbookViewId="0">
      <selection activeCell="E32" sqref="E32"/>
    </sheetView>
  </sheetViews>
  <sheetFormatPr defaultColWidth="8.77734375" defaultRowHeight="15"/>
  <cols>
    <col min="1" max="1" width="8.77734375" style="933"/>
    <col min="2" max="2" width="51.44140625" style="933" customWidth="1"/>
    <col min="3" max="3" width="14.44140625" style="933" customWidth="1"/>
    <col min="4" max="4" width="14.77734375" style="933" bestFit="1" customWidth="1"/>
    <col min="5" max="5" width="1.6640625" style="933" customWidth="1"/>
    <col min="6" max="6" width="15.21875" style="933" customWidth="1"/>
    <col min="7" max="7" width="1.44140625" style="933" customWidth="1"/>
    <col min="8" max="8" width="12.6640625" style="933" bestFit="1" customWidth="1"/>
    <col min="9" max="9" width="2.109375" style="933" customWidth="1"/>
    <col min="10" max="10" width="13.88671875" style="933" customWidth="1"/>
    <col min="11" max="11" width="8.77734375" style="933"/>
    <col min="12" max="12" width="13.44140625" style="933" customWidth="1"/>
    <col min="13" max="16384" width="8.77734375" style="933"/>
  </cols>
  <sheetData>
    <row r="1" spans="1:10" ht="15.75">
      <c r="A1" s="979" t="s">
        <v>524</v>
      </c>
      <c r="B1" s="914"/>
      <c r="C1" s="979"/>
      <c r="D1" s="979"/>
      <c r="E1" s="979"/>
      <c r="F1" s="979"/>
      <c r="G1" s="979"/>
      <c r="H1" s="979"/>
      <c r="I1" s="979"/>
      <c r="J1" s="979"/>
    </row>
    <row r="2" spans="1:10" ht="15.75">
      <c r="A2" s="979" t="s">
        <v>365</v>
      </c>
      <c r="B2" s="914"/>
      <c r="C2" s="979"/>
      <c r="D2" s="979"/>
      <c r="E2" s="979"/>
      <c r="F2" s="979"/>
      <c r="G2" s="979"/>
      <c r="H2" s="979"/>
      <c r="I2" s="979"/>
      <c r="J2" s="979"/>
    </row>
    <row r="3" spans="1:10" ht="15.75">
      <c r="A3" s="979" t="s">
        <v>826</v>
      </c>
      <c r="B3" s="914"/>
      <c r="C3" s="979"/>
      <c r="D3" s="979"/>
      <c r="E3" s="979"/>
      <c r="F3" s="979"/>
      <c r="G3" s="979"/>
      <c r="H3" s="979"/>
      <c r="I3" s="979"/>
      <c r="J3" s="979"/>
    </row>
    <row r="5" spans="1:10">
      <c r="D5" s="866" t="s">
        <v>346</v>
      </c>
      <c r="J5" s="866" t="s">
        <v>827</v>
      </c>
    </row>
    <row r="6" spans="1:10">
      <c r="A6" s="866" t="s">
        <v>13</v>
      </c>
      <c r="D6" s="866" t="s">
        <v>828</v>
      </c>
      <c r="F6" s="866" t="s">
        <v>346</v>
      </c>
      <c r="J6" s="866" t="s">
        <v>346</v>
      </c>
    </row>
    <row r="7" spans="1:10">
      <c r="A7" s="878" t="s">
        <v>15</v>
      </c>
      <c r="B7" s="290" t="s">
        <v>577</v>
      </c>
      <c r="D7" s="878" t="s">
        <v>829</v>
      </c>
      <c r="F7" s="878" t="s">
        <v>345</v>
      </c>
      <c r="H7" s="878" t="s">
        <v>830</v>
      </c>
      <c r="I7" s="878"/>
      <c r="J7" s="878" t="s">
        <v>345</v>
      </c>
    </row>
    <row r="8" spans="1:10">
      <c r="F8" s="878"/>
    </row>
    <row r="9" spans="1:10">
      <c r="A9" s="980">
        <v>1</v>
      </c>
      <c r="B9" s="981" t="s">
        <v>831</v>
      </c>
      <c r="F9" s="982">
        <v>101813042</v>
      </c>
      <c r="H9" s="934">
        <v>-2766800</v>
      </c>
      <c r="I9" s="983"/>
      <c r="J9" s="983"/>
    </row>
    <row r="10" spans="1:10">
      <c r="A10" s="980">
        <f>A9+1</f>
        <v>2</v>
      </c>
      <c r="F10" s="934"/>
      <c r="H10" s="983"/>
      <c r="I10" s="983"/>
      <c r="J10" s="983"/>
    </row>
    <row r="11" spans="1:10" ht="51.6" customHeight="1">
      <c r="A11" s="980">
        <f t="shared" ref="A11:A40" si="0">A10+1</f>
        <v>3</v>
      </c>
      <c r="B11" s="984" t="s">
        <v>832</v>
      </c>
      <c r="F11" s="934"/>
      <c r="H11" s="983"/>
      <c r="I11" s="983"/>
      <c r="J11" s="983"/>
    </row>
    <row r="12" spans="1:10" ht="15" customHeight="1">
      <c r="A12" s="980">
        <f t="shared" si="0"/>
        <v>4</v>
      </c>
      <c r="B12" s="984"/>
      <c r="C12" s="933" t="s">
        <v>833</v>
      </c>
      <c r="D12" s="985">
        <v>-1597036</v>
      </c>
      <c r="F12" s="934"/>
      <c r="H12" s="983"/>
      <c r="I12" s="983"/>
      <c r="J12" s="983"/>
    </row>
    <row r="13" spans="1:10">
      <c r="A13" s="980">
        <f t="shared" si="0"/>
        <v>5</v>
      </c>
      <c r="C13" s="933" t="s">
        <v>834</v>
      </c>
      <c r="D13" s="986">
        <v>-16489</v>
      </c>
      <c r="F13" s="934"/>
      <c r="H13" s="983"/>
      <c r="I13" s="983"/>
      <c r="J13" s="983"/>
    </row>
    <row r="14" spans="1:10">
      <c r="A14" s="980">
        <f t="shared" si="0"/>
        <v>6</v>
      </c>
      <c r="C14" s="933" t="s">
        <v>835</v>
      </c>
      <c r="D14" s="987">
        <v>-2568</v>
      </c>
      <c r="F14" s="934"/>
      <c r="H14" s="983"/>
      <c r="I14" s="983"/>
      <c r="J14" s="983"/>
    </row>
    <row r="15" spans="1:10" ht="17.25">
      <c r="A15" s="980">
        <f t="shared" si="0"/>
        <v>7</v>
      </c>
      <c r="C15" s="933" t="s">
        <v>836</v>
      </c>
      <c r="D15" s="988">
        <v>37555</v>
      </c>
      <c r="F15" s="934"/>
      <c r="H15" s="599">
        <f>D15</f>
        <v>37555</v>
      </c>
      <c r="I15" s="599"/>
      <c r="J15" s="599"/>
    </row>
    <row r="16" spans="1:10">
      <c r="A16" s="980">
        <f t="shared" si="0"/>
        <v>8</v>
      </c>
      <c r="D16" s="934">
        <f>SUM(D12:D15)</f>
        <v>-1578538</v>
      </c>
      <c r="F16" s="934">
        <f>D16</f>
        <v>-1578538</v>
      </c>
      <c r="H16" s="983"/>
      <c r="I16" s="983"/>
      <c r="J16" s="983">
        <f>F9+F16</f>
        <v>100234504</v>
      </c>
    </row>
    <row r="17" spans="1:10">
      <c r="A17" s="980">
        <f t="shared" si="0"/>
        <v>9</v>
      </c>
      <c r="F17" s="934"/>
      <c r="H17" s="983"/>
      <c r="I17" s="983"/>
      <c r="J17" s="983"/>
    </row>
    <row r="18" spans="1:10" ht="45">
      <c r="A18" s="980">
        <f t="shared" si="0"/>
        <v>10</v>
      </c>
      <c r="B18" s="984" t="s">
        <v>837</v>
      </c>
      <c r="F18" s="934"/>
      <c r="H18" s="983"/>
      <c r="I18" s="983"/>
      <c r="J18" s="983"/>
    </row>
    <row r="19" spans="1:10">
      <c r="A19" s="980">
        <f t="shared" si="0"/>
        <v>11</v>
      </c>
      <c r="B19" s="984"/>
      <c r="C19" s="933" t="s">
        <v>833</v>
      </c>
      <c r="D19" s="985">
        <v>-1074818</v>
      </c>
      <c r="F19" s="934"/>
      <c r="H19" s="983"/>
      <c r="I19" s="983"/>
      <c r="J19" s="983"/>
    </row>
    <row r="20" spans="1:10">
      <c r="A20" s="980">
        <f t="shared" si="0"/>
        <v>12</v>
      </c>
      <c r="C20" s="933" t="s">
        <v>834</v>
      </c>
      <c r="D20" s="986">
        <v>-11097</v>
      </c>
      <c r="F20" s="934"/>
      <c r="H20" s="983"/>
      <c r="I20" s="983"/>
      <c r="J20" s="983"/>
    </row>
    <row r="21" spans="1:10">
      <c r="A21" s="980">
        <f t="shared" si="0"/>
        <v>13</v>
      </c>
      <c r="C21" s="933" t="s">
        <v>835</v>
      </c>
      <c r="D21" s="987">
        <v>-4079</v>
      </c>
      <c r="F21" s="934"/>
      <c r="H21" s="983"/>
      <c r="I21" s="983"/>
      <c r="J21" s="983"/>
    </row>
    <row r="22" spans="1:10" ht="17.25">
      <c r="A22" s="980">
        <f t="shared" si="0"/>
        <v>14</v>
      </c>
      <c r="C22" s="933" t="s">
        <v>836</v>
      </c>
      <c r="D22" s="988">
        <v>25346</v>
      </c>
      <c r="F22" s="934"/>
      <c r="H22" s="599">
        <f>D22</f>
        <v>25346</v>
      </c>
      <c r="I22" s="599"/>
      <c r="J22" s="599"/>
    </row>
    <row r="23" spans="1:10">
      <c r="A23" s="980">
        <f t="shared" si="0"/>
        <v>15</v>
      </c>
      <c r="D23" s="934">
        <f>SUM(D19:D22)</f>
        <v>-1064648</v>
      </c>
      <c r="F23" s="934">
        <f>D23</f>
        <v>-1064648</v>
      </c>
      <c r="H23" s="983"/>
      <c r="I23" s="983"/>
      <c r="J23" s="983">
        <f>J16+F23</f>
        <v>99169856</v>
      </c>
    </row>
    <row r="24" spans="1:10">
      <c r="A24" s="980">
        <f t="shared" si="0"/>
        <v>16</v>
      </c>
      <c r="D24" s="934"/>
      <c r="F24" s="934"/>
      <c r="H24" s="983"/>
      <c r="I24" s="983"/>
      <c r="J24" s="983"/>
    </row>
    <row r="25" spans="1:10" ht="60">
      <c r="A25" s="980">
        <f t="shared" si="0"/>
        <v>17</v>
      </c>
      <c r="B25" s="984" t="s">
        <v>838</v>
      </c>
      <c r="F25" s="934"/>
      <c r="H25" s="983"/>
      <c r="I25" s="983"/>
      <c r="J25" s="983"/>
    </row>
    <row r="26" spans="1:10">
      <c r="A26" s="980">
        <f t="shared" si="0"/>
        <v>18</v>
      </c>
      <c r="B26" s="984"/>
      <c r="C26" s="933" t="s">
        <v>839</v>
      </c>
      <c r="D26" s="985">
        <v>-329690</v>
      </c>
      <c r="F26" s="934"/>
      <c r="H26" s="983"/>
      <c r="I26" s="983"/>
      <c r="J26" s="983"/>
    </row>
    <row r="27" spans="1:10">
      <c r="A27" s="980">
        <f t="shared" si="0"/>
        <v>19</v>
      </c>
      <c r="B27" s="984"/>
      <c r="C27" s="933" t="s">
        <v>833</v>
      </c>
      <c r="D27" s="986">
        <v>39956</v>
      </c>
      <c r="F27" s="934"/>
      <c r="H27" s="983"/>
      <c r="I27" s="983"/>
      <c r="J27" s="983"/>
    </row>
    <row r="28" spans="1:10">
      <c r="A28" s="980">
        <f t="shared" si="0"/>
        <v>20</v>
      </c>
      <c r="C28" s="933" t="s">
        <v>834</v>
      </c>
      <c r="D28" s="986">
        <v>-2992</v>
      </c>
      <c r="F28" s="934"/>
      <c r="H28" s="983"/>
      <c r="I28" s="983"/>
      <c r="J28" s="983"/>
    </row>
    <row r="29" spans="1:10">
      <c r="A29" s="980">
        <f t="shared" si="0"/>
        <v>21</v>
      </c>
      <c r="C29" s="933" t="s">
        <v>835</v>
      </c>
      <c r="D29" s="987">
        <v>-1100</v>
      </c>
      <c r="F29" s="934"/>
      <c r="H29" s="983"/>
      <c r="I29" s="983"/>
      <c r="J29" s="983"/>
    </row>
    <row r="30" spans="1:10" ht="17.25">
      <c r="A30" s="980">
        <f t="shared" si="0"/>
        <v>22</v>
      </c>
      <c r="C30" s="933" t="s">
        <v>836</v>
      </c>
      <c r="D30" s="988">
        <v>6832</v>
      </c>
      <c r="F30" s="934"/>
      <c r="H30" s="599">
        <f>D30</f>
        <v>6832</v>
      </c>
      <c r="I30" s="599"/>
      <c r="J30" s="599"/>
    </row>
    <row r="31" spans="1:10">
      <c r="A31" s="980">
        <f t="shared" si="0"/>
        <v>23</v>
      </c>
      <c r="D31" s="934">
        <f>SUM(D26:D30)</f>
        <v>-286994</v>
      </c>
      <c r="F31" s="934">
        <f>D31</f>
        <v>-286994</v>
      </c>
      <c r="H31" s="983"/>
      <c r="I31" s="983"/>
      <c r="J31" s="983">
        <f>J23+F31</f>
        <v>98882862</v>
      </c>
    </row>
    <row r="32" spans="1:10">
      <c r="A32" s="980">
        <f t="shared" si="0"/>
        <v>24</v>
      </c>
      <c r="F32" s="934"/>
      <c r="H32" s="983"/>
      <c r="I32" s="983"/>
      <c r="J32" s="983"/>
    </row>
    <row r="33" spans="1:10">
      <c r="A33" s="980">
        <f t="shared" si="0"/>
        <v>25</v>
      </c>
      <c r="B33" s="933" t="s">
        <v>840</v>
      </c>
      <c r="F33" s="934">
        <f>SUM(F9:F31)</f>
        <v>98882862</v>
      </c>
      <c r="H33" s="934">
        <f>SUM(H9:H31)</f>
        <v>-2697067</v>
      </c>
      <c r="I33" s="934"/>
      <c r="J33" s="934"/>
    </row>
    <row r="34" spans="1:10">
      <c r="A34" s="980">
        <f t="shared" si="0"/>
        <v>26</v>
      </c>
      <c r="F34" s="934"/>
      <c r="H34" s="983"/>
      <c r="I34" s="983"/>
      <c r="J34" s="983"/>
    </row>
    <row r="35" spans="1:10">
      <c r="A35" s="980">
        <f t="shared" si="0"/>
        <v>27</v>
      </c>
      <c r="F35" s="934"/>
      <c r="H35" s="983"/>
      <c r="I35" s="983"/>
      <c r="J35" s="983"/>
    </row>
    <row r="36" spans="1:10">
      <c r="A36" s="980">
        <f t="shared" si="0"/>
        <v>28</v>
      </c>
      <c r="B36" s="933" t="s">
        <v>841</v>
      </c>
      <c r="F36" s="934">
        <f>F9-F33</f>
        <v>2930180</v>
      </c>
      <c r="H36" s="934">
        <f>H9-H33</f>
        <v>-69733</v>
      </c>
      <c r="I36" s="934"/>
      <c r="J36" s="934"/>
    </row>
    <row r="37" spans="1:10">
      <c r="A37" s="980">
        <f t="shared" si="0"/>
        <v>29</v>
      </c>
    </row>
    <row r="38" spans="1:10">
      <c r="A38" s="980">
        <f t="shared" si="0"/>
        <v>30</v>
      </c>
      <c r="B38" s="933" t="s">
        <v>842</v>
      </c>
      <c r="F38" s="989">
        <f>FERCrefund</f>
        <v>3.2500000000000001E-2</v>
      </c>
    </row>
    <row r="39" spans="1:10">
      <c r="A39" s="980">
        <f t="shared" si="0"/>
        <v>31</v>
      </c>
    </row>
    <row r="40" spans="1:10" ht="17.25">
      <c r="A40" s="980">
        <f t="shared" si="0"/>
        <v>32</v>
      </c>
      <c r="B40" s="933" t="s">
        <v>843</v>
      </c>
      <c r="F40" s="382">
        <f>ROUND(F36*(1+F38),0)</f>
        <v>3025411</v>
      </c>
    </row>
  </sheetData>
  <pageMargins left="0.75" right="0.45" top="1" bottom="0.7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N63"/>
  <sheetViews>
    <sheetView topLeftCell="A43" zoomScale="80" zoomScaleNormal="80" workbookViewId="0">
      <selection activeCell="N58" sqref="N58"/>
    </sheetView>
  </sheetViews>
  <sheetFormatPr defaultColWidth="8.77734375" defaultRowHeight="15"/>
  <cols>
    <col min="1" max="1" width="8.77734375" style="933"/>
    <col min="2" max="2" width="44.6640625" style="933" customWidth="1"/>
    <col min="3" max="3" width="1.6640625" style="933" customWidth="1"/>
    <col min="4" max="4" width="14.44140625" style="933" customWidth="1"/>
    <col min="5" max="5" width="1.6640625" style="933" customWidth="1"/>
    <col min="6" max="6" width="12.5546875" style="933" customWidth="1"/>
    <col min="7" max="7" width="1.44140625" style="933" customWidth="1"/>
    <col min="8" max="8" width="12.6640625" style="933" bestFit="1" customWidth="1"/>
    <col min="9" max="9" width="2.109375" style="933" customWidth="1"/>
    <col min="10" max="10" width="13.88671875" style="933" customWidth="1"/>
    <col min="11" max="11" width="2.109375" style="933" customWidth="1"/>
    <col min="12" max="12" width="13.88671875" style="933" customWidth="1"/>
    <col min="13" max="13" width="2.109375" style="933" customWidth="1"/>
    <col min="14" max="14" width="13.44140625" style="933" customWidth="1"/>
    <col min="15" max="16384" width="8.77734375" style="933"/>
  </cols>
  <sheetData>
    <row r="1" spans="1:14" ht="15.75">
      <c r="A1" s="994" t="s">
        <v>524</v>
      </c>
      <c r="B1" s="914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14"/>
      <c r="N1" s="914"/>
    </row>
    <row r="2" spans="1:14">
      <c r="A2" s="995"/>
    </row>
    <row r="3" spans="1:14" ht="15.75">
      <c r="A3" s="979" t="s">
        <v>847</v>
      </c>
      <c r="B3" s="914"/>
      <c r="C3" s="914"/>
      <c r="D3" s="914"/>
      <c r="E3" s="914"/>
      <c r="F3" s="914"/>
      <c r="G3" s="914"/>
      <c r="H3" s="914"/>
      <c r="I3" s="914"/>
      <c r="J3" s="914"/>
      <c r="K3" s="914"/>
      <c r="L3" s="914"/>
      <c r="M3" s="914"/>
      <c r="N3" s="914"/>
    </row>
    <row r="4" spans="1:14" ht="15.75">
      <c r="A4" s="979" t="s">
        <v>848</v>
      </c>
      <c r="B4" s="914"/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</row>
    <row r="5" spans="1:14">
      <c r="A5" s="995"/>
    </row>
    <row r="6" spans="1:14" ht="15.75">
      <c r="A6" s="979"/>
      <c r="B6" s="914"/>
      <c r="C6" s="979"/>
      <c r="D6" s="979"/>
      <c r="E6" s="979"/>
      <c r="F6" s="979"/>
      <c r="G6" s="979"/>
      <c r="H6" s="979"/>
      <c r="I6" s="979"/>
      <c r="J6" s="979"/>
      <c r="K6" s="979"/>
      <c r="L6" s="979"/>
    </row>
    <row r="7" spans="1:14">
      <c r="D7" s="996" t="s">
        <v>849</v>
      </c>
      <c r="E7" s="997"/>
      <c r="F7" s="997"/>
      <c r="G7" s="997"/>
      <c r="H7" s="997"/>
      <c r="I7" s="997"/>
      <c r="J7" s="998"/>
      <c r="K7" s="997"/>
      <c r="L7" s="998"/>
    </row>
    <row r="8" spans="1:14">
      <c r="D8" s="999" t="s">
        <v>850</v>
      </c>
      <c r="F8" s="999" t="s">
        <v>851</v>
      </c>
      <c r="H8" s="999" t="s">
        <v>852</v>
      </c>
      <c r="J8" s="999" t="s">
        <v>853</v>
      </c>
      <c r="K8" s="999"/>
      <c r="L8" s="999" t="s">
        <v>854</v>
      </c>
    </row>
    <row r="9" spans="1:14">
      <c r="A9" s="866" t="s">
        <v>13</v>
      </c>
      <c r="D9" s="866" t="s">
        <v>346</v>
      </c>
      <c r="F9" s="866" t="s">
        <v>346</v>
      </c>
      <c r="H9" s="866" t="s">
        <v>346</v>
      </c>
      <c r="J9" s="866" t="s">
        <v>346</v>
      </c>
      <c r="K9" s="866"/>
      <c r="L9" s="866" t="s">
        <v>346</v>
      </c>
      <c r="N9" s="866" t="s">
        <v>17</v>
      </c>
    </row>
    <row r="10" spans="1:14">
      <c r="A10" s="878" t="s">
        <v>15</v>
      </c>
      <c r="B10" s="290" t="s">
        <v>577</v>
      </c>
      <c r="D10" s="878" t="s">
        <v>345</v>
      </c>
      <c r="F10" s="878" t="s">
        <v>345</v>
      </c>
      <c r="H10" s="878" t="s">
        <v>345</v>
      </c>
      <c r="I10" s="878"/>
      <c r="J10" s="878" t="s">
        <v>345</v>
      </c>
      <c r="K10" s="878"/>
      <c r="L10" s="878" t="s">
        <v>345</v>
      </c>
      <c r="N10" s="878" t="s">
        <v>855</v>
      </c>
    </row>
    <row r="11" spans="1:14">
      <c r="J11" s="878"/>
    </row>
    <row r="12" spans="1:14">
      <c r="A12" s="980">
        <v>1</v>
      </c>
      <c r="B12" s="981" t="s">
        <v>856</v>
      </c>
      <c r="D12" s="982">
        <v>61974405</v>
      </c>
      <c r="F12" s="982">
        <v>69884312</v>
      </c>
      <c r="H12" s="985">
        <v>61355067</v>
      </c>
      <c r="I12" s="983"/>
      <c r="J12" s="982">
        <v>81729172</v>
      </c>
      <c r="K12" s="982"/>
      <c r="L12" s="982">
        <v>86981677</v>
      </c>
    </row>
    <row r="13" spans="1:14">
      <c r="A13" s="980">
        <v>2</v>
      </c>
      <c r="D13" s="983"/>
      <c r="F13" s="983"/>
      <c r="H13" s="983"/>
      <c r="I13" s="983"/>
      <c r="J13" s="934"/>
      <c r="K13" s="983"/>
    </row>
    <row r="14" spans="1:14" ht="30">
      <c r="A14" s="980">
        <v>3</v>
      </c>
      <c r="B14" s="984" t="s">
        <v>857</v>
      </c>
      <c r="C14" s="839"/>
      <c r="D14" s="1000"/>
      <c r="E14" s="839"/>
      <c r="F14" s="1000"/>
      <c r="G14" s="839"/>
      <c r="H14" s="1000"/>
      <c r="I14" s="1000"/>
      <c r="J14" s="593"/>
      <c r="K14" s="1000"/>
      <c r="L14" s="839"/>
    </row>
    <row r="15" spans="1:14" ht="7.15" customHeight="1">
      <c r="A15" s="980"/>
      <c r="B15" s="984"/>
      <c r="C15" s="839"/>
      <c r="D15" s="1000"/>
      <c r="E15" s="839"/>
      <c r="F15" s="1000"/>
      <c r="G15" s="839"/>
      <c r="H15" s="1000"/>
      <c r="I15" s="1000"/>
      <c r="J15" s="593"/>
      <c r="K15" s="1000"/>
      <c r="L15" s="839"/>
    </row>
    <row r="16" spans="1:14">
      <c r="A16" s="980">
        <v>4</v>
      </c>
      <c r="B16" s="381" t="s">
        <v>834</v>
      </c>
      <c r="C16" s="839"/>
      <c r="D16" s="985">
        <v>-72</v>
      </c>
      <c r="E16" s="839"/>
      <c r="F16" s="985">
        <v>-271</v>
      </c>
      <c r="G16" s="839"/>
      <c r="H16" s="985">
        <v>-230</v>
      </c>
      <c r="I16" s="1000"/>
      <c r="J16" s="985">
        <v>101</v>
      </c>
      <c r="K16" s="593"/>
      <c r="L16" s="985">
        <v>5854</v>
      </c>
    </row>
    <row r="17" spans="1:12">
      <c r="A17" s="980">
        <v>5</v>
      </c>
      <c r="B17" s="381" t="s">
        <v>835</v>
      </c>
      <c r="C17" s="839"/>
      <c r="D17" s="1001">
        <v>-32</v>
      </c>
      <c r="E17" s="839"/>
      <c r="F17" s="1001">
        <v>-114</v>
      </c>
      <c r="G17" s="839"/>
      <c r="H17" s="1001">
        <v>-100</v>
      </c>
      <c r="I17" s="1000"/>
      <c r="J17" s="1001">
        <v>45</v>
      </c>
      <c r="K17" s="1001"/>
      <c r="L17" s="1001">
        <v>2074</v>
      </c>
    </row>
    <row r="18" spans="1:12">
      <c r="A18" s="980">
        <v>6</v>
      </c>
      <c r="B18" s="381" t="s">
        <v>839</v>
      </c>
      <c r="C18" s="839"/>
      <c r="D18" s="1001">
        <f>-6566</f>
        <v>-6566</v>
      </c>
      <c r="E18" s="839"/>
      <c r="F18" s="1001">
        <f>-25405</f>
        <v>-25405</v>
      </c>
      <c r="G18" s="839"/>
      <c r="H18" s="1001">
        <f>-22424</f>
        <v>-22424</v>
      </c>
      <c r="I18" s="1000"/>
      <c r="J18" s="1001">
        <f>-32806</f>
        <v>-32806</v>
      </c>
      <c r="K18" s="1001"/>
      <c r="L18" s="1001">
        <f>14398</f>
        <v>14398</v>
      </c>
    </row>
    <row r="19" spans="1:12">
      <c r="A19" s="980">
        <v>7</v>
      </c>
      <c r="B19" s="381" t="s">
        <v>858</v>
      </c>
      <c r="C19" s="839"/>
      <c r="D19" s="1001">
        <v>0</v>
      </c>
      <c r="E19" s="839"/>
      <c r="F19" s="1001">
        <v>4</v>
      </c>
      <c r="G19" s="839"/>
      <c r="H19" s="1001">
        <v>62</v>
      </c>
      <c r="I19" s="1000"/>
      <c r="J19" s="1001">
        <v>829</v>
      </c>
      <c r="K19" s="1001"/>
      <c r="L19" s="1001">
        <v>8810</v>
      </c>
    </row>
    <row r="20" spans="1:12">
      <c r="A20" s="980">
        <v>8</v>
      </c>
      <c r="B20" s="381" t="s">
        <v>859</v>
      </c>
      <c r="C20" s="839"/>
      <c r="D20" s="1001">
        <v>2</v>
      </c>
      <c r="E20" s="839"/>
      <c r="F20" s="1001">
        <v>6</v>
      </c>
      <c r="G20" s="839"/>
      <c r="H20" s="1001">
        <v>38</v>
      </c>
      <c r="I20" s="1000"/>
      <c r="J20" s="1001">
        <v>448</v>
      </c>
      <c r="K20" s="1001"/>
      <c r="L20" s="1001">
        <v>6869</v>
      </c>
    </row>
    <row r="21" spans="1:12" ht="17.25">
      <c r="A21" s="980">
        <v>9</v>
      </c>
      <c r="B21" s="381" t="s">
        <v>836</v>
      </c>
      <c r="C21" s="839"/>
      <c r="D21" s="1002">
        <v>192</v>
      </c>
      <c r="E21" s="839"/>
      <c r="F21" s="1002">
        <v>745</v>
      </c>
      <c r="G21" s="839"/>
      <c r="H21" s="1002">
        <v>626</v>
      </c>
      <c r="I21" s="1000"/>
      <c r="J21" s="1002">
        <v>808</v>
      </c>
      <c r="K21" s="1002"/>
      <c r="L21" s="1002">
        <v>-1021</v>
      </c>
    </row>
    <row r="22" spans="1:12">
      <c r="A22" s="980">
        <v>10</v>
      </c>
      <c r="C22" s="839"/>
      <c r="D22" s="593">
        <f>SUM(D16:D21)</f>
        <v>-6476</v>
      </c>
      <c r="E22" s="839"/>
      <c r="F22" s="593">
        <f>SUM(F16:F21)</f>
        <v>-25035</v>
      </c>
      <c r="G22" s="839"/>
      <c r="H22" s="593">
        <f>SUM(H16:H21)</f>
        <v>-22028</v>
      </c>
      <c r="I22" s="1000"/>
      <c r="J22" s="593">
        <f>SUM(J16:J21)</f>
        <v>-30575</v>
      </c>
      <c r="K22" s="593"/>
      <c r="L22" s="593">
        <f>SUM(L16:L21)</f>
        <v>36984</v>
      </c>
    </row>
    <row r="23" spans="1:12">
      <c r="A23" s="980">
        <v>11</v>
      </c>
      <c r="C23" s="839"/>
      <c r="D23" s="593"/>
      <c r="E23" s="839"/>
      <c r="F23" s="593"/>
      <c r="G23" s="839"/>
      <c r="H23" s="1000"/>
      <c r="I23" s="1000"/>
      <c r="J23" s="593"/>
      <c r="K23" s="593"/>
      <c r="L23" s="839"/>
    </row>
    <row r="24" spans="1:12" ht="30">
      <c r="A24" s="980">
        <v>12</v>
      </c>
      <c r="B24" s="984" t="s">
        <v>860</v>
      </c>
      <c r="C24" s="839"/>
      <c r="D24" s="1000"/>
      <c r="E24" s="839"/>
      <c r="F24" s="1000"/>
      <c r="G24" s="839"/>
      <c r="H24" s="1000"/>
      <c r="I24" s="1000"/>
      <c r="J24" s="593"/>
      <c r="K24" s="1000"/>
      <c r="L24" s="839"/>
    </row>
    <row r="25" spans="1:12" ht="8.4499999999999993" customHeight="1">
      <c r="A25" s="980"/>
      <c r="B25" s="984"/>
      <c r="C25" s="839"/>
      <c r="D25" s="1000"/>
      <c r="E25" s="839"/>
      <c r="F25" s="1000"/>
      <c r="G25" s="839"/>
      <c r="H25" s="1000"/>
      <c r="I25" s="1000"/>
      <c r="J25" s="593"/>
      <c r="K25" s="1000"/>
      <c r="L25" s="839"/>
    </row>
    <row r="26" spans="1:12">
      <c r="A26" s="980">
        <v>13</v>
      </c>
      <c r="B26" s="381" t="s">
        <v>834</v>
      </c>
      <c r="C26" s="839"/>
      <c r="D26" s="985">
        <v>-83</v>
      </c>
      <c r="E26" s="839"/>
      <c r="F26" s="985"/>
      <c r="G26" s="839"/>
      <c r="H26" s="985"/>
      <c r="I26" s="1000"/>
      <c r="J26" s="985"/>
      <c r="K26" s="593"/>
      <c r="L26" s="985"/>
    </row>
    <row r="27" spans="1:12">
      <c r="A27" s="980">
        <v>14</v>
      </c>
      <c r="B27" s="381" t="s">
        <v>835</v>
      </c>
      <c r="C27" s="839"/>
      <c r="D27" s="1001">
        <v>-36</v>
      </c>
      <c r="E27" s="839"/>
      <c r="F27" s="1001"/>
      <c r="G27" s="839"/>
      <c r="H27" s="1001"/>
      <c r="I27" s="1000"/>
      <c r="J27" s="1001"/>
      <c r="K27" s="1001"/>
      <c r="L27" s="1001"/>
    </row>
    <row r="28" spans="1:12">
      <c r="A28" s="980">
        <v>15</v>
      </c>
      <c r="B28" s="381" t="s">
        <v>839</v>
      </c>
      <c r="C28" s="839"/>
      <c r="D28" s="1001">
        <v>-7323</v>
      </c>
      <c r="E28" s="839"/>
      <c r="F28" s="1001"/>
      <c r="G28" s="839"/>
      <c r="H28" s="1001"/>
      <c r="I28" s="1000"/>
      <c r="J28" s="1001"/>
      <c r="K28" s="1001"/>
      <c r="L28" s="1001"/>
    </row>
    <row r="29" spans="1:12" ht="17.25">
      <c r="A29" s="980">
        <v>16</v>
      </c>
      <c r="B29" s="381" t="s">
        <v>836</v>
      </c>
      <c r="C29" s="839"/>
      <c r="D29" s="1002">
        <v>214</v>
      </c>
      <c r="E29" s="839"/>
      <c r="F29" s="1002"/>
      <c r="G29" s="839"/>
      <c r="H29" s="1002"/>
      <c r="I29" s="1000"/>
      <c r="J29" s="1002"/>
      <c r="K29" s="1002"/>
      <c r="L29" s="1002"/>
    </row>
    <row r="30" spans="1:12">
      <c r="A30" s="980">
        <v>17</v>
      </c>
      <c r="C30" s="839"/>
      <c r="D30" s="593">
        <f>SUM(D26:D29)</f>
        <v>-7228</v>
      </c>
      <c r="E30" s="839"/>
      <c r="F30" s="593"/>
      <c r="G30" s="839"/>
      <c r="H30" s="593"/>
      <c r="I30" s="1000"/>
      <c r="J30" s="593"/>
      <c r="K30" s="593"/>
      <c r="L30" s="593"/>
    </row>
    <row r="31" spans="1:12">
      <c r="A31" s="980">
        <v>18</v>
      </c>
      <c r="C31" s="839"/>
      <c r="D31" s="593"/>
      <c r="E31" s="839"/>
      <c r="F31" s="593"/>
      <c r="G31" s="839"/>
      <c r="H31" s="1000"/>
      <c r="I31" s="1000"/>
      <c r="J31" s="593"/>
      <c r="K31" s="593"/>
      <c r="L31" s="839"/>
    </row>
    <row r="32" spans="1:12" ht="30">
      <c r="A32" s="980">
        <v>19</v>
      </c>
      <c r="B32" s="984" t="s">
        <v>861</v>
      </c>
      <c r="D32" s="983"/>
      <c r="F32" s="983"/>
      <c r="H32" s="983"/>
      <c r="I32" s="983"/>
      <c r="J32" s="934"/>
      <c r="K32" s="983"/>
    </row>
    <row r="33" spans="1:12" ht="8.4499999999999993" customHeight="1">
      <c r="A33" s="980"/>
      <c r="B33" s="984"/>
      <c r="D33" s="983"/>
      <c r="F33" s="983"/>
      <c r="H33" s="983"/>
      <c r="I33" s="983"/>
      <c r="J33" s="934"/>
      <c r="K33" s="983"/>
    </row>
    <row r="34" spans="1:12">
      <c r="A34" s="980">
        <v>20</v>
      </c>
      <c r="B34" s="381" t="s">
        <v>834</v>
      </c>
      <c r="D34" s="985"/>
      <c r="F34" s="985">
        <v>-137</v>
      </c>
      <c r="H34" s="985">
        <v>-146</v>
      </c>
      <c r="I34" s="983"/>
      <c r="J34" s="985">
        <v>-133</v>
      </c>
      <c r="K34" s="985"/>
    </row>
    <row r="35" spans="1:12">
      <c r="A35" s="980">
        <v>21</v>
      </c>
      <c r="B35" s="381" t="s">
        <v>835</v>
      </c>
      <c r="D35" s="1001"/>
      <c r="F35" s="1001">
        <v>-57</v>
      </c>
      <c r="H35" s="1001">
        <v>-64</v>
      </c>
      <c r="I35" s="983"/>
      <c r="J35" s="1001">
        <v>-60</v>
      </c>
      <c r="K35" s="1001"/>
    </row>
    <row r="36" spans="1:12">
      <c r="A36" s="980">
        <v>22</v>
      </c>
      <c r="B36" s="381" t="s">
        <v>839</v>
      </c>
      <c r="D36" s="1001"/>
      <c r="F36" s="1001">
        <v>-12568</v>
      </c>
      <c r="H36" s="1001">
        <v>-12027</v>
      </c>
      <c r="I36" s="983"/>
      <c r="J36" s="1001">
        <v>-11717</v>
      </c>
      <c r="K36" s="1001"/>
    </row>
    <row r="37" spans="1:12" ht="17.25">
      <c r="A37" s="980">
        <v>23</v>
      </c>
      <c r="B37" s="381" t="s">
        <v>836</v>
      </c>
      <c r="D37" s="1002"/>
      <c r="F37" s="1002">
        <v>369</v>
      </c>
      <c r="H37" s="1002">
        <v>339</v>
      </c>
      <c r="I37" s="983"/>
      <c r="J37" s="1002">
        <v>309</v>
      </c>
      <c r="K37" s="1002"/>
    </row>
    <row r="38" spans="1:12">
      <c r="A38" s="980">
        <v>24</v>
      </c>
      <c r="D38" s="593"/>
      <c r="F38" s="593">
        <f t="shared" ref="F38" si="0">SUM(F34:F37)</f>
        <v>-12393</v>
      </c>
      <c r="H38" s="593">
        <f>SUM(H34:H37)</f>
        <v>-11898</v>
      </c>
      <c r="I38" s="983"/>
      <c r="J38" s="593">
        <f>SUM(J34:J37)</f>
        <v>-11601</v>
      </c>
      <c r="K38" s="593"/>
    </row>
    <row r="39" spans="1:12">
      <c r="A39" s="980">
        <v>25</v>
      </c>
      <c r="D39" s="983"/>
      <c r="F39" s="983"/>
      <c r="H39" s="983"/>
      <c r="I39" s="983"/>
      <c r="J39" s="934"/>
      <c r="K39" s="983"/>
    </row>
    <row r="40" spans="1:12" ht="30">
      <c r="A40" s="980">
        <v>26</v>
      </c>
      <c r="B40" s="984" t="s">
        <v>862</v>
      </c>
      <c r="D40" s="983"/>
      <c r="F40" s="983"/>
      <c r="H40" s="983"/>
      <c r="I40" s="983"/>
      <c r="J40" s="934"/>
      <c r="K40" s="983"/>
    </row>
    <row r="41" spans="1:12" ht="6.6" customHeight="1">
      <c r="A41" s="980"/>
      <c r="B41" s="984"/>
      <c r="D41" s="983"/>
      <c r="F41" s="983"/>
      <c r="H41" s="983"/>
      <c r="I41" s="983"/>
      <c r="J41" s="934"/>
      <c r="K41" s="983"/>
    </row>
    <row r="42" spans="1:12">
      <c r="A42" s="980">
        <v>27</v>
      </c>
      <c r="B42" s="381" t="s">
        <v>834</v>
      </c>
      <c r="D42" s="983"/>
      <c r="F42" s="985">
        <v>-5</v>
      </c>
      <c r="H42" s="985">
        <v>-6</v>
      </c>
      <c r="I42" s="983"/>
      <c r="J42" s="985">
        <v>-4</v>
      </c>
      <c r="K42" s="983"/>
      <c r="L42" s="985">
        <v>-5</v>
      </c>
    </row>
    <row r="43" spans="1:12">
      <c r="A43" s="980">
        <v>28</v>
      </c>
      <c r="B43" s="381" t="s">
        <v>835</v>
      </c>
      <c r="D43" s="983"/>
      <c r="F43" s="1001">
        <v>-2</v>
      </c>
      <c r="H43" s="1001">
        <v>-3</v>
      </c>
      <c r="I43" s="983"/>
      <c r="J43" s="1001">
        <v>-2</v>
      </c>
      <c r="K43" s="983"/>
      <c r="L43" s="1001">
        <v>-2</v>
      </c>
    </row>
    <row r="44" spans="1:12">
      <c r="A44" s="980">
        <v>29</v>
      </c>
      <c r="B44" s="381" t="s">
        <v>839</v>
      </c>
      <c r="D44" s="983"/>
      <c r="F44" s="1001">
        <v>-412</v>
      </c>
      <c r="H44" s="1001">
        <v>-469</v>
      </c>
      <c r="I44" s="983"/>
      <c r="J44" s="1001">
        <v>-380</v>
      </c>
      <c r="K44" s="983"/>
      <c r="L44" s="1001">
        <v>-500</v>
      </c>
    </row>
    <row r="45" spans="1:12" ht="17.25">
      <c r="A45" s="980">
        <v>30</v>
      </c>
      <c r="B45" s="381" t="s">
        <v>836</v>
      </c>
      <c r="D45" s="983"/>
      <c r="F45" s="1002">
        <v>12</v>
      </c>
      <c r="H45" s="1002">
        <v>13</v>
      </c>
      <c r="I45" s="983"/>
      <c r="J45" s="1002">
        <v>10</v>
      </c>
      <c r="K45" s="983"/>
      <c r="L45" s="1002">
        <v>13</v>
      </c>
    </row>
    <row r="46" spans="1:12">
      <c r="A46" s="980">
        <v>31</v>
      </c>
      <c r="D46" s="983"/>
      <c r="F46" s="593">
        <f t="shared" ref="F46" si="1">SUM(F42:F45)</f>
        <v>-407</v>
      </c>
      <c r="H46" s="593">
        <f>SUM(H42:H45)</f>
        <v>-465</v>
      </c>
      <c r="I46" s="983"/>
      <c r="J46" s="593">
        <f>SUM(J42:J45)</f>
        <v>-376</v>
      </c>
      <c r="K46" s="983"/>
      <c r="L46" s="593">
        <f>SUM(L42:L45)</f>
        <v>-494</v>
      </c>
    </row>
    <row r="47" spans="1:12">
      <c r="A47" s="980">
        <v>32</v>
      </c>
      <c r="D47" s="983"/>
      <c r="F47" s="983"/>
      <c r="H47" s="983"/>
      <c r="I47" s="983"/>
      <c r="J47" s="934"/>
      <c r="K47" s="983"/>
    </row>
    <row r="48" spans="1:12">
      <c r="A48" s="980">
        <v>33</v>
      </c>
      <c r="B48" s="933" t="s">
        <v>840</v>
      </c>
      <c r="D48" s="934">
        <f>D12+D22+D30+D38+D46</f>
        <v>61960701</v>
      </c>
      <c r="F48" s="934">
        <f>F12+F22+F30+F38+F46</f>
        <v>69846477</v>
      </c>
      <c r="H48" s="934">
        <f>H12+H22+H30+H38+H46</f>
        <v>61320676</v>
      </c>
      <c r="I48" s="934"/>
      <c r="J48" s="934">
        <f>J12+J22+J30+J38+J46</f>
        <v>81686620</v>
      </c>
      <c r="K48" s="934"/>
      <c r="L48" s="934">
        <f>L12+L22+L30+L38+L46</f>
        <v>87018167</v>
      </c>
    </row>
    <row r="49" spans="1:14">
      <c r="A49" s="980">
        <v>34</v>
      </c>
      <c r="D49" s="983"/>
      <c r="F49" s="983"/>
      <c r="H49" s="983"/>
      <c r="I49" s="983"/>
      <c r="J49" s="934"/>
      <c r="K49" s="983"/>
      <c r="L49" s="934"/>
    </row>
    <row r="50" spans="1:14">
      <c r="A50" s="980">
        <v>35</v>
      </c>
      <c r="B50" s="933" t="s">
        <v>863</v>
      </c>
      <c r="D50" s="934">
        <f>D12-D48</f>
        <v>13704</v>
      </c>
      <c r="F50" s="934">
        <f>F12-F48</f>
        <v>37835</v>
      </c>
      <c r="H50" s="934">
        <f>H12-H48</f>
        <v>34391</v>
      </c>
      <c r="I50" s="934"/>
      <c r="J50" s="934">
        <f>J12-J48</f>
        <v>42552</v>
      </c>
      <c r="K50" s="934"/>
      <c r="L50" s="934">
        <f>L12-L48</f>
        <v>-36490</v>
      </c>
    </row>
    <row r="51" spans="1:14">
      <c r="A51" s="980">
        <v>36</v>
      </c>
    </row>
    <row r="52" spans="1:14">
      <c r="A52" s="980">
        <v>37</v>
      </c>
      <c r="B52" s="933" t="s">
        <v>842</v>
      </c>
      <c r="D52" s="1003">
        <v>3.2500000000000001E-2</v>
      </c>
      <c r="F52" s="1003">
        <v>3.2500000000000001E-2</v>
      </c>
      <c r="H52" s="1003">
        <v>3.2500000000000001E-2</v>
      </c>
      <c r="J52" s="1003">
        <v>3.2500000000000001E-2</v>
      </c>
      <c r="K52" s="1003"/>
      <c r="L52" s="1003">
        <v>3.2500000000000001E-2</v>
      </c>
    </row>
    <row r="53" spans="1:14">
      <c r="A53" s="980">
        <v>38</v>
      </c>
    </row>
    <row r="54" spans="1:14">
      <c r="A54" s="980">
        <v>39</v>
      </c>
      <c r="B54" s="933" t="s">
        <v>864</v>
      </c>
      <c r="D54" s="1004">
        <v>6.5</v>
      </c>
      <c r="E54" s="1004"/>
      <c r="F54" s="1004">
        <v>5.5</v>
      </c>
      <c r="G54" s="1004"/>
      <c r="H54" s="1004">
        <v>4.5</v>
      </c>
      <c r="I54" s="1004"/>
      <c r="J54" s="1004">
        <v>3.5</v>
      </c>
      <c r="K54" s="1004"/>
      <c r="L54" s="1004">
        <v>2.5</v>
      </c>
    </row>
    <row r="55" spans="1:14">
      <c r="A55" s="980">
        <v>40</v>
      </c>
    </row>
    <row r="56" spans="1:14">
      <c r="A56" s="980">
        <v>41</v>
      </c>
      <c r="B56" s="984" t="s">
        <v>865</v>
      </c>
      <c r="D56" s="934">
        <f>ROUND((D50*(1+D52/4)^(4*D54))-D50,0)</f>
        <v>3209</v>
      </c>
      <c r="F56" s="934">
        <f>ROUND((F50*(1+F52/4)^(4*F54))-F50,0)</f>
        <v>7372</v>
      </c>
      <c r="H56" s="934">
        <f>ROUND((H50*(1+H52/4)^(4*H54))-H50,0)</f>
        <v>5393</v>
      </c>
      <c r="J56" s="934">
        <f>ROUND((J50*(1+J52/4)^(4*J54))-J50,0)</f>
        <v>5104</v>
      </c>
      <c r="L56" s="934">
        <f>ROUND((L50*(1+L52/4)^(4*L54))-L50,0)</f>
        <v>-3076</v>
      </c>
    </row>
    <row r="57" spans="1:14">
      <c r="A57" s="980">
        <v>42</v>
      </c>
    </row>
    <row r="58" spans="1:14" ht="30">
      <c r="A58" s="980">
        <v>43</v>
      </c>
      <c r="B58" s="984" t="s">
        <v>843</v>
      </c>
      <c r="C58" s="839"/>
      <c r="D58" s="382">
        <f>D50+D56</f>
        <v>16913</v>
      </c>
      <c r="E58" s="839"/>
      <c r="F58" s="382">
        <f>F50+F56</f>
        <v>45207</v>
      </c>
      <c r="G58" s="1005"/>
      <c r="H58" s="382">
        <f>H50+H56</f>
        <v>39784</v>
      </c>
      <c r="I58" s="1005"/>
      <c r="J58" s="382">
        <f>J50+J56</f>
        <v>47656</v>
      </c>
      <c r="K58" s="382"/>
      <c r="L58" s="382">
        <f>L50+L56</f>
        <v>-39566</v>
      </c>
      <c r="N58" s="382">
        <f>F58+H58+J58+L58+D58</f>
        <v>109994</v>
      </c>
    </row>
    <row r="59" spans="1:14">
      <c r="A59" s="980">
        <v>44</v>
      </c>
    </row>
    <row r="60" spans="1:14">
      <c r="A60" s="980">
        <v>45</v>
      </c>
      <c r="B60" s="933" t="s">
        <v>866</v>
      </c>
      <c r="D60" s="1006">
        <v>5.5500000000000001E-2</v>
      </c>
      <c r="E60" s="839"/>
      <c r="F60" s="1006">
        <v>5.5500000000000001E-2</v>
      </c>
      <c r="G60" s="839"/>
      <c r="H60" s="1006">
        <v>5.5500000000000001E-2</v>
      </c>
      <c r="I60" s="839"/>
      <c r="J60" s="1006">
        <v>5.5500000000000001E-2</v>
      </c>
      <c r="K60" s="839"/>
      <c r="L60" s="1006">
        <v>5.5500000000000001E-2</v>
      </c>
      <c r="M60" s="839"/>
      <c r="N60" s="839"/>
    </row>
    <row r="61" spans="1:14">
      <c r="A61" s="980">
        <v>46</v>
      </c>
      <c r="D61" s="839"/>
      <c r="E61" s="839"/>
      <c r="F61" s="839"/>
      <c r="G61" s="839"/>
      <c r="H61" s="839"/>
      <c r="I61" s="839"/>
      <c r="J61" s="839"/>
      <c r="K61" s="839"/>
      <c r="L61" s="839"/>
      <c r="M61" s="839"/>
      <c r="N61" s="839"/>
    </row>
    <row r="62" spans="1:14" ht="18" thickBot="1">
      <c r="A62" s="980">
        <v>47</v>
      </c>
      <c r="B62" s="933" t="s">
        <v>867</v>
      </c>
      <c r="D62" s="368">
        <f>ROUND(D58*D60,0)</f>
        <v>939</v>
      </c>
      <c r="E62" s="839"/>
      <c r="F62" s="368">
        <f>ROUND(F58*F60,0)</f>
        <v>2509</v>
      </c>
      <c r="G62" s="839"/>
      <c r="H62" s="368">
        <f>ROUND(H58*H60,0)</f>
        <v>2208</v>
      </c>
      <c r="I62" s="839"/>
      <c r="J62" s="368">
        <f>ROUND(J58*J60,0)</f>
        <v>2645</v>
      </c>
      <c r="K62" s="839"/>
      <c r="L62" s="368">
        <f>ROUND(L58*L60,0)</f>
        <v>-2196</v>
      </c>
      <c r="M62" s="839"/>
      <c r="N62" s="1007">
        <f>F62+H62+J62+L62+D62</f>
        <v>6105</v>
      </c>
    </row>
    <row r="63" spans="1:14" ht="15.75" thickTop="1"/>
  </sheetData>
  <pageMargins left="1" right="0.7" top="0.25" bottom="0.25" header="0" footer="0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M584"/>
  <sheetViews>
    <sheetView tabSelected="1" zoomScale="75" zoomScaleNormal="75" zoomScaleSheetLayoutView="75" zoomScalePageLayoutView="90" workbookViewId="0">
      <selection activeCell="C25" sqref="C25"/>
    </sheetView>
  </sheetViews>
  <sheetFormatPr defaultColWidth="8.77734375" defaultRowHeight="15"/>
  <cols>
    <col min="1" max="1" width="6" style="12" customWidth="1"/>
    <col min="2" max="2" width="1.44140625" style="12" customWidth="1"/>
    <col min="3" max="3" width="60.33203125" style="12" customWidth="1"/>
    <col min="4" max="4" width="23.44140625" style="12" customWidth="1"/>
    <col min="5" max="5" width="15.5546875" style="12" customWidth="1"/>
    <col min="6" max="6" width="5.77734375" style="12" customWidth="1"/>
    <col min="7" max="7" width="5.6640625" style="12" customWidth="1"/>
    <col min="8" max="8" width="10.6640625" style="12" customWidth="1"/>
    <col min="9" max="9" width="5.77734375" style="12" customWidth="1"/>
    <col min="10" max="10" width="20.6640625" style="12" customWidth="1"/>
    <col min="11" max="11" width="3.44140625" style="12" customWidth="1"/>
    <col min="12" max="12" width="7" style="12" customWidth="1"/>
    <col min="13" max="13" width="1.109375" style="12" customWidth="1"/>
    <col min="14" max="16384" width="8.77734375" style="12"/>
  </cols>
  <sheetData>
    <row r="1" spans="1:13" ht="18">
      <c r="A1" s="245"/>
      <c r="C1" s="29"/>
      <c r="D1" s="29"/>
      <c r="E1" s="30"/>
      <c r="F1" s="29"/>
      <c r="G1" s="29"/>
      <c r="H1" s="29"/>
      <c r="I1" s="31"/>
      <c r="J1" s="77" t="s">
        <v>365</v>
      </c>
      <c r="K1" s="91"/>
      <c r="M1" s="91"/>
    </row>
    <row r="2" spans="1:13">
      <c r="C2" s="29"/>
      <c r="D2" s="29"/>
      <c r="E2" s="30"/>
      <c r="F2" s="29"/>
      <c r="G2" s="29"/>
      <c r="H2" s="29"/>
      <c r="I2" s="31"/>
      <c r="J2" s="77" t="s">
        <v>565</v>
      </c>
      <c r="M2" s="77"/>
    </row>
    <row r="3" spans="1:13">
      <c r="C3" s="29"/>
      <c r="D3" s="29"/>
      <c r="E3" s="30"/>
      <c r="F3" s="29"/>
      <c r="G3" s="29"/>
      <c r="H3" s="29"/>
      <c r="I3" s="31"/>
      <c r="K3" s="1"/>
      <c r="M3" s="77"/>
    </row>
    <row r="4" spans="1:13">
      <c r="C4" s="29"/>
      <c r="D4" s="29"/>
      <c r="E4" s="30"/>
      <c r="F4" s="29"/>
      <c r="G4" s="29"/>
      <c r="H4" s="29"/>
      <c r="I4" s="31"/>
      <c r="K4" s="1"/>
      <c r="M4" s="77"/>
    </row>
    <row r="5" spans="1:13">
      <c r="C5" s="29"/>
      <c r="D5" s="29"/>
      <c r="E5" s="30"/>
      <c r="F5" s="29"/>
      <c r="G5" s="29"/>
      <c r="H5" s="29"/>
      <c r="I5" s="31"/>
      <c r="K5" s="1"/>
      <c r="L5" s="1"/>
      <c r="M5" s="77"/>
    </row>
    <row r="6" spans="1:13">
      <c r="C6" s="29"/>
      <c r="D6" s="29"/>
      <c r="E6" s="30"/>
      <c r="F6" s="29"/>
      <c r="G6" s="29"/>
      <c r="H6" s="29"/>
      <c r="I6" s="31"/>
      <c r="J6" s="1"/>
      <c r="K6" s="1"/>
      <c r="L6" s="1"/>
      <c r="M6" s="1"/>
    </row>
    <row r="7" spans="1:13">
      <c r="C7" s="29" t="s">
        <v>11</v>
      </c>
      <c r="D7" s="29"/>
      <c r="E7" s="30"/>
      <c r="F7" s="29"/>
      <c r="G7" s="29"/>
      <c r="H7" s="485"/>
      <c r="I7" s="486"/>
      <c r="J7" s="607" t="str">
        <f>"For the 12 months ended: "&amp;TEXT(INPUT!B1,"mm/dd/yyyy")</f>
        <v>For the 12 months ended: 12/31/2016</v>
      </c>
      <c r="K7" s="66"/>
      <c r="L7" s="1"/>
      <c r="M7" s="1"/>
    </row>
    <row r="8" spans="1:13">
      <c r="A8" s="303" t="s">
        <v>309</v>
      </c>
      <c r="B8" s="277"/>
      <c r="C8" s="277"/>
      <c r="D8" s="275"/>
      <c r="E8" s="277"/>
      <c r="F8" s="275"/>
      <c r="G8" s="275"/>
      <c r="H8" s="275"/>
      <c r="I8" s="275"/>
      <c r="J8" s="276"/>
      <c r="K8" s="1"/>
      <c r="L8" s="1"/>
      <c r="M8" s="1"/>
    </row>
    <row r="9" spans="1:13">
      <c r="A9" s="278" t="s">
        <v>327</v>
      </c>
      <c r="B9" s="277"/>
      <c r="C9" s="275"/>
      <c r="D9" s="278"/>
      <c r="E9" s="277"/>
      <c r="F9" s="278"/>
      <c r="G9" s="278"/>
      <c r="H9" s="278"/>
      <c r="I9" s="275"/>
      <c r="J9" s="275"/>
      <c r="K9" s="1"/>
      <c r="L9" s="1"/>
      <c r="M9" s="1"/>
    </row>
    <row r="10" spans="1:13">
      <c r="A10" s="271"/>
      <c r="B10" s="277"/>
      <c r="C10" s="271"/>
      <c r="D10" s="271"/>
      <c r="E10" s="277"/>
      <c r="F10" s="271"/>
      <c r="G10" s="271"/>
      <c r="H10" s="271"/>
      <c r="I10" s="271"/>
      <c r="J10" s="271"/>
      <c r="K10" s="1"/>
      <c r="L10" s="1"/>
      <c r="M10" s="1"/>
    </row>
    <row r="11" spans="1:13" ht="15.75">
      <c r="A11" s="487" t="s">
        <v>533</v>
      </c>
      <c r="B11" s="488"/>
      <c r="C11" s="489"/>
      <c r="D11" s="489"/>
      <c r="E11" s="488"/>
      <c r="F11" s="489"/>
      <c r="G11" s="489"/>
      <c r="H11" s="489"/>
      <c r="I11" s="489"/>
      <c r="J11" s="489"/>
      <c r="K11" s="1"/>
      <c r="L11" s="1"/>
      <c r="M11" s="1"/>
    </row>
    <row r="12" spans="1:13">
      <c r="A12" s="32"/>
      <c r="C12" s="1"/>
      <c r="D12" s="1"/>
      <c r="E12" s="21"/>
      <c r="F12" s="1"/>
      <c r="G12" s="1"/>
      <c r="H12" s="1"/>
      <c r="I12" s="1"/>
      <c r="J12" s="1"/>
      <c r="K12" s="1"/>
      <c r="L12" s="1"/>
      <c r="M12" s="1"/>
    </row>
    <row r="13" spans="1:13">
      <c r="A13" s="32" t="s">
        <v>13</v>
      </c>
      <c r="C13" s="1"/>
      <c r="D13" s="1"/>
      <c r="E13" s="21"/>
      <c r="F13" s="1"/>
      <c r="G13" s="1"/>
      <c r="H13" s="1"/>
      <c r="I13" s="1"/>
      <c r="J13" s="32" t="s">
        <v>14</v>
      </c>
      <c r="K13" s="1"/>
      <c r="L13" s="1"/>
      <c r="M13" s="1"/>
    </row>
    <row r="14" spans="1:13">
      <c r="A14" s="288" t="s">
        <v>15</v>
      </c>
      <c r="B14" s="295"/>
      <c r="C14" s="296"/>
      <c r="D14" s="296"/>
      <c r="E14" s="296"/>
      <c r="F14" s="296"/>
      <c r="G14" s="296"/>
      <c r="H14" s="296"/>
      <c r="I14" s="296"/>
      <c r="J14" s="288" t="s">
        <v>16</v>
      </c>
      <c r="K14" s="1"/>
      <c r="L14" s="1"/>
      <c r="M14" s="1"/>
    </row>
    <row r="15" spans="1:13">
      <c r="A15" s="32">
        <v>1</v>
      </c>
      <c r="C15" s="1" t="s">
        <v>402</v>
      </c>
      <c r="D15" s="1"/>
      <c r="E15" s="2"/>
      <c r="F15" s="1"/>
      <c r="G15" s="1"/>
      <c r="H15" s="1"/>
      <c r="I15" s="1"/>
      <c r="J15" s="36">
        <f>J186</f>
        <v>113208727.88228931</v>
      </c>
      <c r="K15" s="1"/>
      <c r="M15" s="1"/>
    </row>
    <row r="16" spans="1:13">
      <c r="A16" s="32"/>
      <c r="C16" s="1"/>
      <c r="D16" s="1"/>
      <c r="E16" s="1"/>
      <c r="F16" s="1"/>
      <c r="G16" s="1"/>
      <c r="H16" s="1"/>
      <c r="I16" s="1"/>
      <c r="J16" s="2"/>
      <c r="K16" s="1"/>
      <c r="M16" s="1"/>
    </row>
    <row r="17" spans="1:13">
      <c r="A17" s="32"/>
      <c r="C17" s="1"/>
      <c r="D17" s="1"/>
      <c r="E17" s="1"/>
      <c r="F17" s="1"/>
      <c r="G17" s="1"/>
      <c r="H17" s="1"/>
      <c r="I17" s="1"/>
      <c r="J17" s="2"/>
      <c r="K17" s="1"/>
      <c r="M17" s="1"/>
    </row>
    <row r="18" spans="1:13" ht="15.75" thickBot="1">
      <c r="A18" s="32" t="s">
        <v>12</v>
      </c>
      <c r="C18" s="429" t="s">
        <v>450</v>
      </c>
      <c r="E18" s="40" t="s">
        <v>17</v>
      </c>
      <c r="F18" s="5"/>
      <c r="G18" s="49" t="s">
        <v>18</v>
      </c>
      <c r="H18" s="49"/>
      <c r="I18" s="1"/>
      <c r="J18" s="2"/>
      <c r="K18" s="1"/>
      <c r="L18" s="1"/>
      <c r="M18" s="1"/>
    </row>
    <row r="19" spans="1:13">
      <c r="A19" s="32">
        <v>2</v>
      </c>
      <c r="C19" s="3" t="s">
        <v>425</v>
      </c>
      <c r="D19" s="756" t="s">
        <v>153</v>
      </c>
      <c r="E19" s="364">
        <f>J262</f>
        <v>195317</v>
      </c>
      <c r="F19" s="364"/>
      <c r="G19" s="364" t="s">
        <v>19</v>
      </c>
      <c r="H19" s="19">
        <f>J$210</f>
        <v>0.98016717656788599</v>
      </c>
      <c r="I19" s="364"/>
      <c r="J19" s="364">
        <f t="shared" ref="J19:J26" si="0">H19*E19</f>
        <v>191443.3124257098</v>
      </c>
      <c r="K19" s="1"/>
      <c r="L19" s="1"/>
      <c r="M19" s="1"/>
    </row>
    <row r="20" spans="1:13">
      <c r="A20" s="32">
        <v>3</v>
      </c>
      <c r="C20" s="3" t="s">
        <v>461</v>
      </c>
      <c r="D20" s="756" t="s">
        <v>373</v>
      </c>
      <c r="E20" s="223">
        <f>J264</f>
        <v>748292</v>
      </c>
      <c r="F20" s="364"/>
      <c r="G20" s="364" t="str">
        <f>G$19</f>
        <v>TP</v>
      </c>
      <c r="H20" s="19">
        <f>J$210</f>
        <v>0.98016717656788599</v>
      </c>
      <c r="I20" s="364"/>
      <c r="J20" s="223">
        <f t="shared" si="0"/>
        <v>733451.2568883365</v>
      </c>
      <c r="K20" s="1"/>
      <c r="L20" s="1"/>
      <c r="M20" s="1"/>
    </row>
    <row r="21" spans="1:13">
      <c r="A21" s="32" t="s">
        <v>356</v>
      </c>
      <c r="C21" s="38" t="s">
        <v>426</v>
      </c>
      <c r="D21" s="5"/>
      <c r="E21" s="366">
        <f>DEO!E21+DEK!E21</f>
        <v>0</v>
      </c>
      <c r="F21" s="364"/>
      <c r="G21" s="364" t="str">
        <f>G$19</f>
        <v>TP</v>
      </c>
      <c r="H21" s="19">
        <f>J$210</f>
        <v>0.98016717656788599</v>
      </c>
      <c r="I21" s="364"/>
      <c r="J21" s="223">
        <f t="shared" si="0"/>
        <v>0</v>
      </c>
      <c r="K21" s="1"/>
      <c r="L21" s="1"/>
      <c r="M21" s="1"/>
    </row>
    <row r="22" spans="1:13">
      <c r="A22" s="32" t="s">
        <v>357</v>
      </c>
      <c r="C22" s="38" t="s">
        <v>556</v>
      </c>
      <c r="D22" s="5"/>
      <c r="E22" s="366">
        <f>DEO!E22+DEK!E22</f>
        <v>0</v>
      </c>
      <c r="F22" s="364"/>
      <c r="G22" s="364" t="str">
        <f>G$19</f>
        <v>TP</v>
      </c>
      <c r="H22" s="19">
        <f>J$210</f>
        <v>0.98016717656788599</v>
      </c>
      <c r="I22" s="364"/>
      <c r="J22" s="223">
        <f t="shared" si="0"/>
        <v>0</v>
      </c>
      <c r="K22" s="1"/>
      <c r="L22" s="1"/>
      <c r="M22" s="1"/>
    </row>
    <row r="23" spans="1:13">
      <c r="A23" s="32" t="s">
        <v>175</v>
      </c>
      <c r="C23" s="38" t="s">
        <v>551</v>
      </c>
      <c r="D23" s="5"/>
      <c r="E23" s="223">
        <f>'Appx C - DEOK(MTEP)'!X88</f>
        <v>2698319.1568297967</v>
      </c>
      <c r="F23" s="364"/>
      <c r="G23" s="364"/>
      <c r="H23" s="508">
        <v>1</v>
      </c>
      <c r="I23" s="364"/>
      <c r="J23" s="223">
        <f t="shared" si="0"/>
        <v>2698319.1568297967</v>
      </c>
      <c r="K23" s="1"/>
      <c r="L23" s="1"/>
      <c r="M23" s="1"/>
    </row>
    <row r="24" spans="1:13">
      <c r="A24" s="32" t="s">
        <v>358</v>
      </c>
      <c r="C24" s="451" t="s">
        <v>552</v>
      </c>
      <c r="D24" s="5"/>
      <c r="E24" s="601">
        <f>DEO!E24+DEK!E24</f>
        <v>4.7820428728562797E-3</v>
      </c>
      <c r="F24" s="364"/>
      <c r="G24" s="364"/>
      <c r="H24" s="508">
        <v>1</v>
      </c>
      <c r="I24" s="364"/>
      <c r="J24" s="687">
        <f t="shared" si="0"/>
        <v>4.7820428728562797E-3</v>
      </c>
      <c r="K24" s="1"/>
      <c r="L24" s="1"/>
      <c r="M24" s="1"/>
    </row>
    <row r="25" spans="1:13" s="933" customFormat="1">
      <c r="A25" s="806"/>
      <c r="C25" s="990" t="s">
        <v>845</v>
      </c>
      <c r="D25" s="835"/>
      <c r="E25" s="991">
        <f>'Corrections due FERC Audit'!N58</f>
        <v>109994</v>
      </c>
      <c r="F25" s="934"/>
      <c r="G25" s="934"/>
      <c r="H25" s="508">
        <v>1</v>
      </c>
      <c r="I25" s="934"/>
      <c r="J25" s="992">
        <f t="shared" si="0"/>
        <v>109994</v>
      </c>
      <c r="K25" s="867"/>
      <c r="L25" s="867"/>
      <c r="M25" s="867"/>
    </row>
    <row r="26" spans="1:13" s="874" customFormat="1">
      <c r="A26" s="806"/>
      <c r="C26" s="990" t="s">
        <v>846</v>
      </c>
      <c r="D26" s="759"/>
      <c r="E26" s="991">
        <f>'Corrections to May 2016 filing'!F40</f>
        <v>3025411</v>
      </c>
      <c r="F26" s="594"/>
      <c r="G26" s="594"/>
      <c r="H26" s="508">
        <v>1</v>
      </c>
      <c r="I26" s="594"/>
      <c r="J26" s="993">
        <f t="shared" si="0"/>
        <v>3025411</v>
      </c>
      <c r="K26" s="867"/>
      <c r="L26" s="867"/>
      <c r="M26" s="867"/>
    </row>
    <row r="27" spans="1:13">
      <c r="A27" s="32">
        <v>6</v>
      </c>
      <c r="C27" s="3" t="s">
        <v>631</v>
      </c>
      <c r="D27" s="1"/>
      <c r="E27" s="17" t="s">
        <v>12</v>
      </c>
      <c r="F27" s="5"/>
      <c r="G27" s="5"/>
      <c r="H27" s="19"/>
      <c r="I27" s="5"/>
      <c r="J27" s="364">
        <f>SUM(J19:J26)</f>
        <v>6758618.730925886</v>
      </c>
      <c r="K27" s="1"/>
      <c r="L27" s="1"/>
      <c r="M27" s="1"/>
    </row>
    <row r="28" spans="1:13">
      <c r="A28" s="32"/>
      <c r="D28" s="1"/>
      <c r="E28" s="5" t="s">
        <v>12</v>
      </c>
      <c r="F28" s="1"/>
      <c r="G28" s="1"/>
      <c r="H28" s="19"/>
      <c r="I28" s="1"/>
      <c r="K28" s="1"/>
      <c r="L28" s="1"/>
      <c r="M28" s="1"/>
    </row>
    <row r="29" spans="1:13">
      <c r="A29" s="32"/>
      <c r="C29" s="3"/>
      <c r="D29" s="1"/>
      <c r="J29" s="5"/>
      <c r="K29" s="1"/>
      <c r="L29" s="1"/>
      <c r="M29" s="1"/>
    </row>
    <row r="30" spans="1:13" ht="15.75" thickBot="1">
      <c r="A30" s="32">
        <v>7</v>
      </c>
      <c r="C30" s="3" t="s">
        <v>20</v>
      </c>
      <c r="D30" s="757" t="s">
        <v>154</v>
      </c>
      <c r="E30" s="17" t="s">
        <v>12</v>
      </c>
      <c r="F30" s="5"/>
      <c r="G30" s="5"/>
      <c r="H30" s="5"/>
      <c r="I30" s="5"/>
      <c r="J30" s="50">
        <f>J15-J27</f>
        <v>106450109.15136342</v>
      </c>
      <c r="K30" s="1"/>
      <c r="L30" s="1"/>
      <c r="M30" s="1"/>
    </row>
    <row r="31" spans="1:13" ht="15.75" thickTop="1">
      <c r="A31" s="32"/>
      <c r="D31" s="1"/>
      <c r="E31" s="17"/>
      <c r="F31" s="5"/>
      <c r="G31" s="5"/>
      <c r="H31" s="5"/>
      <c r="I31" s="5"/>
      <c r="K31" s="1"/>
      <c r="L31" s="1"/>
      <c r="M31" s="1"/>
    </row>
    <row r="32" spans="1:13">
      <c r="A32" s="32"/>
      <c r="D32" s="5"/>
      <c r="J32" s="5"/>
      <c r="K32" s="1"/>
      <c r="L32" s="1"/>
      <c r="M32" s="1"/>
    </row>
    <row r="33" spans="1:13">
      <c r="A33" s="32"/>
      <c r="C33" s="3" t="s">
        <v>374</v>
      </c>
      <c r="D33" s="1"/>
      <c r="E33" s="2"/>
      <c r="F33" s="1"/>
      <c r="G33" s="1"/>
      <c r="H33" s="1"/>
      <c r="I33" s="1"/>
      <c r="J33" s="2"/>
      <c r="K33" s="1"/>
      <c r="L33" s="1"/>
      <c r="M33" s="1"/>
    </row>
    <row r="34" spans="1:13">
      <c r="A34" s="32">
        <v>8</v>
      </c>
      <c r="C34" s="426" t="s">
        <v>430</v>
      </c>
      <c r="E34" s="2"/>
      <c r="F34" s="1"/>
      <c r="G34" s="1"/>
      <c r="H34" s="60"/>
      <c r="I34" s="1"/>
      <c r="J34" s="229">
        <f>MAX(PeakKW_DEOK)</f>
        <v>5308000</v>
      </c>
      <c r="K34" s="1"/>
      <c r="L34" s="1"/>
      <c r="M34" s="1"/>
    </row>
    <row r="35" spans="1:13">
      <c r="A35" s="32">
        <v>9</v>
      </c>
      <c r="C35" s="427" t="s">
        <v>431</v>
      </c>
      <c r="D35" s="37"/>
      <c r="E35" s="37"/>
      <c r="F35" s="37"/>
      <c r="G35" s="37"/>
      <c r="H35" s="37"/>
      <c r="I35" s="5"/>
      <c r="J35" s="229">
        <f>DEO!J33+DEK!J33</f>
        <v>4370667</v>
      </c>
      <c r="K35" s="1"/>
      <c r="L35" s="1"/>
      <c r="M35" s="1"/>
    </row>
    <row r="36" spans="1:13">
      <c r="A36" s="32"/>
      <c r="C36" s="3"/>
      <c r="D36" s="1"/>
      <c r="E36" s="1"/>
      <c r="F36" s="1"/>
      <c r="G36" s="1"/>
      <c r="H36" s="1"/>
      <c r="I36" s="1"/>
      <c r="J36" s="230"/>
      <c r="K36" s="1"/>
      <c r="L36" s="1"/>
      <c r="M36" s="1"/>
    </row>
    <row r="37" spans="1:13">
      <c r="A37" s="32">
        <v>10</v>
      </c>
      <c r="C37" s="3" t="s">
        <v>360</v>
      </c>
      <c r="D37" s="1"/>
      <c r="E37" s="36"/>
      <c r="F37" s="36"/>
      <c r="G37" s="36"/>
      <c r="H37" s="36"/>
      <c r="I37" s="36"/>
      <c r="J37" s="36"/>
      <c r="K37" s="1"/>
      <c r="L37" s="1"/>
      <c r="M37" s="1"/>
    </row>
    <row r="38" spans="1:13">
      <c r="A38" s="32">
        <v>11</v>
      </c>
      <c r="C38" s="3" t="s">
        <v>360</v>
      </c>
      <c r="D38" s="1"/>
      <c r="E38" s="36"/>
      <c r="F38" s="36"/>
      <c r="G38" s="36"/>
      <c r="H38" s="36"/>
      <c r="I38" s="36"/>
      <c r="J38" s="36"/>
      <c r="K38" s="1"/>
      <c r="L38" s="1"/>
      <c r="M38" s="1"/>
    </row>
    <row r="39" spans="1:13">
      <c r="A39" s="32">
        <v>12</v>
      </c>
      <c r="C39" s="3" t="s">
        <v>360</v>
      </c>
      <c r="D39" s="1"/>
      <c r="E39" s="36"/>
      <c r="F39" s="36"/>
      <c r="G39" s="36"/>
      <c r="H39" s="36"/>
      <c r="I39" s="36"/>
      <c r="J39" s="36"/>
      <c r="K39" s="1"/>
      <c r="L39" s="1"/>
      <c r="M39" s="1"/>
    </row>
    <row r="40" spans="1:13">
      <c r="A40" s="32">
        <v>13</v>
      </c>
      <c r="C40" s="3" t="s">
        <v>360</v>
      </c>
      <c r="D40" s="1"/>
      <c r="E40" s="36"/>
      <c r="F40" s="36"/>
      <c r="G40" s="36"/>
      <c r="H40" s="36"/>
      <c r="I40" s="36"/>
      <c r="J40" s="36"/>
      <c r="K40" s="1"/>
      <c r="L40" s="1"/>
      <c r="M40" s="1"/>
    </row>
    <row r="41" spans="1:13">
      <c r="A41" s="32">
        <v>14</v>
      </c>
      <c r="C41" s="3" t="s">
        <v>360</v>
      </c>
      <c r="D41" s="1"/>
      <c r="E41" s="36"/>
      <c r="F41" s="36"/>
      <c r="G41" s="36"/>
      <c r="H41" s="36"/>
      <c r="I41" s="36"/>
      <c r="J41" s="36"/>
      <c r="K41" s="1"/>
      <c r="L41" s="1"/>
      <c r="M41" s="1"/>
    </row>
    <row r="42" spans="1:13">
      <c r="A42" s="32"/>
      <c r="C42" s="3"/>
      <c r="D42" s="1"/>
      <c r="E42" s="36"/>
      <c r="F42" s="36"/>
      <c r="G42" s="36"/>
      <c r="H42" s="36"/>
      <c r="I42" s="36"/>
      <c r="J42" s="36"/>
      <c r="K42" s="1"/>
      <c r="L42" s="1"/>
      <c r="M42" s="1"/>
    </row>
    <row r="43" spans="1:13">
      <c r="A43" s="233">
        <v>15</v>
      </c>
      <c r="C43" s="3" t="s">
        <v>330</v>
      </c>
      <c r="D43" s="757" t="s">
        <v>375</v>
      </c>
      <c r="E43" s="25">
        <f>IF(J34&gt;0,J30/J34,0)</f>
        <v>20.054655077498762</v>
      </c>
      <c r="F43" s="36"/>
      <c r="G43" s="36"/>
      <c r="H43" s="1008"/>
      <c r="I43" s="36"/>
      <c r="J43" s="1009"/>
      <c r="K43" s="1"/>
      <c r="L43" s="1"/>
      <c r="M43" s="1"/>
    </row>
    <row r="44" spans="1:13">
      <c r="A44" s="233"/>
      <c r="C44" s="3"/>
      <c r="D44" s="1"/>
      <c r="E44" s="25"/>
      <c r="F44" s="36"/>
      <c r="G44" s="36"/>
      <c r="H44" s="36"/>
      <c r="I44" s="36"/>
      <c r="J44" s="364"/>
      <c r="K44" s="1"/>
      <c r="L44" s="1"/>
      <c r="M44" s="1"/>
    </row>
    <row r="45" spans="1:13">
      <c r="A45" s="233">
        <v>16</v>
      </c>
      <c r="C45" s="3" t="s">
        <v>473</v>
      </c>
      <c r="D45" s="757" t="s">
        <v>474</v>
      </c>
      <c r="E45" s="25">
        <f>IF(J35&gt;0,J30/J35,0)</f>
        <v>24.355575282071001</v>
      </c>
      <c r="F45" s="36"/>
      <c r="G45" s="36"/>
      <c r="H45" s="36"/>
      <c r="I45" s="36"/>
      <c r="J45" s="364"/>
      <c r="K45" s="1"/>
      <c r="L45" s="1"/>
      <c r="M45" s="1"/>
    </row>
    <row r="46" spans="1:13">
      <c r="A46" s="233"/>
      <c r="C46" s="3"/>
      <c r="D46" s="1"/>
      <c r="E46" s="25"/>
      <c r="F46" s="36"/>
      <c r="G46" s="36"/>
      <c r="H46" s="36"/>
      <c r="I46" s="36"/>
      <c r="J46" s="364"/>
      <c r="K46" s="1"/>
      <c r="L46" s="1"/>
      <c r="M46" s="1"/>
    </row>
    <row r="47" spans="1:13">
      <c r="A47" s="233">
        <v>17</v>
      </c>
      <c r="C47" s="3" t="s">
        <v>475</v>
      </c>
      <c r="D47" s="757" t="s">
        <v>476</v>
      </c>
      <c r="E47" s="25">
        <f>ROUND(E43/12,9)</f>
        <v>1.6712212559999999</v>
      </c>
      <c r="F47" s="36"/>
      <c r="G47" s="36"/>
      <c r="H47" s="36"/>
      <c r="I47" s="36"/>
      <c r="J47" s="364"/>
      <c r="K47" s="1"/>
      <c r="L47" s="1"/>
      <c r="M47" s="1"/>
    </row>
    <row r="48" spans="1:13">
      <c r="A48" s="233"/>
      <c r="C48" s="3"/>
      <c r="D48" s="1"/>
      <c r="E48" s="25"/>
      <c r="F48" s="36"/>
      <c r="G48" s="36"/>
      <c r="H48" s="36"/>
      <c r="I48" s="36"/>
      <c r="J48" s="364"/>
      <c r="K48" s="1"/>
      <c r="L48" s="1"/>
      <c r="M48" s="1"/>
    </row>
    <row r="49" spans="1:13">
      <c r="A49" s="233" t="s">
        <v>472</v>
      </c>
      <c r="C49" s="3" t="s">
        <v>477</v>
      </c>
      <c r="D49" s="757" t="s">
        <v>478</v>
      </c>
      <c r="E49" s="25">
        <f>ROUND($E$45/12,9)</f>
        <v>2.0296312740000002</v>
      </c>
      <c r="F49" s="36"/>
      <c r="G49" s="36"/>
      <c r="H49" s="36"/>
      <c r="I49" s="36"/>
      <c r="J49" s="364"/>
      <c r="K49" s="1"/>
      <c r="L49" s="1"/>
      <c r="M49" s="1"/>
    </row>
    <row r="50" spans="1:13">
      <c r="A50" s="233"/>
      <c r="C50" s="3"/>
      <c r="D50" s="1"/>
      <c r="E50" s="25"/>
      <c r="F50" s="36"/>
      <c r="G50" s="36"/>
      <c r="H50" s="36"/>
      <c r="I50" s="36"/>
      <c r="J50" s="364"/>
      <c r="K50" s="1"/>
      <c r="L50" s="1"/>
      <c r="M50" s="1"/>
    </row>
    <row r="51" spans="1:13">
      <c r="A51" s="233"/>
      <c r="C51" s="3"/>
      <c r="D51" s="1"/>
      <c r="E51" s="449" t="s">
        <v>485</v>
      </c>
      <c r="F51" s="210"/>
      <c r="G51" s="210"/>
      <c r="I51" s="36"/>
      <c r="J51" s="449" t="s">
        <v>486</v>
      </c>
      <c r="K51" s="1"/>
      <c r="L51" s="1"/>
      <c r="M51" s="1"/>
    </row>
    <row r="52" spans="1:13">
      <c r="A52" s="233"/>
      <c r="C52" s="3"/>
      <c r="D52" s="1"/>
      <c r="E52" s="449"/>
      <c r="F52" s="210"/>
      <c r="G52" s="210"/>
      <c r="I52" s="36"/>
      <c r="J52" s="449"/>
      <c r="K52" s="1"/>
      <c r="L52" s="1"/>
      <c r="M52" s="1"/>
    </row>
    <row r="53" spans="1:13">
      <c r="A53" s="233">
        <v>18</v>
      </c>
      <c r="C53" s="3" t="s">
        <v>479</v>
      </c>
      <c r="D53" s="757" t="s">
        <v>482</v>
      </c>
      <c r="E53" s="25">
        <f>ROUND($E$45/52,9)</f>
        <v>0.468376448</v>
      </c>
      <c r="F53" s="36"/>
      <c r="G53" s="36"/>
      <c r="H53" s="36"/>
      <c r="I53" s="36"/>
      <c r="J53" s="364"/>
      <c r="K53" s="1"/>
      <c r="L53" s="1"/>
      <c r="M53" s="1"/>
    </row>
    <row r="54" spans="1:13">
      <c r="A54" s="233"/>
      <c r="C54" s="3"/>
      <c r="D54" s="1"/>
      <c r="E54" s="25"/>
      <c r="F54" s="36"/>
      <c r="G54" s="36"/>
      <c r="H54" s="36"/>
      <c r="I54" s="36"/>
      <c r="J54" s="364"/>
      <c r="K54" s="1"/>
      <c r="L54" s="1"/>
      <c r="M54" s="1"/>
    </row>
    <row r="55" spans="1:13">
      <c r="A55" s="233">
        <v>19</v>
      </c>
      <c r="C55" s="3" t="s">
        <v>480</v>
      </c>
      <c r="D55" s="757" t="s">
        <v>483</v>
      </c>
      <c r="E55" s="25">
        <f>ROUND($E$45/260,9)</f>
        <v>9.3675289999999994E-2</v>
      </c>
      <c r="F55" s="36" t="s">
        <v>487</v>
      </c>
      <c r="G55" s="36"/>
      <c r="H55" s="36"/>
      <c r="I55" s="36"/>
      <c r="J55" s="25">
        <f>ROUND($E$45/365,9)</f>
        <v>6.6727603999999996E-2</v>
      </c>
      <c r="K55" s="1"/>
      <c r="L55" s="1"/>
      <c r="M55" s="1"/>
    </row>
    <row r="56" spans="1:13">
      <c r="A56" s="233"/>
      <c r="C56" s="3"/>
      <c r="D56" s="1"/>
      <c r="E56" s="25"/>
      <c r="F56" s="36"/>
      <c r="G56" s="36"/>
      <c r="H56" s="36"/>
      <c r="I56" s="36"/>
      <c r="J56" s="25"/>
      <c r="K56" s="1"/>
      <c r="L56" s="1"/>
      <c r="M56" s="1"/>
    </row>
    <row r="57" spans="1:13" ht="30">
      <c r="A57" s="233">
        <v>20</v>
      </c>
      <c r="C57" s="3" t="s">
        <v>481</v>
      </c>
      <c r="D57" s="758" t="s">
        <v>484</v>
      </c>
      <c r="E57" s="25">
        <f>IF(ISERR(ROUND(($J$30/$J$35)/4160,4))=TRUE,0,ROUND(($J$30/$J$35)/4160,4))</f>
        <v>5.8999999999999999E-3</v>
      </c>
      <c r="F57" s="36" t="s">
        <v>488</v>
      </c>
      <c r="G57" s="36"/>
      <c r="H57" s="36"/>
      <c r="I57" s="36"/>
      <c r="J57" s="25">
        <f>IF(ISERR(ROUND(($J$30/$J$35)/8760*1000,4)=TRUE),0,ROUND(($J$30/$J$35)/8760*1000,4))</f>
        <v>2.7803</v>
      </c>
      <c r="K57" s="1"/>
      <c r="L57" s="1"/>
      <c r="M57" s="1"/>
    </row>
    <row r="58" spans="1:13">
      <c r="C58" s="3"/>
      <c r="D58" s="1"/>
      <c r="E58" s="30"/>
      <c r="F58" s="29"/>
      <c r="G58" s="29"/>
      <c r="H58" s="29"/>
      <c r="I58" s="31"/>
      <c r="K58" s="32"/>
      <c r="L58" s="92"/>
      <c r="M58" s="1"/>
    </row>
    <row r="59" spans="1:13" ht="18">
      <c r="A59" s="245"/>
      <c r="C59" s="29"/>
      <c r="D59" s="29"/>
      <c r="E59" s="30"/>
      <c r="F59" s="29"/>
      <c r="G59" s="29"/>
      <c r="H59" s="29"/>
      <c r="I59" s="31"/>
      <c r="J59" s="77" t="s">
        <v>365</v>
      </c>
      <c r="K59" s="91"/>
      <c r="M59" s="91"/>
    </row>
    <row r="60" spans="1:13">
      <c r="C60" s="29"/>
      <c r="D60" s="29"/>
      <c r="E60" s="30"/>
      <c r="F60" s="29"/>
      <c r="G60" s="29"/>
      <c r="H60" s="29"/>
      <c r="I60" s="31"/>
      <c r="J60" s="77" t="s">
        <v>566</v>
      </c>
      <c r="M60" s="77"/>
    </row>
    <row r="61" spans="1:13">
      <c r="C61" s="29"/>
      <c r="D61" s="29"/>
      <c r="E61" s="30"/>
      <c r="F61" s="29"/>
      <c r="G61" s="29"/>
      <c r="H61" s="29"/>
      <c r="I61" s="31"/>
      <c r="K61" s="1"/>
      <c r="M61" s="77"/>
    </row>
    <row r="62" spans="1:13">
      <c r="C62" s="29"/>
      <c r="D62" s="29"/>
      <c r="E62" s="30"/>
      <c r="F62" s="29"/>
      <c r="G62" s="29"/>
      <c r="H62" s="29"/>
      <c r="I62" s="31"/>
      <c r="K62" s="1"/>
      <c r="M62" s="77"/>
    </row>
    <row r="63" spans="1:13">
      <c r="C63" s="29"/>
      <c r="D63" s="29"/>
      <c r="E63" s="30"/>
      <c r="F63" s="29"/>
      <c r="G63" s="29"/>
      <c r="H63" s="29"/>
      <c r="I63" s="31"/>
      <c r="K63" s="1"/>
      <c r="M63" s="77"/>
    </row>
    <row r="64" spans="1:13">
      <c r="C64" s="29"/>
      <c r="D64" s="29"/>
      <c r="E64" s="30"/>
      <c r="F64" s="29"/>
      <c r="G64" s="29"/>
      <c r="H64" s="29"/>
      <c r="I64" s="31"/>
      <c r="J64" s="77"/>
      <c r="K64" s="1"/>
      <c r="M64" s="77"/>
    </row>
    <row r="65" spans="1:13">
      <c r="C65" s="29" t="s">
        <v>11</v>
      </c>
      <c r="D65" s="29"/>
      <c r="E65" s="30"/>
      <c r="F65" s="29"/>
      <c r="G65" s="29"/>
      <c r="H65" s="29"/>
      <c r="I65" s="31"/>
      <c r="J65" s="92" t="str">
        <f>J7</f>
        <v>For the 12 months ended: 12/31/2016</v>
      </c>
      <c r="K65" s="5"/>
      <c r="M65" s="77"/>
    </row>
    <row r="66" spans="1:13">
      <c r="A66" s="275" t="str">
        <f>A8</f>
        <v>Rate Formula Template</v>
      </c>
      <c r="B66" s="277"/>
      <c r="C66" s="277"/>
      <c r="D66" s="275"/>
      <c r="E66" s="277"/>
      <c r="F66" s="275"/>
      <c r="G66" s="275"/>
      <c r="H66" s="275"/>
      <c r="I66" s="275"/>
      <c r="J66" s="277"/>
      <c r="K66" s="5"/>
      <c r="L66" s="277"/>
      <c r="M66" s="1"/>
    </row>
    <row r="67" spans="1:13">
      <c r="A67" s="278" t="s">
        <v>327</v>
      </c>
      <c r="B67" s="277"/>
      <c r="C67" s="275"/>
      <c r="D67" s="278"/>
      <c r="E67" s="277"/>
      <c r="F67" s="278"/>
      <c r="G67" s="278"/>
      <c r="H67" s="278"/>
      <c r="I67" s="275"/>
      <c r="J67" s="275"/>
      <c r="K67" s="5"/>
      <c r="L67" s="271"/>
      <c r="M67" s="1"/>
    </row>
    <row r="68" spans="1:13">
      <c r="A68" s="271"/>
      <c r="B68" s="277"/>
      <c r="C68" s="271"/>
      <c r="D68" s="271"/>
      <c r="E68" s="277"/>
      <c r="F68" s="271"/>
      <c r="G68" s="271"/>
      <c r="H68" s="271"/>
      <c r="I68" s="271"/>
      <c r="J68" s="271"/>
      <c r="K68" s="5"/>
      <c r="L68" s="271"/>
      <c r="M68" s="1"/>
    </row>
    <row r="69" spans="1:13" ht="15.75">
      <c r="A69" s="425" t="str">
        <f>$A$11</f>
        <v>DUKE ENERGY OHIO AND DUKE ENERGY KENTUCKY (DEOK)</v>
      </c>
      <c r="B69" s="277"/>
      <c r="C69" s="271"/>
      <c r="D69" s="271"/>
      <c r="E69" s="277"/>
      <c r="F69" s="271"/>
      <c r="G69" s="271"/>
      <c r="H69" s="271"/>
      <c r="I69" s="271"/>
      <c r="J69" s="271"/>
      <c r="K69" s="5"/>
      <c r="L69" s="271"/>
      <c r="M69" s="5"/>
    </row>
    <row r="70" spans="1:13">
      <c r="C70" s="3"/>
      <c r="D70" s="1"/>
      <c r="E70" s="277"/>
      <c r="F70" s="271"/>
      <c r="G70" s="271"/>
      <c r="H70" s="271"/>
      <c r="I70" s="271"/>
      <c r="J70" s="271"/>
      <c r="K70" s="5"/>
      <c r="L70" s="271"/>
      <c r="M70" s="5"/>
    </row>
    <row r="71" spans="1:13">
      <c r="C71" s="4" t="s">
        <v>24</v>
      </c>
      <c r="D71" s="4" t="s">
        <v>25</v>
      </c>
      <c r="E71" s="4" t="s">
        <v>26</v>
      </c>
      <c r="F71" s="5" t="s">
        <v>12</v>
      </c>
      <c r="G71" s="5"/>
      <c r="H71" s="7" t="s">
        <v>27</v>
      </c>
      <c r="I71" s="5"/>
      <c r="J71" s="8" t="s">
        <v>28</v>
      </c>
      <c r="K71" s="5"/>
      <c r="L71" s="4"/>
      <c r="M71" s="5"/>
    </row>
    <row r="72" spans="1:13" ht="15.75">
      <c r="A72" s="33" t="s">
        <v>13</v>
      </c>
      <c r="B72" s="379"/>
      <c r="C72" s="13"/>
      <c r="D72" s="26" t="s">
        <v>29</v>
      </c>
      <c r="E72" s="434"/>
      <c r="F72" s="434"/>
      <c r="G72" s="434"/>
      <c r="H72" s="33"/>
      <c r="I72" s="434"/>
      <c r="J72" s="33" t="s">
        <v>30</v>
      </c>
      <c r="K72" s="5"/>
      <c r="L72" s="4"/>
      <c r="M72" s="5"/>
    </row>
    <row r="73" spans="1:13" ht="16.5" thickBot="1">
      <c r="A73" s="298" t="s">
        <v>15</v>
      </c>
      <c r="B73" s="701"/>
      <c r="C73" s="289" t="s">
        <v>33</v>
      </c>
      <c r="D73" s="436" t="s">
        <v>31</v>
      </c>
      <c r="E73" s="437" t="s">
        <v>32</v>
      </c>
      <c r="F73" s="10"/>
      <c r="G73" s="438" t="s">
        <v>18</v>
      </c>
      <c r="H73" s="438"/>
      <c r="I73" s="10"/>
      <c r="J73" s="435" t="s">
        <v>420</v>
      </c>
      <c r="K73" s="5"/>
      <c r="L73" s="4"/>
      <c r="M73" s="1"/>
    </row>
    <row r="74" spans="1:13">
      <c r="D74" s="5"/>
      <c r="E74" s="5"/>
      <c r="F74" s="5"/>
      <c r="G74" s="5"/>
      <c r="H74" s="5"/>
      <c r="I74" s="5"/>
      <c r="J74" s="5"/>
      <c r="K74" s="5"/>
      <c r="L74" s="5"/>
      <c r="M74" s="1"/>
    </row>
    <row r="75" spans="1:13">
      <c r="A75" s="32"/>
      <c r="C75" s="3"/>
      <c r="D75" s="5"/>
      <c r="E75" s="5"/>
      <c r="F75" s="5"/>
      <c r="G75" s="5"/>
      <c r="H75" s="5"/>
      <c r="I75" s="5"/>
      <c r="J75" s="5"/>
      <c r="K75" s="5"/>
      <c r="L75" s="5"/>
      <c r="M75" s="1"/>
    </row>
    <row r="76" spans="1:13">
      <c r="A76" s="32"/>
      <c r="C76" s="763" t="s">
        <v>34</v>
      </c>
      <c r="D76" s="5"/>
      <c r="E76" s="5"/>
      <c r="F76" s="5"/>
      <c r="G76" s="5"/>
      <c r="H76" s="5"/>
      <c r="I76" s="5"/>
      <c r="J76" s="5"/>
      <c r="K76" s="5"/>
      <c r="L76" s="5"/>
      <c r="M76" s="1"/>
    </row>
    <row r="77" spans="1:13" ht="15.95" customHeight="1">
      <c r="A77" s="32">
        <v>1</v>
      </c>
      <c r="C77" s="763" t="s">
        <v>35</v>
      </c>
      <c r="D77" s="931" t="s">
        <v>219</v>
      </c>
      <c r="E77" s="492">
        <f>DEO!E75+DEK!E75</f>
        <v>1039170801</v>
      </c>
      <c r="F77" s="5"/>
      <c r="G77" s="5" t="s">
        <v>36</v>
      </c>
      <c r="H77" s="14" t="s">
        <v>12</v>
      </c>
      <c r="I77" s="5"/>
      <c r="J77" s="225" t="s">
        <v>12</v>
      </c>
      <c r="K77" s="5"/>
      <c r="L77" s="5"/>
      <c r="M77" s="1"/>
    </row>
    <row r="78" spans="1:13" ht="15.95" customHeight="1">
      <c r="A78" s="32">
        <v>2</v>
      </c>
      <c r="C78" s="763" t="s">
        <v>37</v>
      </c>
      <c r="D78" s="931" t="s">
        <v>204</v>
      </c>
      <c r="E78" s="366">
        <f>DEO!E76+DEK!E76</f>
        <v>828471249</v>
      </c>
      <c r="F78" s="5"/>
      <c r="G78" s="5" t="s">
        <v>19</v>
      </c>
      <c r="H78" s="14">
        <f>J210</f>
        <v>0.98016717656788599</v>
      </c>
      <c r="I78" s="5"/>
      <c r="J78" s="84">
        <f>H78*E78</f>
        <v>812040325</v>
      </c>
      <c r="K78" s="5"/>
      <c r="L78" s="5"/>
      <c r="M78" s="1"/>
    </row>
    <row r="79" spans="1:13" ht="15.95" customHeight="1">
      <c r="A79" s="32">
        <v>3</v>
      </c>
      <c r="C79" s="763" t="s">
        <v>38</v>
      </c>
      <c r="D79" s="931" t="s">
        <v>205</v>
      </c>
      <c r="E79" s="366">
        <f>DEO!E77+DEK!E77</f>
        <v>2815724184</v>
      </c>
      <c r="F79" s="5"/>
      <c r="G79" s="5" t="s">
        <v>36</v>
      </c>
      <c r="H79" s="14" t="s">
        <v>12</v>
      </c>
      <c r="I79" s="5"/>
      <c r="J79" s="225">
        <v>0</v>
      </c>
      <c r="K79" s="5"/>
      <c r="L79" s="5"/>
      <c r="M79" s="1"/>
    </row>
    <row r="80" spans="1:13" ht="15.95" customHeight="1">
      <c r="A80" s="32">
        <v>4</v>
      </c>
      <c r="C80" s="763" t="s">
        <v>39</v>
      </c>
      <c r="D80" s="931" t="s">
        <v>0</v>
      </c>
      <c r="E80" s="366">
        <f>DEO!E78+DEK!E78</f>
        <v>271864784</v>
      </c>
      <c r="F80" s="5"/>
      <c r="G80" s="5" t="s">
        <v>40</v>
      </c>
      <c r="H80" s="14">
        <f>J228</f>
        <v>0.12196246180373871</v>
      </c>
      <c r="I80" s="5"/>
      <c r="J80" s="225">
        <f>H80*E80</f>
        <v>33157298.334381673</v>
      </c>
      <c r="K80" s="5"/>
      <c r="L80" s="5"/>
      <c r="M80" s="5"/>
    </row>
    <row r="81" spans="1:13" ht="15.75" thickBot="1">
      <c r="A81" s="32">
        <v>5</v>
      </c>
      <c r="C81" s="763" t="s">
        <v>41</v>
      </c>
      <c r="D81" s="932" t="s">
        <v>42</v>
      </c>
      <c r="E81" s="490">
        <f>DEO!E79+DEK!E79</f>
        <v>245790379</v>
      </c>
      <c r="F81" s="5"/>
      <c r="G81" s="5" t="s">
        <v>93</v>
      </c>
      <c r="H81" s="14">
        <f>L232</f>
        <v>8.5362673222162233E-2</v>
      </c>
      <c r="I81" s="5"/>
      <c r="J81" s="226">
        <f>H81*E81</f>
        <v>20981323.803728405</v>
      </c>
      <c r="K81" s="5"/>
      <c r="L81" s="5"/>
      <c r="M81" s="5"/>
    </row>
    <row r="82" spans="1:13">
      <c r="A82" s="32">
        <v>6</v>
      </c>
      <c r="C82" s="765" t="s">
        <v>43</v>
      </c>
      <c r="D82" s="756"/>
      <c r="E82" s="84">
        <f>SUM(E77:E81)</f>
        <v>5201021397</v>
      </c>
      <c r="F82" s="5"/>
      <c r="G82" s="5" t="s">
        <v>44</v>
      </c>
      <c r="H82" s="439">
        <f>IF(J82&gt;0,J82/E82,0)</f>
        <v>0.16654016221462398</v>
      </c>
      <c r="I82" s="5"/>
      <c r="J82" s="84">
        <f>SUM(J77:J81)</f>
        <v>866178947.13811016</v>
      </c>
      <c r="K82" s="5"/>
      <c r="L82" s="18"/>
      <c r="M82" s="1"/>
    </row>
    <row r="83" spans="1:13">
      <c r="C83" s="763"/>
      <c r="D83" s="756"/>
      <c r="E83" s="223"/>
      <c r="F83" s="5"/>
      <c r="G83" s="5"/>
      <c r="H83" s="18"/>
      <c r="I83" s="5"/>
      <c r="J83" s="225"/>
      <c r="K83" s="5"/>
      <c r="L83" s="18"/>
      <c r="M83" s="1"/>
    </row>
    <row r="84" spans="1:13">
      <c r="C84" s="763" t="s">
        <v>45</v>
      </c>
      <c r="D84" s="756"/>
      <c r="E84" s="223"/>
      <c r="F84" s="5"/>
      <c r="G84" s="5"/>
      <c r="H84" s="5"/>
      <c r="I84" s="5"/>
      <c r="J84" s="225"/>
      <c r="K84" s="5"/>
      <c r="L84" s="5"/>
      <c r="M84" s="1"/>
    </row>
    <row r="85" spans="1:13">
      <c r="A85" s="32">
        <v>7</v>
      </c>
      <c r="C85" s="763" t="s">
        <v>35</v>
      </c>
      <c r="D85" s="756" t="s">
        <v>197</v>
      </c>
      <c r="E85" s="492">
        <f>DEO!E83+DEK!E83</f>
        <v>623282995</v>
      </c>
      <c r="F85" s="5"/>
      <c r="G85" s="5" t="str">
        <f t="shared" ref="G85:H89" si="1">G77</f>
        <v>NA</v>
      </c>
      <c r="H85" s="14" t="str">
        <f t="shared" si="1"/>
        <v xml:space="preserve"> </v>
      </c>
      <c r="I85" s="5"/>
      <c r="J85" s="225" t="s">
        <v>12</v>
      </c>
      <c r="K85" s="5"/>
      <c r="L85" s="5"/>
      <c r="M85" s="1"/>
    </row>
    <row r="86" spans="1:13">
      <c r="A86" s="32">
        <v>8</v>
      </c>
      <c r="C86" s="763" t="s">
        <v>37</v>
      </c>
      <c r="D86" s="756" t="s">
        <v>185</v>
      </c>
      <c r="E86" s="366">
        <f>DEO!E84+DEK!E84</f>
        <v>262288538</v>
      </c>
      <c r="F86" s="5"/>
      <c r="G86" s="5" t="str">
        <f t="shared" si="1"/>
        <v>TP</v>
      </c>
      <c r="H86" s="14">
        <f t="shared" si="1"/>
        <v>0.98016717656788599</v>
      </c>
      <c r="I86" s="5"/>
      <c r="J86" s="84">
        <f>H86*E86</f>
        <v>257086615.73757866</v>
      </c>
      <c r="K86" s="5"/>
      <c r="L86" s="5"/>
      <c r="M86" s="1"/>
    </row>
    <row r="87" spans="1:13">
      <c r="A87" s="32">
        <v>9</v>
      </c>
      <c r="C87" s="763" t="s">
        <v>38</v>
      </c>
      <c r="D87" s="756" t="s">
        <v>186</v>
      </c>
      <c r="E87" s="366">
        <f>DEO!E85+DEK!E85</f>
        <v>905578762</v>
      </c>
      <c r="F87" s="5"/>
      <c r="G87" s="5" t="str">
        <f t="shared" si="1"/>
        <v>NA</v>
      </c>
      <c r="H87" s="14" t="str">
        <f t="shared" si="1"/>
        <v xml:space="preserve"> </v>
      </c>
      <c r="I87" s="5"/>
      <c r="J87" s="225" t="s">
        <v>12</v>
      </c>
      <c r="K87" s="5"/>
      <c r="L87" s="5"/>
      <c r="M87" s="1"/>
    </row>
    <row r="88" spans="1:13">
      <c r="A88" s="32">
        <v>10</v>
      </c>
      <c r="C88" s="763" t="s">
        <v>39</v>
      </c>
      <c r="D88" s="756" t="s">
        <v>677</v>
      </c>
      <c r="E88" s="366">
        <f>DEO!E86+DEK!E86</f>
        <v>108881219</v>
      </c>
      <c r="F88" s="5"/>
      <c r="G88" s="5" t="str">
        <f t="shared" si="1"/>
        <v>W/S</v>
      </c>
      <c r="H88" s="14">
        <f t="shared" si="1"/>
        <v>0.12196246180373871</v>
      </c>
      <c r="I88" s="5"/>
      <c r="J88" s="225">
        <f>H88*E88</f>
        <v>13279421.513432009</v>
      </c>
      <c r="K88" s="5"/>
      <c r="L88" s="5"/>
      <c r="M88" s="1"/>
    </row>
    <row r="89" spans="1:13" ht="15.75" thickBot="1">
      <c r="A89" s="32">
        <v>11</v>
      </c>
      <c r="C89" s="763" t="s">
        <v>41</v>
      </c>
      <c r="D89" s="756" t="s">
        <v>42</v>
      </c>
      <c r="E89" s="490">
        <f>DEO!E87+DEK!E87</f>
        <v>106481732</v>
      </c>
      <c r="F89" s="5"/>
      <c r="G89" s="5" t="str">
        <f t="shared" si="1"/>
        <v>CE</v>
      </c>
      <c r="H89" s="14">
        <f t="shared" si="1"/>
        <v>8.5362673222162233E-2</v>
      </c>
      <c r="I89" s="5"/>
      <c r="J89" s="226">
        <f>H89*E89</f>
        <v>9089565.2928458545</v>
      </c>
      <c r="K89" s="5"/>
      <c r="L89" s="5"/>
      <c r="M89" s="1"/>
    </row>
    <row r="90" spans="1:13">
      <c r="A90" s="32">
        <v>12</v>
      </c>
      <c r="C90" s="763" t="s">
        <v>46</v>
      </c>
      <c r="D90" s="756"/>
      <c r="E90" s="84">
        <f>SUM(E85:E89)</f>
        <v>2006513246</v>
      </c>
      <c r="F90" s="5"/>
      <c r="G90" s="5"/>
      <c r="H90" s="5"/>
      <c r="I90" s="5"/>
      <c r="J90" s="84">
        <f>SUM(J85:J89)</f>
        <v>279455602.5438565</v>
      </c>
      <c r="K90" s="5"/>
      <c r="L90" s="5"/>
      <c r="M90" s="1"/>
    </row>
    <row r="91" spans="1:13">
      <c r="A91" s="32"/>
      <c r="C91" s="762"/>
      <c r="D91" s="756" t="s">
        <v>12</v>
      </c>
      <c r="E91" s="223"/>
      <c r="F91" s="5"/>
      <c r="G91" s="5"/>
      <c r="H91" s="18"/>
      <c r="I91" s="5"/>
      <c r="J91" s="225"/>
      <c r="K91" s="5"/>
      <c r="L91" s="18"/>
      <c r="M91" s="1"/>
    </row>
    <row r="92" spans="1:13">
      <c r="A92" s="32"/>
      <c r="C92" s="763" t="s">
        <v>47</v>
      </c>
      <c r="D92" s="756"/>
      <c r="E92" s="223"/>
      <c r="F92" s="5"/>
      <c r="G92" s="5"/>
      <c r="H92" s="5"/>
      <c r="I92" s="5"/>
      <c r="J92" s="225"/>
      <c r="K92" s="5"/>
      <c r="L92" s="5"/>
      <c r="M92" s="1"/>
    </row>
    <row r="93" spans="1:13">
      <c r="A93" s="32">
        <v>13</v>
      </c>
      <c r="C93" s="763" t="s">
        <v>35</v>
      </c>
      <c r="D93" s="756" t="s">
        <v>418</v>
      </c>
      <c r="E93" s="84">
        <f>E77-E85</f>
        <v>415887806</v>
      </c>
      <c r="F93" s="5"/>
      <c r="G93" s="5"/>
      <c r="H93" s="18"/>
      <c r="I93" s="5"/>
      <c r="J93" s="225" t="s">
        <v>12</v>
      </c>
      <c r="K93" s="5"/>
      <c r="L93" s="18"/>
      <c r="M93" s="1"/>
    </row>
    <row r="94" spans="1:13">
      <c r="A94" s="32">
        <v>14</v>
      </c>
      <c r="C94" s="763" t="s">
        <v>37</v>
      </c>
      <c r="D94" s="756" t="s">
        <v>419</v>
      </c>
      <c r="E94" s="223">
        <f>E78-E86</f>
        <v>566182711</v>
      </c>
      <c r="F94" s="5"/>
      <c r="G94" s="5"/>
      <c r="H94" s="14"/>
      <c r="I94" s="5"/>
      <c r="J94" s="84">
        <f>J78-J86</f>
        <v>554953709.26242137</v>
      </c>
      <c r="K94" s="5"/>
      <c r="L94" s="18"/>
      <c r="M94" s="1"/>
    </row>
    <row r="95" spans="1:13">
      <c r="A95" s="32">
        <v>15</v>
      </c>
      <c r="C95" s="763" t="s">
        <v>38</v>
      </c>
      <c r="D95" s="756" t="s">
        <v>48</v>
      </c>
      <c r="E95" s="223">
        <f>E79-E87</f>
        <v>1910145422</v>
      </c>
      <c r="F95" s="5"/>
      <c r="G95" s="5"/>
      <c r="H95" s="18"/>
      <c r="I95" s="5"/>
      <c r="J95" s="225" t="s">
        <v>12</v>
      </c>
      <c r="K95" s="5"/>
      <c r="L95" s="18"/>
      <c r="M95" s="1"/>
    </row>
    <row r="96" spans="1:13">
      <c r="A96" s="32">
        <v>16</v>
      </c>
      <c r="C96" s="763" t="s">
        <v>39</v>
      </c>
      <c r="D96" s="756" t="s">
        <v>49</v>
      </c>
      <c r="E96" s="223">
        <f>E80-E88</f>
        <v>162983565</v>
      </c>
      <c r="F96" s="5"/>
      <c r="G96" s="5"/>
      <c r="H96" s="18"/>
      <c r="I96" s="5"/>
      <c r="J96" s="225">
        <f>J80-J88</f>
        <v>19877876.820949666</v>
      </c>
      <c r="K96" s="5"/>
      <c r="L96" s="18"/>
      <c r="M96" s="1"/>
    </row>
    <row r="97" spans="1:13" ht="15.75" thickBot="1">
      <c r="A97" s="32">
        <v>17</v>
      </c>
      <c r="C97" s="763" t="s">
        <v>41</v>
      </c>
      <c r="D97" s="756" t="s">
        <v>50</v>
      </c>
      <c r="E97" s="224">
        <f>E81-E89</f>
        <v>139308647</v>
      </c>
      <c r="F97" s="5"/>
      <c r="G97" s="5"/>
      <c r="H97" s="18"/>
      <c r="I97" s="5"/>
      <c r="J97" s="226">
        <f>J81-J89</f>
        <v>11891758.510882551</v>
      </c>
      <c r="K97" s="5"/>
      <c r="L97" s="18"/>
      <c r="M97" s="1"/>
    </row>
    <row r="98" spans="1:13">
      <c r="A98" s="32">
        <v>18</v>
      </c>
      <c r="C98" s="763" t="s">
        <v>51</v>
      </c>
      <c r="D98" s="756"/>
      <c r="E98" s="84">
        <f>SUM(E93:E97)</f>
        <v>3194508151</v>
      </c>
      <c r="F98" s="5"/>
      <c r="G98" s="5" t="s">
        <v>52</v>
      </c>
      <c r="H98" s="18">
        <f>IF(J98&gt;0,J98/E98,0)</f>
        <v>0.1836662537269117</v>
      </c>
      <c r="I98" s="5"/>
      <c r="J98" s="84">
        <f>SUM(J93:J97)</f>
        <v>586723344.59425354</v>
      </c>
      <c r="K98" s="5"/>
      <c r="L98" s="5"/>
      <c r="M98" s="1"/>
    </row>
    <row r="99" spans="1:13">
      <c r="A99" s="32"/>
      <c r="C99" s="762"/>
      <c r="D99" s="756"/>
      <c r="E99" s="223"/>
      <c r="F99" s="5"/>
      <c r="I99" s="5"/>
      <c r="J99" s="225"/>
      <c r="K99" s="5"/>
      <c r="L99" s="18"/>
      <c r="M99" s="1"/>
    </row>
    <row r="100" spans="1:13">
      <c r="A100" s="32"/>
      <c r="C100" s="766" t="s">
        <v>451</v>
      </c>
      <c r="D100" s="756"/>
      <c r="E100" s="223"/>
      <c r="F100" s="5"/>
      <c r="G100" s="5"/>
      <c r="H100" s="5"/>
      <c r="I100" s="5"/>
      <c r="J100" s="225"/>
      <c r="K100" s="5"/>
      <c r="L100" s="5"/>
      <c r="M100" s="1"/>
    </row>
    <row r="101" spans="1:13">
      <c r="A101" s="32">
        <v>19</v>
      </c>
      <c r="C101" s="763" t="s">
        <v>142</v>
      </c>
      <c r="D101" s="756" t="s">
        <v>53</v>
      </c>
      <c r="E101" s="492">
        <f>DEO!E99+DEK!E99</f>
        <v>-190426</v>
      </c>
      <c r="F101" s="37"/>
      <c r="G101" s="37" t="str">
        <f>G85</f>
        <v>NA</v>
      </c>
      <c r="H101" s="81" t="s">
        <v>176</v>
      </c>
      <c r="I101" s="5"/>
      <c r="J101" s="84">
        <v>0</v>
      </c>
      <c r="K101" s="5"/>
      <c r="L101" s="18"/>
      <c r="M101" s="1"/>
    </row>
    <row r="102" spans="1:13">
      <c r="A102" s="32">
        <v>20</v>
      </c>
      <c r="C102" s="763" t="s">
        <v>143</v>
      </c>
      <c r="D102" s="756" t="s">
        <v>678</v>
      </c>
      <c r="E102" s="366">
        <f>DEO!E100+DEK!E100</f>
        <v>-935622872</v>
      </c>
      <c r="F102" s="5"/>
      <c r="G102" s="5" t="s">
        <v>54</v>
      </c>
      <c r="H102" s="14">
        <f>H98</f>
        <v>0.1836662537269117</v>
      </c>
      <c r="I102" s="5"/>
      <c r="J102" s="225">
        <f>E102*H102</f>
        <v>-171842347.80145383</v>
      </c>
      <c r="K102" s="5"/>
      <c r="L102" s="18"/>
      <c r="M102" s="1"/>
    </row>
    <row r="103" spans="1:13">
      <c r="A103" s="32">
        <v>21</v>
      </c>
      <c r="C103" s="763" t="s">
        <v>144</v>
      </c>
      <c r="D103" s="756" t="s">
        <v>679</v>
      </c>
      <c r="E103" s="366">
        <f>DEO!E101+DEK!E101</f>
        <v>-62914588</v>
      </c>
      <c r="F103" s="5"/>
      <c r="G103" s="5" t="s">
        <v>54</v>
      </c>
      <c r="H103" s="14">
        <f>H102</f>
        <v>0.1836662537269117</v>
      </c>
      <c r="I103" s="5"/>
      <c r="J103" s="225">
        <f>E103*H103</f>
        <v>-11555286.682732115</v>
      </c>
      <c r="K103" s="5"/>
      <c r="L103" s="18"/>
      <c r="M103" s="1"/>
    </row>
    <row r="104" spans="1:13">
      <c r="A104" s="32">
        <v>22</v>
      </c>
      <c r="C104" s="763" t="s">
        <v>146</v>
      </c>
      <c r="D104" s="756" t="s">
        <v>680</v>
      </c>
      <c r="E104" s="495">
        <f>DEO!E102+DEK!E102</f>
        <v>84678075</v>
      </c>
      <c r="F104" s="5"/>
      <c r="G104" s="5" t="str">
        <f>G103</f>
        <v>NP</v>
      </c>
      <c r="H104" s="14">
        <f>H103</f>
        <v>0.1836662537269117</v>
      </c>
      <c r="I104" s="5"/>
      <c r="J104" s="225">
        <f>E104*H104</f>
        <v>15552504.808056459</v>
      </c>
      <c r="K104" s="5"/>
      <c r="L104" s="18"/>
      <c r="M104" s="1"/>
    </row>
    <row r="105" spans="1:13" ht="15.75" thickBot="1">
      <c r="A105" s="32">
        <v>23</v>
      </c>
      <c r="C105" s="764" t="s">
        <v>145</v>
      </c>
      <c r="D105" s="760" t="s">
        <v>198</v>
      </c>
      <c r="E105" s="490">
        <f>DEO!E103+DEK!E103</f>
        <v>0</v>
      </c>
      <c r="F105" s="5"/>
      <c r="G105" s="5" t="s">
        <v>54</v>
      </c>
      <c r="H105" s="14">
        <f>H103</f>
        <v>0.1836662537269117</v>
      </c>
      <c r="I105" s="5"/>
      <c r="J105" s="226">
        <f>E105*H105</f>
        <v>0</v>
      </c>
      <c r="K105" s="5"/>
      <c r="L105" s="18"/>
      <c r="M105" s="1"/>
    </row>
    <row r="106" spans="1:13">
      <c r="A106" s="32">
        <v>24</v>
      </c>
      <c r="C106" s="763" t="s">
        <v>705</v>
      </c>
      <c r="D106" s="756"/>
      <c r="E106" s="84">
        <f>SUM(E101:E105)</f>
        <v>-914049811</v>
      </c>
      <c r="F106" s="5"/>
      <c r="G106" s="5"/>
      <c r="H106" s="5"/>
      <c r="I106" s="5"/>
      <c r="J106" s="84">
        <f>SUM(J101:J105)</f>
        <v>-167845129.67612946</v>
      </c>
      <c r="K106" s="5"/>
      <c r="L106" s="5"/>
      <c r="M106" s="1"/>
    </row>
    <row r="107" spans="1:13">
      <c r="A107" s="32"/>
      <c r="C107" s="762"/>
      <c r="D107" s="756"/>
      <c r="E107" s="223"/>
      <c r="F107" s="5"/>
      <c r="G107" s="5"/>
      <c r="H107" s="18"/>
      <c r="I107" s="5"/>
      <c r="J107" s="225"/>
      <c r="K107" s="5"/>
      <c r="L107" s="18"/>
      <c r="M107" s="1"/>
    </row>
    <row r="108" spans="1:13">
      <c r="A108" s="32">
        <v>25</v>
      </c>
      <c r="C108" s="766" t="s">
        <v>432</v>
      </c>
      <c r="D108" s="756" t="s">
        <v>404</v>
      </c>
      <c r="E108" s="492">
        <f>DEO!E106+DEK!E106</f>
        <v>255974</v>
      </c>
      <c r="F108" s="5"/>
      <c r="G108" s="37"/>
      <c r="H108" s="491">
        <v>1</v>
      </c>
      <c r="I108" s="5"/>
      <c r="J108" s="84">
        <f>H108*E108</f>
        <v>255974</v>
      </c>
      <c r="K108" s="5"/>
      <c r="L108" s="5"/>
      <c r="M108" s="1"/>
    </row>
    <row r="109" spans="1:13">
      <c r="A109" s="32"/>
      <c r="C109" s="763"/>
      <c r="D109" s="756"/>
      <c r="E109" s="223"/>
      <c r="F109" s="5"/>
      <c r="G109" s="5"/>
      <c r="H109" s="5"/>
      <c r="I109" s="5"/>
      <c r="J109" s="225"/>
      <c r="K109" s="5"/>
      <c r="L109" s="5"/>
      <c r="M109" s="1"/>
    </row>
    <row r="110" spans="1:13">
      <c r="A110" s="32"/>
      <c r="C110" s="767" t="s">
        <v>452</v>
      </c>
      <c r="D110" s="756" t="s">
        <v>12</v>
      </c>
      <c r="E110" s="223"/>
      <c r="F110" s="5"/>
      <c r="G110" s="5"/>
      <c r="H110" s="5"/>
      <c r="I110" s="5"/>
      <c r="J110" s="225"/>
      <c r="K110" s="5"/>
      <c r="L110" s="5"/>
      <c r="M110" s="1"/>
    </row>
    <row r="111" spans="1:13">
      <c r="A111" s="32">
        <v>26</v>
      </c>
      <c r="C111" s="763" t="s">
        <v>170</v>
      </c>
      <c r="D111" s="760" t="s">
        <v>168</v>
      </c>
      <c r="E111" s="84">
        <f>DEO!E109+DEK!E109</f>
        <v>12132627</v>
      </c>
      <c r="F111" s="5"/>
      <c r="G111" s="5"/>
      <c r="H111" s="18"/>
      <c r="I111" s="5"/>
      <c r="J111" s="225">
        <f>J151/8</f>
        <v>3347220</v>
      </c>
      <c r="K111" s="1"/>
      <c r="L111" s="18"/>
      <c r="M111" s="1"/>
    </row>
    <row r="112" spans="1:13">
      <c r="A112" s="32">
        <v>27</v>
      </c>
      <c r="C112" s="767" t="s">
        <v>453</v>
      </c>
      <c r="D112" s="756" t="s">
        <v>675</v>
      </c>
      <c r="E112" s="366">
        <f>DEO!E110+DEK!E110</f>
        <v>19431659</v>
      </c>
      <c r="F112" s="5"/>
      <c r="G112" s="5" t="s">
        <v>55</v>
      </c>
      <c r="H112" s="14">
        <f>J220</f>
        <v>0.90600430069806659</v>
      </c>
      <c r="I112" s="5"/>
      <c r="J112" s="225">
        <f>H112*E112</f>
        <v>17605166.62369829</v>
      </c>
      <c r="K112" s="5" t="s">
        <v>12</v>
      </c>
      <c r="L112" s="18"/>
      <c r="M112" s="1"/>
    </row>
    <row r="113" spans="1:13" ht="15.75" thickBot="1">
      <c r="A113" s="32">
        <v>28</v>
      </c>
      <c r="C113" s="763" t="s">
        <v>148</v>
      </c>
      <c r="D113" s="759" t="s">
        <v>202</v>
      </c>
      <c r="E113" s="490">
        <f>DEO!E111+DEK!E111</f>
        <v>809817</v>
      </c>
      <c r="F113" s="5"/>
      <c r="G113" s="5" t="s">
        <v>56</v>
      </c>
      <c r="H113" s="14">
        <f>H82</f>
        <v>0.16654016221462398</v>
      </c>
      <c r="I113" s="5"/>
      <c r="J113" s="226">
        <f>H113*E113</f>
        <v>134867.05454416014</v>
      </c>
      <c r="K113" s="5"/>
      <c r="L113" s="18"/>
      <c r="M113" s="1"/>
    </row>
    <row r="114" spans="1:13">
      <c r="A114" s="32">
        <v>29</v>
      </c>
      <c r="C114" s="763" t="s">
        <v>57</v>
      </c>
      <c r="D114" s="1"/>
      <c r="E114" s="364">
        <f>E111+E112+E113</f>
        <v>32374103</v>
      </c>
      <c r="F114" s="1"/>
      <c r="G114" s="1"/>
      <c r="H114" s="1"/>
      <c r="I114" s="1"/>
      <c r="J114" s="364">
        <f>J111+J112+J113</f>
        <v>21087253.678242452</v>
      </c>
      <c r="K114" s="1"/>
      <c r="L114" s="1"/>
      <c r="M114" s="1"/>
    </row>
    <row r="115" spans="1:13" ht="15.75" thickBot="1">
      <c r="C115" s="762"/>
      <c r="D115" s="5"/>
      <c r="E115" s="226"/>
      <c r="F115" s="5"/>
      <c r="G115" s="5"/>
      <c r="H115" s="5"/>
      <c r="I115" s="5"/>
      <c r="J115" s="226"/>
      <c r="K115" s="5"/>
      <c r="L115" s="5"/>
      <c r="M115" s="1"/>
    </row>
    <row r="116" spans="1:13" ht="15.75" thickBot="1">
      <c r="A116" s="32">
        <v>30</v>
      </c>
      <c r="C116" s="763" t="s">
        <v>147</v>
      </c>
      <c r="D116" s="5"/>
      <c r="E116" s="365">
        <f>E114+E108+E106+E98</f>
        <v>2313088417</v>
      </c>
      <c r="F116" s="5"/>
      <c r="G116" s="5"/>
      <c r="H116" s="18"/>
      <c r="I116" s="5"/>
      <c r="J116" s="365">
        <f>J114+J108+J106+J98</f>
        <v>440221442.59636652</v>
      </c>
      <c r="K116" s="5"/>
      <c r="L116" s="18"/>
      <c r="M116" s="5"/>
    </row>
    <row r="117" spans="1:13" ht="15.75" thickTop="1">
      <c r="A117" s="32"/>
      <c r="C117" s="3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>
      <c r="A118" s="32"/>
      <c r="C118" s="3"/>
      <c r="D118" s="5"/>
      <c r="E118" s="30"/>
      <c r="F118" s="29"/>
      <c r="G118" s="29"/>
      <c r="H118" s="29"/>
      <c r="I118" s="31"/>
      <c r="K118" s="32"/>
      <c r="L118" s="92"/>
      <c r="M118" s="5"/>
    </row>
    <row r="119" spans="1:13" ht="18">
      <c r="A119" s="245"/>
      <c r="C119" s="29"/>
      <c r="D119" s="29"/>
      <c r="E119" s="30"/>
      <c r="F119" s="29"/>
      <c r="G119" s="29"/>
      <c r="H119" s="29"/>
      <c r="I119" s="31"/>
      <c r="J119" s="77" t="s">
        <v>365</v>
      </c>
      <c r="K119" s="91"/>
      <c r="M119" s="91"/>
    </row>
    <row r="120" spans="1:13">
      <c r="C120" s="29"/>
      <c r="D120" s="29"/>
      <c r="E120" s="30"/>
      <c r="F120" s="29"/>
      <c r="G120" s="29"/>
      <c r="H120" s="29"/>
      <c r="I120" s="31"/>
      <c r="J120" s="77" t="s">
        <v>567</v>
      </c>
      <c r="M120" s="77"/>
    </row>
    <row r="121" spans="1:13">
      <c r="C121" s="29"/>
      <c r="D121" s="29"/>
      <c r="E121" s="30"/>
      <c r="F121" s="29"/>
      <c r="G121" s="29"/>
      <c r="H121" s="29"/>
      <c r="I121" s="31"/>
      <c r="J121" s="77"/>
      <c r="M121" s="77"/>
    </row>
    <row r="122" spans="1:13">
      <c r="C122" s="29"/>
      <c r="D122" s="29"/>
      <c r="E122" s="30"/>
      <c r="F122" s="29"/>
      <c r="G122" s="29"/>
      <c r="H122" s="29"/>
      <c r="I122" s="31"/>
      <c r="M122" s="77"/>
    </row>
    <row r="123" spans="1:13">
      <c r="C123" s="29"/>
      <c r="D123" s="29"/>
      <c r="E123" s="30"/>
      <c r="F123" s="29"/>
      <c r="G123" s="29"/>
      <c r="H123" s="29"/>
      <c r="I123" s="31"/>
      <c r="K123" s="1"/>
      <c r="M123" s="77"/>
    </row>
    <row r="124" spans="1:13">
      <c r="C124" s="29"/>
      <c r="D124" s="29"/>
      <c r="E124" s="30"/>
      <c r="F124" s="29"/>
      <c r="G124" s="29"/>
      <c r="H124" s="29"/>
      <c r="I124" s="31"/>
      <c r="J124" s="77"/>
      <c r="K124" s="1"/>
      <c r="M124" s="77"/>
    </row>
    <row r="125" spans="1:13">
      <c r="C125" s="29" t="s">
        <v>11</v>
      </c>
      <c r="D125" s="29"/>
      <c r="E125" s="30"/>
      <c r="F125" s="29"/>
      <c r="G125" s="29"/>
      <c r="H125" s="29"/>
      <c r="I125" s="31"/>
      <c r="J125" s="92" t="str">
        <f>J7</f>
        <v>For the 12 months ended: 12/31/2016</v>
      </c>
      <c r="K125" s="1"/>
      <c r="M125" s="77"/>
    </row>
    <row r="126" spans="1:13">
      <c r="A126" s="275" t="str">
        <f>A8</f>
        <v>Rate Formula Template</v>
      </c>
      <c r="B126" s="277"/>
      <c r="C126" s="277"/>
      <c r="D126" s="275"/>
      <c r="E126" s="277"/>
      <c r="F126" s="275"/>
      <c r="G126" s="275"/>
      <c r="H126" s="275"/>
      <c r="I126" s="275"/>
      <c r="J126" s="277"/>
      <c r="K126" s="5"/>
      <c r="L126" s="277"/>
      <c r="M126" s="1"/>
    </row>
    <row r="127" spans="1:13">
      <c r="A127" s="278" t="s">
        <v>327</v>
      </c>
      <c r="B127" s="277"/>
      <c r="C127" s="275"/>
      <c r="D127" s="278"/>
      <c r="E127" s="277"/>
      <c r="F127" s="278"/>
      <c r="G127" s="278"/>
      <c r="H127" s="278"/>
      <c r="I127" s="275"/>
      <c r="J127" s="275"/>
      <c r="K127" s="5"/>
      <c r="L127" s="271"/>
      <c r="M127" s="1"/>
    </row>
    <row r="128" spans="1:13">
      <c r="A128" s="271"/>
      <c r="B128" s="277"/>
      <c r="C128" s="271"/>
      <c r="D128" s="271"/>
      <c r="E128" s="277"/>
      <c r="F128" s="271"/>
      <c r="G128" s="271"/>
      <c r="H128" s="271"/>
      <c r="I128" s="271"/>
      <c r="J128" s="271"/>
      <c r="K128" s="5"/>
      <c r="L128" s="271"/>
      <c r="M128" s="1"/>
    </row>
    <row r="129" spans="1:13" ht="15.75">
      <c r="A129" s="425" t="str">
        <f>$A$11</f>
        <v>DUKE ENERGY OHIO AND DUKE ENERGY KENTUCKY (DEOK)</v>
      </c>
      <c r="B129" s="277"/>
      <c r="C129" s="271"/>
      <c r="D129" s="271"/>
      <c r="E129" s="277"/>
      <c r="F129" s="271"/>
      <c r="G129" s="271"/>
      <c r="H129" s="271"/>
      <c r="I129" s="271"/>
      <c r="J129" s="271"/>
      <c r="K129" s="5"/>
      <c r="L129" s="271"/>
      <c r="M129" s="5"/>
    </row>
    <row r="130" spans="1:13">
      <c r="A130" s="32"/>
      <c r="C130" s="67"/>
      <c r="K130" s="5"/>
      <c r="L130" s="5"/>
      <c r="M130" s="5"/>
    </row>
    <row r="131" spans="1:13" ht="15.75">
      <c r="A131" s="32"/>
      <c r="C131" s="4" t="s">
        <v>24</v>
      </c>
      <c r="D131" s="4" t="s">
        <v>25</v>
      </c>
      <c r="E131" s="4" t="s">
        <v>26</v>
      </c>
      <c r="F131" s="5" t="s">
        <v>12</v>
      </c>
      <c r="G131" s="5"/>
      <c r="H131" s="7" t="s">
        <v>27</v>
      </c>
      <c r="I131" s="5"/>
      <c r="J131" s="8" t="s">
        <v>28</v>
      </c>
      <c r="K131" s="5"/>
      <c r="L131" s="33"/>
      <c r="M131" s="31"/>
    </row>
    <row r="132" spans="1:13" ht="15.75">
      <c r="A132" s="58" t="s">
        <v>13</v>
      </c>
      <c r="B132" s="295"/>
      <c r="C132" s="297"/>
      <c r="D132" s="47" t="s">
        <v>29</v>
      </c>
      <c r="E132" s="5"/>
      <c r="F132" s="5"/>
      <c r="G132" s="5"/>
      <c r="H132" s="32"/>
      <c r="I132" s="5"/>
      <c r="J132" s="32" t="s">
        <v>30</v>
      </c>
      <c r="K132" s="5"/>
      <c r="L132" s="33"/>
      <c r="M132" s="5"/>
    </row>
    <row r="133" spans="1:13" ht="15.75">
      <c r="A133" s="288" t="s">
        <v>15</v>
      </c>
      <c r="B133" s="295"/>
      <c r="C133" s="297"/>
      <c r="D133" s="407" t="s">
        <v>31</v>
      </c>
      <c r="E133" s="404" t="s">
        <v>32</v>
      </c>
      <c r="F133" s="405"/>
      <c r="G133" s="406" t="s">
        <v>18</v>
      </c>
      <c r="H133" s="292"/>
      <c r="I133" s="405"/>
      <c r="J133" s="291" t="s">
        <v>420</v>
      </c>
      <c r="K133" s="5"/>
      <c r="L133" s="33"/>
      <c r="M133" s="51"/>
    </row>
    <row r="134" spans="1:13" ht="15.75">
      <c r="C134" s="3"/>
      <c r="D134" s="5"/>
      <c r="E134" s="9"/>
      <c r="F134" s="10"/>
      <c r="G134" s="11"/>
      <c r="I134" s="10"/>
      <c r="J134" s="9"/>
      <c r="K134" s="5"/>
      <c r="L134" s="5"/>
      <c r="M134" s="5"/>
    </row>
    <row r="135" spans="1:13">
      <c r="A135" s="32"/>
      <c r="C135" s="769" t="s">
        <v>58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>
      <c r="A136" s="32">
        <v>1</v>
      </c>
      <c r="C136" s="769" t="s">
        <v>59</v>
      </c>
      <c r="D136" s="756" t="s">
        <v>220</v>
      </c>
      <c r="E136" s="84">
        <f>DEO!E134+DEK!E134</f>
        <v>69765425</v>
      </c>
      <c r="F136" s="5"/>
      <c r="G136" s="5" t="s">
        <v>55</v>
      </c>
      <c r="H136" s="14">
        <f>J220</f>
        <v>0.90600430069806659</v>
      </c>
      <c r="I136" s="5"/>
      <c r="J136" s="364">
        <f>ROUND(H136*E136,0)</f>
        <v>63207775</v>
      </c>
      <c r="K136" s="1"/>
      <c r="L136" s="5"/>
      <c r="M136" s="5"/>
    </row>
    <row r="137" spans="1:13">
      <c r="A137" s="233" t="s">
        <v>3</v>
      </c>
      <c r="B137" s="67"/>
      <c r="C137" s="776" t="s">
        <v>442</v>
      </c>
      <c r="D137" s="759" t="s">
        <v>7</v>
      </c>
      <c r="E137" s="366">
        <f>DEO!E135+DEK!E135</f>
        <v>31267261</v>
      </c>
      <c r="F137" s="37"/>
      <c r="G137" s="37"/>
      <c r="H137" s="64">
        <v>1</v>
      </c>
      <c r="I137" s="37"/>
      <c r="J137" s="225">
        <f>ROUND(H137*E137,0)</f>
        <v>31267261</v>
      </c>
      <c r="K137" s="1"/>
      <c r="L137" s="5"/>
      <c r="M137" s="5"/>
    </row>
    <row r="138" spans="1:13">
      <c r="A138" s="233" t="s">
        <v>296</v>
      </c>
      <c r="B138" s="67"/>
      <c r="C138" s="774" t="s">
        <v>760</v>
      </c>
      <c r="D138" s="759" t="s">
        <v>636</v>
      </c>
      <c r="E138" s="601">
        <f>DEO!E136+DEK!E136</f>
        <v>0</v>
      </c>
      <c r="F138" s="37"/>
      <c r="G138" s="5" t="s">
        <v>55</v>
      </c>
      <c r="H138" s="14">
        <f>J$220</f>
        <v>0.90600430069806659</v>
      </c>
      <c r="I138" s="37"/>
      <c r="J138" s="225">
        <f>ROUND(H138*E138,0)</f>
        <v>0</v>
      </c>
      <c r="K138" s="1"/>
      <c r="L138" s="5"/>
      <c r="M138" s="5"/>
    </row>
    <row r="139" spans="1:13" s="933" customFormat="1">
      <c r="A139" s="809" t="s">
        <v>299</v>
      </c>
      <c r="B139" s="839"/>
      <c r="C139" s="798" t="s">
        <v>824</v>
      </c>
      <c r="D139" s="759" t="s">
        <v>822</v>
      </c>
      <c r="E139" s="601">
        <f>DEO!E137+DEK!E137</f>
        <v>142494</v>
      </c>
      <c r="F139" s="807"/>
      <c r="G139" s="835" t="s">
        <v>55</v>
      </c>
      <c r="H139" s="14">
        <f>J$220</f>
        <v>0.90600430069806659</v>
      </c>
      <c r="I139" s="807"/>
      <c r="J139" s="599">
        <f>ROUND(H139*E139,0)</f>
        <v>129100</v>
      </c>
      <c r="K139" s="867"/>
      <c r="L139" s="835"/>
      <c r="M139" s="835"/>
    </row>
    <row r="140" spans="1:13">
      <c r="A140" s="32">
        <v>2</v>
      </c>
      <c r="C140" s="774" t="s">
        <v>4</v>
      </c>
      <c r="D140" s="759" t="s">
        <v>221</v>
      </c>
      <c r="E140" s="366">
        <f>DEO!E138+DEK!E138</f>
        <v>15552106</v>
      </c>
      <c r="F140" s="5"/>
      <c r="G140" s="5" t="s">
        <v>55</v>
      </c>
      <c r="H140" s="14">
        <f>J$220</f>
        <v>0.90600430069806659</v>
      </c>
      <c r="I140" s="5"/>
      <c r="J140" s="225">
        <f t="shared" ref="J140:J150" si="2">ROUND(H140*E140,0)</f>
        <v>14090275</v>
      </c>
      <c r="K140" s="1"/>
      <c r="L140" s="5"/>
      <c r="M140" s="5"/>
    </row>
    <row r="141" spans="1:13">
      <c r="A141" s="233">
        <v>3</v>
      </c>
      <c r="B141" s="67"/>
      <c r="C141" s="779" t="s">
        <v>60</v>
      </c>
      <c r="D141" s="759" t="s">
        <v>222</v>
      </c>
      <c r="E141" s="223">
        <f>DEO!E139+DEK!E139</f>
        <v>72221042</v>
      </c>
      <c r="F141" s="37"/>
      <c r="G141" s="37" t="s">
        <v>40</v>
      </c>
      <c r="H141" s="64">
        <f t="shared" ref="H141:H147" si="3">$J$228</f>
        <v>0.12196246180373871</v>
      </c>
      <c r="I141" s="37"/>
      <c r="J141" s="225">
        <f t="shared" si="2"/>
        <v>8808256</v>
      </c>
      <c r="K141" s="5"/>
      <c r="L141" s="5" t="s">
        <v>12</v>
      </c>
      <c r="M141" s="5"/>
    </row>
    <row r="142" spans="1:13">
      <c r="A142" s="233" t="s">
        <v>465</v>
      </c>
      <c r="B142" s="67"/>
      <c r="C142" s="778" t="s">
        <v>467</v>
      </c>
      <c r="D142" s="759" t="s">
        <v>291</v>
      </c>
      <c r="E142" s="366">
        <f>DEO!E140+DEK!E140</f>
        <v>-1527152</v>
      </c>
      <c r="F142" s="37"/>
      <c r="G142" s="37" t="s">
        <v>40</v>
      </c>
      <c r="H142" s="64">
        <f t="shared" si="3"/>
        <v>0.12196246180373871</v>
      </c>
      <c r="I142" s="37"/>
      <c r="J142" s="225">
        <f t="shared" si="2"/>
        <v>-186255</v>
      </c>
      <c r="K142" s="5"/>
      <c r="L142" s="5"/>
      <c r="M142" s="5"/>
    </row>
    <row r="143" spans="1:13">
      <c r="A143" s="233" t="s">
        <v>466</v>
      </c>
      <c r="B143" s="67"/>
      <c r="C143" s="778" t="s">
        <v>468</v>
      </c>
      <c r="D143" s="759" t="s">
        <v>291</v>
      </c>
      <c r="E143" s="366">
        <f>DEO!E141+DEK!E141</f>
        <v>2918402</v>
      </c>
      <c r="F143" s="37"/>
      <c r="G143" s="37" t="s">
        <v>40</v>
      </c>
      <c r="H143" s="64">
        <f t="shared" si="3"/>
        <v>0.12196246180373871</v>
      </c>
      <c r="I143" s="37"/>
      <c r="J143" s="225">
        <f t="shared" si="2"/>
        <v>355935</v>
      </c>
      <c r="K143" s="5"/>
      <c r="L143" s="5"/>
      <c r="M143" s="5"/>
    </row>
    <row r="144" spans="1:13">
      <c r="A144" s="233" t="s">
        <v>637</v>
      </c>
      <c r="B144" s="67"/>
      <c r="C144" s="774" t="s">
        <v>766</v>
      </c>
      <c r="D144" s="759" t="s">
        <v>639</v>
      </c>
      <c r="E144" s="601">
        <f>DEO!E142+DEK!E142</f>
        <v>0</v>
      </c>
      <c r="F144" s="37"/>
      <c r="G144" s="37" t="s">
        <v>40</v>
      </c>
      <c r="H144" s="64">
        <f t="shared" si="3"/>
        <v>0.12196246180373871</v>
      </c>
      <c r="I144" s="37"/>
      <c r="J144" s="225">
        <f t="shared" si="2"/>
        <v>0</v>
      </c>
      <c r="K144" s="5"/>
      <c r="L144" s="5"/>
      <c r="M144" s="5"/>
    </row>
    <row r="145" spans="1:13" s="874" customFormat="1">
      <c r="A145" s="809"/>
      <c r="B145" s="839"/>
      <c r="C145" s="802" t="s">
        <v>779</v>
      </c>
      <c r="D145" s="759"/>
      <c r="E145" s="223"/>
      <c r="F145" s="807"/>
      <c r="G145" s="807"/>
      <c r="H145" s="64"/>
      <c r="I145" s="807"/>
      <c r="J145" s="223"/>
      <c r="K145" s="835"/>
      <c r="L145" s="835"/>
      <c r="M145" s="835"/>
    </row>
    <row r="146" spans="1:13">
      <c r="A146" s="233">
        <v>4</v>
      </c>
      <c r="B146" s="67"/>
      <c r="C146" s="778" t="s">
        <v>427</v>
      </c>
      <c r="D146" s="759" t="s">
        <v>682</v>
      </c>
      <c r="E146" s="366">
        <f>DEO!E144+DEK!E144</f>
        <v>0</v>
      </c>
      <c r="F146" s="37"/>
      <c r="G146" s="37" t="s">
        <v>40</v>
      </c>
      <c r="H146" s="64">
        <f t="shared" si="3"/>
        <v>0.12196246180373871</v>
      </c>
      <c r="I146" s="37"/>
      <c r="J146" s="225">
        <f t="shared" si="2"/>
        <v>0</v>
      </c>
      <c r="K146" s="5"/>
      <c r="L146" s="5"/>
      <c r="M146" s="5"/>
    </row>
    <row r="147" spans="1:13">
      <c r="A147" s="233">
        <v>5</v>
      </c>
      <c r="B147" s="67"/>
      <c r="C147" s="776" t="s">
        <v>443</v>
      </c>
      <c r="D147" s="37"/>
      <c r="E147" s="366">
        <f>DEO!E145+DEK!E145</f>
        <v>2409146</v>
      </c>
      <c r="F147" s="37"/>
      <c r="G147" s="37" t="s">
        <v>40</v>
      </c>
      <c r="H147" s="64">
        <f t="shared" si="3"/>
        <v>0.12196246180373871</v>
      </c>
      <c r="I147" s="37"/>
      <c r="J147" s="225">
        <f t="shared" si="2"/>
        <v>293825</v>
      </c>
      <c r="K147" s="5"/>
      <c r="L147" s="5"/>
      <c r="M147" s="5"/>
    </row>
    <row r="148" spans="1:13">
      <c r="A148" s="447" t="s">
        <v>175</v>
      </c>
      <c r="B148" s="67"/>
      <c r="C148" s="776" t="s">
        <v>444</v>
      </c>
      <c r="D148" s="37"/>
      <c r="E148" s="366">
        <f>DEO!E146+DEK!E146</f>
        <v>0</v>
      </c>
      <c r="F148" s="37"/>
      <c r="G148" s="63" t="str">
        <f>G136</f>
        <v>TE</v>
      </c>
      <c r="H148" s="64">
        <f>H136</f>
        <v>0.90600430069806659</v>
      </c>
      <c r="I148" s="37"/>
      <c r="J148" s="225">
        <f t="shared" si="2"/>
        <v>0</v>
      </c>
      <c r="K148" s="5"/>
      <c r="L148" s="5"/>
      <c r="M148" s="5"/>
    </row>
    <row r="149" spans="1:13">
      <c r="A149" s="233">
        <v>6</v>
      </c>
      <c r="B149" s="67"/>
      <c r="C149" s="779" t="s">
        <v>41</v>
      </c>
      <c r="D149" s="759" t="str">
        <f>D89</f>
        <v>356.1</v>
      </c>
      <c r="E149" s="366">
        <f>DEO!E147+DEK!E147</f>
        <v>0</v>
      </c>
      <c r="F149" s="37"/>
      <c r="G149" s="37" t="s">
        <v>93</v>
      </c>
      <c r="H149" s="64">
        <f>H89</f>
        <v>8.5362673222162233E-2</v>
      </c>
      <c r="I149" s="37"/>
      <c r="J149" s="225">
        <f t="shared" si="2"/>
        <v>0</v>
      </c>
      <c r="K149" s="5"/>
      <c r="L149" s="5"/>
      <c r="M149" s="5"/>
    </row>
    <row r="150" spans="1:13" ht="15.75" thickBot="1">
      <c r="A150" s="233">
        <v>7</v>
      </c>
      <c r="B150" s="67"/>
      <c r="C150" s="779" t="s">
        <v>61</v>
      </c>
      <c r="D150" s="37"/>
      <c r="E150" s="490">
        <f>DEO!E148+DEK!E148</f>
        <v>0</v>
      </c>
      <c r="F150" s="37"/>
      <c r="G150" s="37" t="s">
        <v>12</v>
      </c>
      <c r="H150" s="491">
        <v>1</v>
      </c>
      <c r="I150" s="37"/>
      <c r="J150" s="226">
        <f t="shared" si="2"/>
        <v>0</v>
      </c>
      <c r="K150" s="5"/>
      <c r="L150" s="5"/>
      <c r="M150" s="5"/>
    </row>
    <row r="151" spans="1:13">
      <c r="A151" s="809">
        <v>8</v>
      </c>
      <c r="B151" s="839"/>
      <c r="C151" s="803" t="s">
        <v>778</v>
      </c>
      <c r="D151" s="807"/>
      <c r="E151" s="593">
        <f>E136-E137-E138-E139-E140+E141-E142+E143-E144-E146-E147+E148+E149+E150</f>
        <v>97061014</v>
      </c>
      <c r="F151" s="37"/>
      <c r="G151" s="37"/>
      <c r="H151" s="37"/>
      <c r="I151" s="37"/>
      <c r="J151" s="593">
        <f>J136-J137-J138-J139-J140+J141-J142+J143-J144-J146-J147+J148+J149+J150</f>
        <v>26777760</v>
      </c>
      <c r="K151" s="5"/>
      <c r="L151" s="5"/>
      <c r="M151" s="5"/>
    </row>
    <row r="152" spans="1:13">
      <c r="A152" s="233"/>
      <c r="B152" s="67"/>
      <c r="C152" s="773"/>
      <c r="D152" s="5"/>
      <c r="E152" s="223"/>
      <c r="F152" s="37"/>
      <c r="G152" s="37"/>
      <c r="H152" s="37"/>
      <c r="I152" s="37"/>
      <c r="J152" s="223"/>
      <c r="K152" s="5"/>
      <c r="L152" s="5"/>
      <c r="M152" s="5"/>
    </row>
    <row r="153" spans="1:13">
      <c r="A153" s="32"/>
      <c r="C153" s="769" t="s">
        <v>62</v>
      </c>
      <c r="D153" s="5"/>
      <c r="E153" s="225"/>
      <c r="F153" s="5"/>
      <c r="G153" s="5"/>
      <c r="H153" s="5"/>
      <c r="I153" s="5"/>
      <c r="J153" s="225"/>
      <c r="K153" s="5"/>
      <c r="L153" s="5"/>
      <c r="M153" s="5"/>
    </row>
    <row r="154" spans="1:13">
      <c r="A154" s="32">
        <v>9</v>
      </c>
      <c r="C154" s="769" t="s">
        <v>59</v>
      </c>
      <c r="D154" s="756" t="s">
        <v>63</v>
      </c>
      <c r="E154" s="492">
        <f>DEO!E152+DEK!E152</f>
        <v>14733035</v>
      </c>
      <c r="F154" s="5"/>
      <c r="G154" s="5" t="s">
        <v>19</v>
      </c>
      <c r="H154" s="14">
        <f>J210</f>
        <v>0.98016717656788599</v>
      </c>
      <c r="I154" s="5"/>
      <c r="J154" s="364">
        <f>ROUND(H154*E154,0)</f>
        <v>14440837</v>
      </c>
      <c r="K154" s="5"/>
      <c r="L154" s="18"/>
      <c r="M154" s="5"/>
    </row>
    <row r="155" spans="1:13">
      <c r="A155" s="32">
        <v>10</v>
      </c>
      <c r="C155" s="769" t="s">
        <v>681</v>
      </c>
      <c r="D155" s="756" t="s">
        <v>683</v>
      </c>
      <c r="E155" s="366">
        <f>DEO!E153+DEK!E153</f>
        <v>16228508</v>
      </c>
      <c r="F155" s="5"/>
      <c r="G155" s="5" t="s">
        <v>40</v>
      </c>
      <c r="H155" s="14">
        <f>$J$228</f>
        <v>0.12196246180373871</v>
      </c>
      <c r="I155" s="5"/>
      <c r="J155" s="225">
        <f>ROUND(H155*E155,0)</f>
        <v>1979269</v>
      </c>
      <c r="K155" s="5"/>
      <c r="L155" s="18"/>
      <c r="M155" s="5"/>
    </row>
    <row r="156" spans="1:13" ht="15.75" thickBot="1">
      <c r="A156" s="32">
        <v>11</v>
      </c>
      <c r="C156" s="769" t="s">
        <v>41</v>
      </c>
      <c r="D156" s="756" t="s">
        <v>1</v>
      </c>
      <c r="E156" s="490">
        <f>DEO!E154+DEK!E154</f>
        <v>10081796</v>
      </c>
      <c r="F156" s="5"/>
      <c r="G156" s="5" t="s">
        <v>93</v>
      </c>
      <c r="H156" s="14">
        <f>H149</f>
        <v>8.5362673222162233E-2</v>
      </c>
      <c r="I156" s="5"/>
      <c r="J156" s="226">
        <f>ROUND(H156*E156,0)</f>
        <v>860609</v>
      </c>
      <c r="K156" s="5"/>
      <c r="L156" s="18"/>
      <c r="M156" s="5"/>
    </row>
    <row r="157" spans="1:13">
      <c r="A157" s="32">
        <v>12</v>
      </c>
      <c r="C157" s="769" t="s">
        <v>64</v>
      </c>
      <c r="D157" s="5"/>
      <c r="E157" s="364">
        <f>SUM(E154:E156)</f>
        <v>41043339</v>
      </c>
      <c r="F157" s="5"/>
      <c r="G157" s="5"/>
      <c r="H157" s="5"/>
      <c r="I157" s="5"/>
      <c r="J157" s="364">
        <f>SUM(J154:J156)</f>
        <v>17280715</v>
      </c>
      <c r="K157" s="5"/>
      <c r="L157" s="5"/>
      <c r="M157" s="5"/>
    </row>
    <row r="158" spans="1:13">
      <c r="A158" s="32"/>
      <c r="C158" s="769"/>
      <c r="D158" s="5"/>
      <c r="E158" s="225"/>
      <c r="F158" s="5"/>
      <c r="G158" s="5"/>
      <c r="H158" s="5"/>
      <c r="I158" s="5"/>
      <c r="J158" s="225"/>
      <c r="K158" s="5"/>
      <c r="L158" s="5"/>
      <c r="M158" s="5"/>
    </row>
    <row r="159" spans="1:13">
      <c r="A159" s="32" t="s">
        <v>12</v>
      </c>
      <c r="C159" s="777" t="s">
        <v>445</v>
      </c>
      <c r="E159" s="225"/>
      <c r="F159" s="5"/>
      <c r="G159" s="5"/>
      <c r="H159" s="5"/>
      <c r="I159" s="5"/>
      <c r="J159" s="225"/>
      <c r="K159" s="5"/>
      <c r="L159" s="5"/>
      <c r="M159" s="5"/>
    </row>
    <row r="160" spans="1:13">
      <c r="A160" s="32"/>
      <c r="C160" s="769" t="s">
        <v>65</v>
      </c>
      <c r="E160" s="225"/>
      <c r="F160" s="5"/>
      <c r="G160" s="5"/>
      <c r="I160" s="5"/>
      <c r="J160" s="225"/>
      <c r="K160" s="5"/>
      <c r="L160" s="18"/>
      <c r="M160" s="5"/>
    </row>
    <row r="161" spans="1:13">
      <c r="A161" s="32">
        <v>13</v>
      </c>
      <c r="C161" s="775" t="s">
        <v>428</v>
      </c>
      <c r="D161" s="756" t="s">
        <v>199</v>
      </c>
      <c r="E161" s="492">
        <f>DEO!E159+DEK!E159</f>
        <v>6731477</v>
      </c>
      <c r="F161" s="5"/>
      <c r="G161" s="5" t="s">
        <v>40</v>
      </c>
      <c r="H161" s="14">
        <f>$J$228</f>
        <v>0.12196246180373871</v>
      </c>
      <c r="I161" s="5"/>
      <c r="J161" s="364">
        <f>ROUND(H161*E161,0)</f>
        <v>820988</v>
      </c>
      <c r="K161" s="5"/>
      <c r="L161" s="18"/>
      <c r="M161" s="5"/>
    </row>
    <row r="162" spans="1:13">
      <c r="A162" s="32">
        <v>14</v>
      </c>
      <c r="C162" s="775" t="s">
        <v>429</v>
      </c>
      <c r="D162" s="756" t="str">
        <f>D161</f>
        <v>263.i</v>
      </c>
      <c r="E162" s="366">
        <f>DEO!E160+DEK!E160</f>
        <v>6740</v>
      </c>
      <c r="F162" s="5"/>
      <c r="G162" s="5" t="s">
        <v>40</v>
      </c>
      <c r="H162" s="14">
        <f>$J$228</f>
        <v>0.12196246180373871</v>
      </c>
      <c r="I162" s="5"/>
      <c r="J162" s="225">
        <f>ROUND(H162*E162,0)</f>
        <v>822</v>
      </c>
      <c r="K162" s="5"/>
      <c r="L162" s="18"/>
      <c r="M162" s="5"/>
    </row>
    <row r="163" spans="1:13">
      <c r="A163" s="32">
        <v>15</v>
      </c>
      <c r="C163" s="769" t="s">
        <v>66</v>
      </c>
      <c r="D163" s="756" t="s">
        <v>12</v>
      </c>
      <c r="E163" s="223"/>
      <c r="F163" s="5"/>
      <c r="G163" s="5"/>
      <c r="I163" s="5"/>
      <c r="J163" s="225"/>
      <c r="K163" s="5"/>
      <c r="L163" s="18"/>
      <c r="M163" s="5"/>
    </row>
    <row r="164" spans="1:13">
      <c r="A164" s="32">
        <v>16</v>
      </c>
      <c r="C164" s="769" t="s">
        <v>67</v>
      </c>
      <c r="D164" s="756" t="s">
        <v>199</v>
      </c>
      <c r="E164" s="366">
        <f>DEO!E162+DEK!E162</f>
        <v>116498759</v>
      </c>
      <c r="F164" s="5"/>
      <c r="G164" s="5" t="s">
        <v>56</v>
      </c>
      <c r="H164" s="19">
        <f>H82</f>
        <v>0.16654016221462398</v>
      </c>
      <c r="I164" s="5"/>
      <c r="J164" s="225">
        <f>ROUND(H164*E164,0)</f>
        <v>19401722</v>
      </c>
      <c r="K164" s="5"/>
      <c r="L164" s="18"/>
      <c r="M164" s="5"/>
    </row>
    <row r="165" spans="1:13">
      <c r="A165" s="32">
        <v>17</v>
      </c>
      <c r="C165" s="769" t="s">
        <v>68</v>
      </c>
      <c r="D165" s="756" t="s">
        <v>199</v>
      </c>
      <c r="E165" s="366">
        <f>DEO!E163+DEK!E163</f>
        <v>4569666</v>
      </c>
      <c r="F165" s="5"/>
      <c r="G165" s="37" t="str">
        <f>G101</f>
        <v>NA</v>
      </c>
      <c r="H165" s="82" t="s">
        <v>176</v>
      </c>
      <c r="I165" s="5"/>
      <c r="J165" s="227">
        <v>0</v>
      </c>
      <c r="K165" s="5"/>
      <c r="L165" s="18"/>
      <c r="M165" s="5"/>
    </row>
    <row r="166" spans="1:13">
      <c r="A166" s="32">
        <v>18</v>
      </c>
      <c r="C166" s="769" t="s">
        <v>69</v>
      </c>
      <c r="D166" s="756" t="str">
        <f>D165</f>
        <v>263.i</v>
      </c>
      <c r="E166" s="366">
        <f>DEO!E164+DEK!E164</f>
        <v>0</v>
      </c>
      <c r="F166" s="5"/>
      <c r="G166" s="5" t="str">
        <f>G164</f>
        <v>GP</v>
      </c>
      <c r="H166" s="19">
        <f>H164</f>
        <v>0.16654016221462398</v>
      </c>
      <c r="I166" s="5"/>
      <c r="J166" s="225">
        <f>ROUND(H166*E166,0)</f>
        <v>0</v>
      </c>
      <c r="K166" s="5"/>
      <c r="L166" s="18"/>
      <c r="M166" s="5"/>
    </row>
    <row r="167" spans="1:13" ht="15.75" thickBot="1">
      <c r="A167" s="32">
        <v>19</v>
      </c>
      <c r="C167" s="769" t="s">
        <v>70</v>
      </c>
      <c r="D167" s="5"/>
      <c r="E167" s="490">
        <f>DEO!E165+DEK!E165</f>
        <v>0</v>
      </c>
      <c r="F167" s="5"/>
      <c r="G167" s="5" t="s">
        <v>56</v>
      </c>
      <c r="H167" s="19">
        <f>H164</f>
        <v>0.16654016221462398</v>
      </c>
      <c r="I167" s="5"/>
      <c r="J167" s="226">
        <f>ROUND(H167*E167,0)</f>
        <v>0</v>
      </c>
      <c r="K167" s="5"/>
      <c r="L167" s="18"/>
      <c r="M167" s="5"/>
    </row>
    <row r="168" spans="1:13">
      <c r="A168" s="32">
        <v>20</v>
      </c>
      <c r="C168" s="769" t="s">
        <v>71</v>
      </c>
      <c r="D168" s="5"/>
      <c r="E168" s="364">
        <f>E161+E162+E164+E165+E166+E167</f>
        <v>127806642</v>
      </c>
      <c r="F168" s="5"/>
      <c r="G168" s="5"/>
      <c r="H168" s="19"/>
      <c r="I168" s="5"/>
      <c r="J168" s="364">
        <f>J161+J162+J164+J165+J166+J167</f>
        <v>20223532</v>
      </c>
      <c r="K168" s="5"/>
      <c r="L168" s="5"/>
      <c r="M168" s="5"/>
    </row>
    <row r="169" spans="1:13">
      <c r="A169" s="32"/>
      <c r="C169" s="769"/>
      <c r="D169" s="5"/>
      <c r="E169" s="225"/>
      <c r="F169" s="5"/>
      <c r="G169" s="5"/>
      <c r="H169" s="19"/>
      <c r="I169" s="5"/>
      <c r="J169" s="5"/>
      <c r="K169" s="5"/>
      <c r="L169" s="5"/>
      <c r="M169" s="5"/>
    </row>
    <row r="170" spans="1:13">
      <c r="A170" s="32" t="s">
        <v>72</v>
      </c>
      <c r="C170" s="769"/>
      <c r="D170" s="5"/>
      <c r="E170" s="5"/>
      <c r="F170" s="5"/>
      <c r="G170" s="5"/>
      <c r="H170" s="19"/>
      <c r="I170" s="5"/>
      <c r="J170" s="5"/>
      <c r="K170" s="5"/>
      <c r="L170" s="5"/>
      <c r="M170" s="5"/>
    </row>
    <row r="171" spans="1:13">
      <c r="A171" s="32" t="s">
        <v>12</v>
      </c>
      <c r="C171" s="777" t="s">
        <v>454</v>
      </c>
      <c r="E171" s="5"/>
      <c r="F171" s="5"/>
      <c r="H171" s="16"/>
      <c r="I171" s="5"/>
      <c r="K171" s="5"/>
      <c r="M171" s="5"/>
    </row>
    <row r="172" spans="1:13">
      <c r="A172" s="32">
        <v>21</v>
      </c>
      <c r="C172" s="771" t="s">
        <v>160</v>
      </c>
      <c r="D172" s="5"/>
      <c r="E172" s="408">
        <f>IF(E307&gt;0,1-(((1-E308)*(1-E307))/(1-E308*E307*E309)),0)</f>
        <v>0.35169000000000006</v>
      </c>
      <c r="F172" s="5"/>
      <c r="H172" s="16"/>
      <c r="I172" s="5"/>
      <c r="K172" s="5"/>
      <c r="M172" s="5"/>
    </row>
    <row r="173" spans="1:13">
      <c r="A173" s="32">
        <v>22</v>
      </c>
      <c r="C173" s="770" t="s">
        <v>161</v>
      </c>
      <c r="D173" s="5"/>
      <c r="E173" s="408">
        <f>IF(J252&gt;0,(E172/(1-E172))*(1-J249/J252),0)</f>
        <v>0.38094185175405293</v>
      </c>
      <c r="F173" s="5"/>
      <c r="H173" s="16"/>
      <c r="I173" s="5"/>
      <c r="K173" s="5"/>
      <c r="M173" s="5"/>
    </row>
    <row r="174" spans="1:13">
      <c r="A174" s="32"/>
      <c r="C174" s="769" t="s">
        <v>403</v>
      </c>
      <c r="D174" s="5"/>
      <c r="E174" s="5"/>
      <c r="F174" s="5"/>
      <c r="H174" s="16"/>
      <c r="I174" s="5"/>
      <c r="K174" s="5"/>
      <c r="M174" s="5"/>
    </row>
    <row r="175" spans="1:13">
      <c r="A175" s="32"/>
      <c r="C175" s="769" t="s">
        <v>163</v>
      </c>
      <c r="D175" s="5"/>
      <c r="E175" s="5"/>
      <c r="F175" s="5"/>
      <c r="H175" s="16"/>
      <c r="I175" s="5"/>
      <c r="K175" s="5"/>
      <c r="M175" s="5"/>
    </row>
    <row r="176" spans="1:13">
      <c r="A176" s="32">
        <v>23</v>
      </c>
      <c r="C176" s="771" t="s">
        <v>162</v>
      </c>
      <c r="D176" s="5"/>
      <c r="E176" s="754">
        <f>IF(E172&gt;0,1/(1-E172),0)</f>
        <v>1.5424719655720258</v>
      </c>
      <c r="F176" s="5"/>
      <c r="H176" s="16"/>
      <c r="I176" s="5"/>
      <c r="J176" s="225"/>
      <c r="K176" s="5"/>
      <c r="M176" s="5"/>
    </row>
    <row r="177" spans="1:13">
      <c r="A177" s="32">
        <v>24</v>
      </c>
      <c r="C177" s="769" t="s">
        <v>408</v>
      </c>
      <c r="D177" s="756" t="s">
        <v>407</v>
      </c>
      <c r="E177" s="601">
        <f>DEO!E175+DEK!E175</f>
        <v>-252905</v>
      </c>
      <c r="F177" s="5"/>
      <c r="H177" s="16"/>
      <c r="I177" s="5"/>
      <c r="J177" s="225"/>
      <c r="K177" s="5"/>
      <c r="M177" s="5"/>
    </row>
    <row r="178" spans="1:13">
      <c r="A178" s="32"/>
      <c r="C178" s="769"/>
      <c r="D178" s="5"/>
      <c r="E178" s="225"/>
      <c r="F178" s="5"/>
      <c r="H178" s="16"/>
      <c r="I178" s="5"/>
      <c r="J178" s="225"/>
      <c r="K178" s="5"/>
      <c r="M178" s="5"/>
    </row>
    <row r="179" spans="1:13">
      <c r="A179" s="32">
        <v>25</v>
      </c>
      <c r="C179" s="771" t="s">
        <v>409</v>
      </c>
      <c r="D179" s="48"/>
      <c r="E179" s="364">
        <f>E173*E183</f>
        <v>71020865.942069829</v>
      </c>
      <c r="F179" s="5"/>
      <c r="G179" s="5" t="s">
        <v>36</v>
      </c>
      <c r="H179" s="19"/>
      <c r="I179" s="5"/>
      <c r="J179" s="364">
        <f>E173*J183</f>
        <v>13516520.880775839</v>
      </c>
      <c r="K179" s="5"/>
      <c r="L179" s="15" t="s">
        <v>12</v>
      </c>
      <c r="M179" s="5"/>
    </row>
    <row r="180" spans="1:13" ht="15.75" thickBot="1">
      <c r="A180" s="32">
        <v>26</v>
      </c>
      <c r="C180" s="770" t="s">
        <v>166</v>
      </c>
      <c r="D180" s="48"/>
      <c r="E180" s="226">
        <f>E176*E177</f>
        <v>-390098.87245299318</v>
      </c>
      <c r="F180" s="5"/>
      <c r="G180" s="12" t="s">
        <v>54</v>
      </c>
      <c r="H180" s="19">
        <f>H98</f>
        <v>0.1836662537269117</v>
      </c>
      <c r="I180" s="5"/>
      <c r="J180" s="226">
        <f>H180*E180</f>
        <v>-71647.998486533616</v>
      </c>
      <c r="K180" s="5"/>
      <c r="L180" s="15"/>
      <c r="M180" s="5"/>
    </row>
    <row r="181" spans="1:13">
      <c r="A181" s="32">
        <v>27</v>
      </c>
      <c r="C181" s="772" t="s">
        <v>150</v>
      </c>
      <c r="D181" s="760" t="s">
        <v>167</v>
      </c>
      <c r="E181" s="367">
        <f>E179+E180</f>
        <v>70630767.069616839</v>
      </c>
      <c r="F181" s="5"/>
      <c r="G181" s="5" t="s">
        <v>12</v>
      </c>
      <c r="H181" s="19" t="s">
        <v>12</v>
      </c>
      <c r="I181" s="5"/>
      <c r="J181" s="367">
        <f>J179+J180</f>
        <v>13444872.882289305</v>
      </c>
      <c r="K181" s="5"/>
      <c r="L181" s="5"/>
      <c r="M181" s="5"/>
    </row>
    <row r="182" spans="1:13">
      <c r="A182" s="32" t="s">
        <v>12</v>
      </c>
      <c r="C182" s="768"/>
      <c r="D182" s="20"/>
      <c r="E182" s="225"/>
      <c r="F182" s="5"/>
      <c r="G182" s="5"/>
      <c r="H182" s="19"/>
      <c r="I182" s="5"/>
      <c r="J182" s="225"/>
      <c r="K182" s="5"/>
      <c r="L182" s="5"/>
      <c r="M182" s="5"/>
    </row>
    <row r="183" spans="1:13">
      <c r="A183" s="32">
        <v>28</v>
      </c>
      <c r="C183" s="769" t="s">
        <v>73</v>
      </c>
      <c r="D183" s="18"/>
      <c r="E183" s="364">
        <f>ROUND($J252*E116,0)</f>
        <v>186434926</v>
      </c>
      <c r="F183" s="5"/>
      <c r="G183" s="5" t="s">
        <v>36</v>
      </c>
      <c r="H183" s="16"/>
      <c r="I183" s="5"/>
      <c r="J183" s="364">
        <f>ROUND($J252*J116,0)</f>
        <v>35481848</v>
      </c>
      <c r="K183" s="5"/>
      <c r="M183" s="5"/>
    </row>
    <row r="184" spans="1:13">
      <c r="A184" s="32"/>
      <c r="C184" s="772" t="s">
        <v>74</v>
      </c>
      <c r="E184" s="225"/>
      <c r="F184" s="5"/>
      <c r="G184" s="5"/>
      <c r="H184" s="16"/>
      <c r="I184" s="5"/>
      <c r="J184" s="225"/>
      <c r="K184" s="5"/>
      <c r="L184" s="18"/>
      <c r="M184" s="5"/>
    </row>
    <row r="185" spans="1:13">
      <c r="A185" s="32"/>
      <c r="C185" s="769"/>
      <c r="E185" s="228"/>
      <c r="F185" s="5"/>
      <c r="G185" s="5"/>
      <c r="H185" s="16"/>
      <c r="I185" s="5"/>
      <c r="J185" s="228"/>
      <c r="K185" s="5"/>
      <c r="L185" s="18"/>
      <c r="M185" s="5"/>
    </row>
    <row r="186" spans="1:13" ht="15.75" thickBot="1">
      <c r="A186" s="32">
        <v>29</v>
      </c>
      <c r="C186" s="769" t="s">
        <v>164</v>
      </c>
      <c r="D186" s="5"/>
      <c r="E186" s="368">
        <f>E183+E181+E168+E157+E151</f>
        <v>522976688.06961685</v>
      </c>
      <c r="F186" s="94"/>
      <c r="G186" s="94"/>
      <c r="H186" s="94"/>
      <c r="I186" s="94"/>
      <c r="J186" s="368">
        <f>J183+J181+J168+J157+J151</f>
        <v>113208727.88228931</v>
      </c>
      <c r="K186" s="1"/>
      <c r="L186" s="1"/>
      <c r="M186" s="1"/>
    </row>
    <row r="187" spans="1:13" ht="15.75" thickTop="1">
      <c r="A187" s="32"/>
      <c r="C187" s="3"/>
      <c r="D187" s="5"/>
      <c r="E187" s="94"/>
      <c r="F187" s="5"/>
      <c r="G187" s="5"/>
      <c r="H187" s="5"/>
      <c r="I187" s="5"/>
      <c r="J187" s="94"/>
      <c r="K187" s="1"/>
      <c r="L187" s="1"/>
      <c r="M187" s="1"/>
    </row>
    <row r="188" spans="1:13">
      <c r="A188" s="32"/>
      <c r="C188" s="3"/>
      <c r="D188" s="5"/>
      <c r="E188" s="94"/>
      <c r="F188" s="5"/>
      <c r="G188" s="5"/>
      <c r="H188" s="5"/>
      <c r="I188" s="5"/>
      <c r="J188" s="94"/>
      <c r="K188" s="1"/>
      <c r="L188" s="1"/>
      <c r="M188" s="1"/>
    </row>
    <row r="189" spans="1:13">
      <c r="A189" s="32"/>
      <c r="C189" s="3"/>
      <c r="D189" s="5"/>
      <c r="E189" s="30"/>
      <c r="F189" s="29"/>
      <c r="G189" s="29"/>
      <c r="H189" s="29"/>
      <c r="I189" s="31"/>
      <c r="K189" s="32"/>
      <c r="L189" s="92"/>
      <c r="M189" s="1"/>
    </row>
    <row r="190" spans="1:13" ht="18">
      <c r="A190" s="245"/>
      <c r="C190" s="29"/>
      <c r="D190" s="29"/>
      <c r="E190" s="30"/>
      <c r="F190" s="29"/>
      <c r="G190" s="29"/>
      <c r="H190" s="29"/>
      <c r="I190" s="31"/>
      <c r="J190" s="77" t="s">
        <v>365</v>
      </c>
      <c r="M190" s="91"/>
    </row>
    <row r="191" spans="1:13">
      <c r="C191" s="29"/>
      <c r="D191" s="29"/>
      <c r="E191" s="30"/>
      <c r="F191" s="29"/>
      <c r="G191" s="29"/>
      <c r="H191" s="29"/>
      <c r="I191" s="31"/>
      <c r="J191" s="77" t="s">
        <v>569</v>
      </c>
      <c r="M191" s="77"/>
    </row>
    <row r="192" spans="1:13">
      <c r="C192" s="29"/>
      <c r="D192" s="29"/>
      <c r="E192" s="30"/>
      <c r="F192" s="29"/>
      <c r="G192" s="29"/>
      <c r="H192" s="29"/>
      <c r="I192" s="31"/>
      <c r="M192" s="77"/>
    </row>
    <row r="193" spans="1:13">
      <c r="C193" s="29"/>
      <c r="D193" s="29"/>
      <c r="E193" s="30"/>
      <c r="F193" s="29"/>
      <c r="G193" s="29"/>
      <c r="H193" s="29"/>
      <c r="I193" s="31"/>
      <c r="M193" s="77"/>
    </row>
    <row r="194" spans="1:13">
      <c r="C194" s="29"/>
      <c r="D194" s="29"/>
      <c r="E194" s="30"/>
      <c r="F194" s="29"/>
      <c r="G194" s="29"/>
      <c r="H194" s="29"/>
      <c r="I194" s="31"/>
      <c r="M194" s="77"/>
    </row>
    <row r="195" spans="1:13">
      <c r="C195" s="29"/>
      <c r="D195" s="29"/>
      <c r="E195" s="30"/>
      <c r="F195" s="29"/>
      <c r="G195" s="29"/>
      <c r="H195" s="29"/>
      <c r="I195" s="31"/>
      <c r="J195" s="77"/>
      <c r="M195" s="77"/>
    </row>
    <row r="196" spans="1:13">
      <c r="C196" s="29" t="s">
        <v>11</v>
      </c>
      <c r="D196" s="29"/>
      <c r="E196" s="30"/>
      <c r="F196" s="29"/>
      <c r="G196" s="29"/>
      <c r="H196" s="29"/>
      <c r="I196" s="31"/>
      <c r="J196" s="92" t="str">
        <f>J7</f>
        <v>For the 12 months ended: 12/31/2016</v>
      </c>
      <c r="M196" s="77"/>
    </row>
    <row r="197" spans="1:13">
      <c r="A197" s="275" t="str">
        <f>A8</f>
        <v>Rate Formula Template</v>
      </c>
      <c r="B197" s="277"/>
      <c r="C197" s="277"/>
      <c r="D197" s="275"/>
      <c r="E197" s="277"/>
      <c r="F197" s="275"/>
      <c r="G197" s="275"/>
      <c r="H197" s="275"/>
      <c r="I197" s="275"/>
      <c r="J197" s="277"/>
      <c r="K197" s="271"/>
      <c r="L197" s="277"/>
      <c r="M197" s="1"/>
    </row>
    <row r="198" spans="1:13">
      <c r="A198" s="278" t="s">
        <v>327</v>
      </c>
      <c r="B198" s="277"/>
      <c r="C198" s="275"/>
      <c r="D198" s="278"/>
      <c r="E198" s="277"/>
      <c r="F198" s="278"/>
      <c r="G198" s="278"/>
      <c r="H198" s="278"/>
      <c r="I198" s="275"/>
      <c r="J198" s="275"/>
      <c r="K198" s="271"/>
      <c r="L198" s="271"/>
      <c r="M198" s="1"/>
    </row>
    <row r="199" spans="1:13">
      <c r="A199" s="271"/>
      <c r="B199" s="277"/>
      <c r="C199" s="271"/>
      <c r="D199" s="271"/>
      <c r="E199" s="277"/>
      <c r="F199" s="271"/>
      <c r="G199" s="271"/>
      <c r="H199" s="271"/>
      <c r="I199" s="271"/>
      <c r="J199" s="271"/>
      <c r="K199" s="271"/>
      <c r="L199" s="271"/>
      <c r="M199" s="5"/>
    </row>
    <row r="200" spans="1:13" ht="15.75">
      <c r="A200" s="425" t="str">
        <f>$A$11</f>
        <v>DUKE ENERGY OHIO AND DUKE ENERGY KENTUCKY (DEOK)</v>
      </c>
      <c r="B200" s="277"/>
      <c r="C200" s="271"/>
      <c r="D200" s="271"/>
      <c r="E200" s="277"/>
      <c r="F200" s="271"/>
      <c r="G200" s="271"/>
      <c r="H200" s="271"/>
      <c r="I200" s="271"/>
      <c r="J200" s="271"/>
      <c r="K200" s="271"/>
      <c r="L200" s="271"/>
      <c r="M200" s="5"/>
    </row>
    <row r="201" spans="1:13" ht="15.75">
      <c r="A201" s="279" t="s">
        <v>328</v>
      </c>
      <c r="B201" s="117"/>
      <c r="C201" s="117"/>
      <c r="D201" s="117"/>
      <c r="E201" s="117"/>
      <c r="F201" s="273"/>
      <c r="G201" s="273"/>
      <c r="H201" s="273"/>
      <c r="I201" s="273"/>
      <c r="J201" s="273"/>
      <c r="K201" s="272"/>
      <c r="L201" s="272"/>
      <c r="M201" s="5"/>
    </row>
    <row r="202" spans="1:13" ht="15.75">
      <c r="A202" s="32" t="s">
        <v>13</v>
      </c>
      <c r="C202" s="13"/>
      <c r="D202" s="1"/>
      <c r="E202" s="1"/>
      <c r="F202" s="1"/>
      <c r="G202" s="1"/>
      <c r="H202" s="1"/>
      <c r="I202" s="1"/>
      <c r="J202" s="1"/>
      <c r="K202" s="5"/>
      <c r="L202" s="5"/>
      <c r="M202" s="5"/>
    </row>
    <row r="203" spans="1:13" ht="15.75">
      <c r="A203" s="288" t="s">
        <v>15</v>
      </c>
      <c r="B203" s="295"/>
      <c r="C203" s="392" t="s">
        <v>377</v>
      </c>
      <c r="D203" s="66"/>
      <c r="E203" s="66"/>
      <c r="F203" s="66"/>
      <c r="G203" s="66"/>
      <c r="H203" s="66"/>
      <c r="I203" s="67"/>
      <c r="J203" s="67"/>
      <c r="K203" s="37"/>
      <c r="L203" s="5"/>
      <c r="M203" s="5"/>
    </row>
    <row r="204" spans="1:13">
      <c r="A204" s="32"/>
      <c r="C204" s="65"/>
      <c r="D204" s="66"/>
      <c r="E204" s="66"/>
      <c r="F204" s="66"/>
      <c r="G204" s="66"/>
      <c r="H204" s="66"/>
      <c r="I204" s="66"/>
      <c r="J204" s="66"/>
      <c r="K204" s="37"/>
      <c r="L204" s="5"/>
      <c r="M204" s="5"/>
    </row>
    <row r="205" spans="1:13">
      <c r="A205" s="32">
        <v>1</v>
      </c>
      <c r="C205" s="60" t="s">
        <v>378</v>
      </c>
      <c r="D205" s="66"/>
      <c r="E205" s="37"/>
      <c r="F205" s="37"/>
      <c r="G205" s="37"/>
      <c r="H205" s="37"/>
      <c r="I205" s="37"/>
      <c r="J205" s="593">
        <f>E78</f>
        <v>828471249</v>
      </c>
      <c r="K205" s="37"/>
      <c r="L205" s="5"/>
      <c r="M205" s="5"/>
    </row>
    <row r="206" spans="1:13">
      <c r="A206" s="32">
        <v>2</v>
      </c>
      <c r="C206" s="430" t="s">
        <v>446</v>
      </c>
      <c r="D206" s="67"/>
      <c r="E206" s="67"/>
      <c r="F206" s="67"/>
      <c r="G206" s="67"/>
      <c r="H206" s="67"/>
      <c r="I206" s="67"/>
      <c r="J206" s="231">
        <f>DEO!J204+DEK!J204</f>
        <v>0</v>
      </c>
      <c r="K206" s="37"/>
      <c r="L206" s="5"/>
      <c r="M206" s="5"/>
    </row>
    <row r="207" spans="1:13" ht="15.75" thickBot="1">
      <c r="A207" s="32">
        <v>3</v>
      </c>
      <c r="C207" s="431" t="s">
        <v>447</v>
      </c>
      <c r="D207" s="68"/>
      <c r="E207" s="69"/>
      <c r="F207" s="37"/>
      <c r="G207" s="37"/>
      <c r="H207" s="70"/>
      <c r="I207" s="37"/>
      <c r="J207" s="232">
        <f>DEO!J205+DEK!J205</f>
        <v>16430924</v>
      </c>
      <c r="K207" s="37"/>
      <c r="L207" s="5"/>
      <c r="M207" s="5"/>
    </row>
    <row r="208" spans="1:13">
      <c r="A208" s="32">
        <v>4</v>
      </c>
      <c r="C208" s="60" t="s">
        <v>379</v>
      </c>
      <c r="D208" s="66"/>
      <c r="E208" s="37"/>
      <c r="F208" s="37"/>
      <c r="G208" s="37"/>
      <c r="H208" s="70"/>
      <c r="I208" s="37"/>
      <c r="J208" s="593">
        <f>J205-J206-J207</f>
        <v>812040325</v>
      </c>
      <c r="K208" s="37"/>
      <c r="L208" s="5"/>
      <c r="M208" s="5"/>
    </row>
    <row r="209" spans="1:13">
      <c r="A209" s="32"/>
      <c r="C209" s="67"/>
      <c r="D209" s="66"/>
      <c r="E209" s="37"/>
      <c r="F209" s="37"/>
      <c r="G209" s="37"/>
      <c r="H209" s="70"/>
      <c r="I209" s="37"/>
      <c r="J209" s="67"/>
      <c r="K209" s="37"/>
      <c r="L209" s="5"/>
      <c r="M209" s="5"/>
    </row>
    <row r="210" spans="1:13">
      <c r="A210" s="32">
        <v>5</v>
      </c>
      <c r="C210" s="60" t="s">
        <v>380</v>
      </c>
      <c r="D210" s="71"/>
      <c r="E210" s="72"/>
      <c r="F210" s="72"/>
      <c r="G210" s="72"/>
      <c r="H210" s="73"/>
      <c r="I210" s="37" t="s">
        <v>78</v>
      </c>
      <c r="J210" s="62">
        <f>IF(J205&gt;0,J208/J205,0)</f>
        <v>0.98016717656788599</v>
      </c>
      <c r="K210" s="37"/>
      <c r="L210" s="5"/>
      <c r="M210" s="5"/>
    </row>
    <row r="211" spans="1:13">
      <c r="A211" s="32"/>
      <c r="C211" s="67"/>
      <c r="D211" s="67"/>
      <c r="E211" s="67"/>
      <c r="F211" s="67"/>
      <c r="G211" s="67"/>
      <c r="H211" s="67"/>
      <c r="I211" s="67"/>
      <c r="J211" s="67"/>
      <c r="K211" s="37"/>
      <c r="L211" s="5"/>
      <c r="M211" s="5"/>
    </row>
    <row r="212" spans="1:13" ht="15.75">
      <c r="A212" s="32"/>
      <c r="C212" s="391" t="s">
        <v>75</v>
      </c>
      <c r="D212" s="67"/>
      <c r="E212" s="67"/>
      <c r="F212" s="67"/>
      <c r="G212" s="67"/>
      <c r="H212" s="67"/>
      <c r="I212" s="67"/>
      <c r="J212" s="67"/>
      <c r="K212" s="37"/>
      <c r="L212" s="5"/>
      <c r="M212" s="5"/>
    </row>
    <row r="213" spans="1:13">
      <c r="A213" s="32"/>
      <c r="C213" s="67"/>
      <c r="D213" s="67"/>
      <c r="E213" s="67"/>
      <c r="F213" s="67"/>
      <c r="G213" s="67"/>
      <c r="H213" s="67"/>
      <c r="I213" s="67"/>
      <c r="J213" s="67"/>
      <c r="K213" s="37"/>
      <c r="L213" s="5"/>
      <c r="M213" s="5"/>
    </row>
    <row r="214" spans="1:13">
      <c r="A214" s="32">
        <v>6</v>
      </c>
      <c r="C214" s="67" t="s">
        <v>76</v>
      </c>
      <c r="D214" s="67"/>
      <c r="E214" s="66"/>
      <c r="F214" s="66"/>
      <c r="G214" s="66"/>
      <c r="H214" s="74"/>
      <c r="I214" s="66"/>
      <c r="J214" s="593">
        <f>E136</f>
        <v>69765425</v>
      </c>
      <c r="K214" s="37"/>
      <c r="L214" s="5"/>
      <c r="M214" s="5"/>
    </row>
    <row r="215" spans="1:13" ht="15.75" thickBot="1">
      <c r="A215" s="32">
        <v>7</v>
      </c>
      <c r="C215" s="431" t="s">
        <v>455</v>
      </c>
      <c r="D215" s="68"/>
      <c r="E215" s="69"/>
      <c r="F215" s="69"/>
      <c r="G215" s="37"/>
      <c r="H215" s="37"/>
      <c r="I215" s="37"/>
      <c r="J215" s="232">
        <f>DEO!J213+DEK!J213</f>
        <v>5278696</v>
      </c>
      <c r="K215" s="37"/>
      <c r="L215" s="5"/>
      <c r="M215" s="5"/>
    </row>
    <row r="216" spans="1:13">
      <c r="A216" s="32">
        <v>8</v>
      </c>
      <c r="C216" s="60" t="s">
        <v>180</v>
      </c>
      <c r="D216" s="71"/>
      <c r="E216" s="72"/>
      <c r="F216" s="72"/>
      <c r="G216" s="72"/>
      <c r="H216" s="73"/>
      <c r="I216" s="72"/>
      <c r="J216" s="593">
        <f>J214-J215</f>
        <v>64486729</v>
      </c>
      <c r="K216" s="67"/>
      <c r="M216" s="5"/>
    </row>
    <row r="217" spans="1:13">
      <c r="A217" s="32"/>
      <c r="C217" s="60"/>
      <c r="D217" s="66"/>
      <c r="E217" s="37"/>
      <c r="F217" s="37"/>
      <c r="G217" s="37"/>
      <c r="H217" s="37"/>
      <c r="I217" s="67"/>
      <c r="J217" s="67"/>
      <c r="K217" s="67"/>
      <c r="M217" s="5"/>
    </row>
    <row r="218" spans="1:13">
      <c r="A218" s="32">
        <v>9</v>
      </c>
      <c r="C218" s="60" t="s">
        <v>179</v>
      </c>
      <c r="D218" s="66"/>
      <c r="E218" s="37"/>
      <c r="F218" s="37"/>
      <c r="G218" s="37"/>
      <c r="H218" s="37"/>
      <c r="I218" s="37"/>
      <c r="J218" s="64">
        <f>IF(J214&gt;0,J216/J214,0)</f>
        <v>0.92433650336108464</v>
      </c>
      <c r="K218" s="67"/>
      <c r="M218" s="5"/>
    </row>
    <row r="219" spans="1:13">
      <c r="A219" s="32">
        <v>10</v>
      </c>
      <c r="C219" s="60" t="s">
        <v>381</v>
      </c>
      <c r="D219" s="66"/>
      <c r="E219" s="37"/>
      <c r="F219" s="37"/>
      <c r="G219" s="37"/>
      <c r="H219" s="37"/>
      <c r="I219" s="66" t="s">
        <v>19</v>
      </c>
      <c r="J219" s="75">
        <f>J210</f>
        <v>0.98016717656788599</v>
      </c>
      <c r="K219" s="67"/>
      <c r="M219" s="5"/>
    </row>
    <row r="220" spans="1:13">
      <c r="A220" s="32">
        <v>11</v>
      </c>
      <c r="C220" s="60" t="s">
        <v>382</v>
      </c>
      <c r="D220" s="66"/>
      <c r="E220" s="66"/>
      <c r="F220" s="66"/>
      <c r="G220" s="66"/>
      <c r="H220" s="66"/>
      <c r="I220" s="66" t="s">
        <v>77</v>
      </c>
      <c r="J220" s="76">
        <f>J219*J218</f>
        <v>0.90600430069806659</v>
      </c>
      <c r="K220" s="67"/>
      <c r="M220" s="5"/>
    </row>
    <row r="221" spans="1:13">
      <c r="A221" s="32"/>
      <c r="D221" s="1"/>
      <c r="E221" s="5"/>
      <c r="F221" s="5"/>
      <c r="G221" s="5"/>
      <c r="H221" s="6"/>
      <c r="I221" s="5"/>
      <c r="M221" s="5"/>
    </row>
    <row r="222" spans="1:13" ht="15.75">
      <c r="A222" s="32" t="s">
        <v>12</v>
      </c>
      <c r="C222" s="13" t="s">
        <v>79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ht="15.75" thickBot="1">
      <c r="A223" s="32" t="s">
        <v>12</v>
      </c>
      <c r="C223" s="3"/>
      <c r="D223" s="44" t="s">
        <v>80</v>
      </c>
      <c r="E223" s="45" t="s">
        <v>81</v>
      </c>
      <c r="F223" s="45" t="s">
        <v>19</v>
      </c>
      <c r="G223" s="5"/>
      <c r="H223" s="45" t="s">
        <v>82</v>
      </c>
      <c r="I223" s="5"/>
      <c r="J223" s="5"/>
      <c r="K223" s="5"/>
      <c r="L223" s="5"/>
      <c r="M223" s="5"/>
    </row>
    <row r="224" spans="1:13">
      <c r="A224" s="32">
        <v>12</v>
      </c>
      <c r="C224" s="3" t="s">
        <v>35</v>
      </c>
      <c r="D224" s="756" t="s">
        <v>83</v>
      </c>
      <c r="E224" s="601">
        <f>DEO!E222+DEK!E222</f>
        <v>15562775</v>
      </c>
      <c r="F224" s="83">
        <v>0</v>
      </c>
      <c r="G224" s="22"/>
      <c r="H224" s="225">
        <f>E224*F224</f>
        <v>0</v>
      </c>
      <c r="I224" s="5"/>
      <c r="J224" s="5"/>
      <c r="K224" s="5"/>
      <c r="L224" s="5"/>
      <c r="M224" s="5"/>
    </row>
    <row r="225" spans="1:13">
      <c r="A225" s="32">
        <v>13</v>
      </c>
      <c r="C225" s="3" t="s">
        <v>37</v>
      </c>
      <c r="D225" s="756" t="s">
        <v>223</v>
      </c>
      <c r="E225" s="601">
        <f>DEO!E223+DEK!E223</f>
        <v>9111854</v>
      </c>
      <c r="F225" s="22">
        <f>J210</f>
        <v>0.98016717656788599</v>
      </c>
      <c r="G225" s="22"/>
      <c r="H225" s="225">
        <f>E225*F225</f>
        <v>8931140.2084787991</v>
      </c>
      <c r="I225" s="5"/>
      <c r="J225" s="5"/>
      <c r="K225" s="5"/>
      <c r="L225" s="5"/>
      <c r="M225" s="1"/>
    </row>
    <row r="226" spans="1:13">
      <c r="A226" s="32">
        <v>14</v>
      </c>
      <c r="C226" s="3" t="s">
        <v>38</v>
      </c>
      <c r="D226" s="756" t="s">
        <v>224</v>
      </c>
      <c r="E226" s="601">
        <f>DEO!E224+DEK!E224</f>
        <v>33029434</v>
      </c>
      <c r="F226" s="83">
        <v>0</v>
      </c>
      <c r="G226" s="22"/>
      <c r="H226" s="225">
        <f>E226*F226</f>
        <v>0</v>
      </c>
      <c r="I226" s="5"/>
      <c r="J226" s="47" t="s">
        <v>84</v>
      </c>
      <c r="K226" s="5"/>
      <c r="L226" s="5"/>
      <c r="M226" s="5"/>
    </row>
    <row r="227" spans="1:13" ht="15.75" thickBot="1">
      <c r="A227" s="32">
        <v>15</v>
      </c>
      <c r="C227" s="3" t="s">
        <v>85</v>
      </c>
      <c r="D227" s="756" t="s">
        <v>225</v>
      </c>
      <c r="E227" s="602">
        <f>DEO!E225+DEK!E225</f>
        <v>15524536</v>
      </c>
      <c r="F227" s="83">
        <v>0</v>
      </c>
      <c r="G227" s="22"/>
      <c r="H227" s="226">
        <f>E227*F227</f>
        <v>0</v>
      </c>
      <c r="I227" s="5"/>
      <c r="J227" s="40" t="s">
        <v>86</v>
      </c>
      <c r="K227" s="5"/>
      <c r="L227" s="5"/>
      <c r="M227" s="5"/>
    </row>
    <row r="228" spans="1:13">
      <c r="A228" s="32">
        <v>16</v>
      </c>
      <c r="C228" s="3" t="s">
        <v>172</v>
      </c>
      <c r="D228" s="5"/>
      <c r="E228" s="225">
        <f>SUM(E224:E227)</f>
        <v>73228599</v>
      </c>
      <c r="F228" s="5"/>
      <c r="G228" s="5"/>
      <c r="H228" s="225">
        <f>SUM(H224:H227)</f>
        <v>8931140.2084787991</v>
      </c>
      <c r="I228" s="4" t="s">
        <v>87</v>
      </c>
      <c r="J228" s="14">
        <f>IF(H228&gt;0,H228/E228,0)</f>
        <v>0.12196246180373871</v>
      </c>
      <c r="K228" s="6" t="s">
        <v>87</v>
      </c>
      <c r="L228" s="5" t="s">
        <v>169</v>
      </c>
      <c r="M228" s="5"/>
    </row>
    <row r="229" spans="1:13">
      <c r="A229" s="32"/>
      <c r="C229" s="3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ht="15.75">
      <c r="A230" s="32"/>
      <c r="C230" s="432" t="s">
        <v>456</v>
      </c>
      <c r="D230" s="5"/>
      <c r="E230" s="5"/>
      <c r="F230" s="5"/>
      <c r="G230" s="5"/>
      <c r="H230" s="6" t="s">
        <v>88</v>
      </c>
      <c r="I230" s="16" t="s">
        <v>12</v>
      </c>
      <c r="J230" s="18" t="str">
        <f>J226</f>
        <v>W&amp;S Allocator</v>
      </c>
      <c r="M230" s="5"/>
    </row>
    <row r="231" spans="1:13" ht="15.75" thickBot="1">
      <c r="A231" s="32"/>
      <c r="C231" s="3"/>
      <c r="D231" s="5"/>
      <c r="E231" s="592" t="s">
        <v>81</v>
      </c>
      <c r="F231" s="5"/>
      <c r="G231" s="5"/>
      <c r="H231" s="32" t="s">
        <v>91</v>
      </c>
      <c r="I231" s="34"/>
      <c r="J231" s="32" t="s">
        <v>92</v>
      </c>
      <c r="K231" s="5"/>
      <c r="L231" s="517" t="s">
        <v>93</v>
      </c>
      <c r="M231" s="5"/>
    </row>
    <row r="232" spans="1:13">
      <c r="A232" s="32">
        <v>17</v>
      </c>
      <c r="C232" s="3" t="s">
        <v>89</v>
      </c>
      <c r="D232" s="756" t="s">
        <v>90</v>
      </c>
      <c r="E232" s="601">
        <f>DEO!E230+DEK!E230</f>
        <v>4229712698</v>
      </c>
      <c r="F232" s="5"/>
      <c r="H232" s="19">
        <f>IF(E235&gt;0,E232/E235,0)</f>
        <v>0.69990939802057583</v>
      </c>
      <c r="I232" s="6" t="s">
        <v>95</v>
      </c>
      <c r="J232" s="19">
        <f>J228</f>
        <v>0.12196246180373871</v>
      </c>
      <c r="K232" s="16" t="s">
        <v>87</v>
      </c>
      <c r="L232" s="518">
        <f>J232*H232</f>
        <v>8.5362673222162233E-2</v>
      </c>
      <c r="M232" s="5"/>
    </row>
    <row r="233" spans="1:13">
      <c r="A233" s="32">
        <v>18</v>
      </c>
      <c r="C233" s="3" t="s">
        <v>94</v>
      </c>
      <c r="D233" s="756" t="s">
        <v>200</v>
      </c>
      <c r="E233" s="601">
        <f>DEO!E231+DEK!E231</f>
        <v>1813516197</v>
      </c>
      <c r="F233" s="5"/>
      <c r="M233" s="5"/>
    </row>
    <row r="234" spans="1:13" ht="15.75" thickBot="1">
      <c r="A234" s="32">
        <v>19</v>
      </c>
      <c r="C234" s="54" t="s">
        <v>96</v>
      </c>
      <c r="D234" s="761" t="s">
        <v>201</v>
      </c>
      <c r="E234" s="600">
        <f>DEO!E232+DEK!E232</f>
        <v>0</v>
      </c>
      <c r="F234" s="5"/>
      <c r="G234" s="5"/>
      <c r="H234" s="5" t="s">
        <v>12</v>
      </c>
      <c r="I234" s="5"/>
      <c r="J234" s="5"/>
      <c r="K234" s="5"/>
      <c r="L234" s="5"/>
      <c r="M234" s="5"/>
    </row>
    <row r="235" spans="1:13">
      <c r="A235" s="32">
        <v>20</v>
      </c>
      <c r="C235" s="3" t="s">
        <v>151</v>
      </c>
      <c r="D235" s="5"/>
      <c r="E235" s="225">
        <f>E232+E233+E234</f>
        <v>6043228895</v>
      </c>
      <c r="F235" s="5"/>
      <c r="G235" s="5"/>
      <c r="H235" s="5"/>
      <c r="I235" s="5"/>
      <c r="J235" s="5"/>
      <c r="K235" s="5"/>
      <c r="L235" s="5"/>
      <c r="M235" s="5"/>
    </row>
    <row r="236" spans="1:13">
      <c r="A236" s="32"/>
      <c r="C236" s="3"/>
      <c r="D236" s="5"/>
      <c r="F236" s="5"/>
      <c r="G236" s="5"/>
      <c r="H236" s="5"/>
      <c r="I236" s="5"/>
      <c r="J236" s="5"/>
      <c r="K236" s="5"/>
      <c r="L236" s="5"/>
      <c r="M236" s="5"/>
    </row>
    <row r="237" spans="1:13" ht="16.5" thickBot="1">
      <c r="A237" s="32"/>
      <c r="B237" s="31"/>
      <c r="C237" s="390" t="s">
        <v>97</v>
      </c>
      <c r="D237" s="5"/>
      <c r="E237" s="5"/>
      <c r="F237" s="5"/>
      <c r="G237" s="5"/>
      <c r="H237" s="5"/>
      <c r="I237" s="5"/>
      <c r="J237" s="45" t="s">
        <v>81</v>
      </c>
      <c r="K237" s="5"/>
      <c r="L237" s="5"/>
      <c r="M237" s="5"/>
    </row>
    <row r="238" spans="1:13">
      <c r="A238" s="32">
        <v>21</v>
      </c>
      <c r="B238" s="31"/>
      <c r="C238" s="31"/>
      <c r="D238" s="759" t="s">
        <v>213</v>
      </c>
      <c r="E238" s="5"/>
      <c r="F238" s="5"/>
      <c r="G238" s="5"/>
      <c r="H238" s="5"/>
      <c r="I238" s="5"/>
      <c r="J238" s="590">
        <f>DEO!J236+DEK!J236</f>
        <v>91251600</v>
      </c>
      <c r="K238" s="5"/>
      <c r="L238" s="5"/>
      <c r="M238" s="5"/>
    </row>
    <row r="239" spans="1:13">
      <c r="A239" s="32"/>
      <c r="C239" s="3"/>
      <c r="D239" s="5"/>
      <c r="E239" s="5"/>
      <c r="F239" s="5"/>
      <c r="G239" s="5"/>
      <c r="H239" s="5"/>
      <c r="I239" s="5"/>
      <c r="J239" s="599"/>
      <c r="K239" s="5"/>
      <c r="L239" s="5"/>
      <c r="M239" s="5"/>
    </row>
    <row r="240" spans="1:13">
      <c r="A240" s="32">
        <v>22</v>
      </c>
      <c r="B240" s="31"/>
      <c r="C240" s="29"/>
      <c r="D240" s="756" t="s">
        <v>98</v>
      </c>
      <c r="E240" s="5"/>
      <c r="F240" s="5"/>
      <c r="G240" s="5"/>
      <c r="H240" s="5"/>
      <c r="I240" s="37"/>
      <c r="J240" s="589">
        <f>DEO!J238+DEK!J238</f>
        <v>0</v>
      </c>
      <c r="K240" s="5"/>
      <c r="L240" s="5"/>
      <c r="M240" s="5"/>
    </row>
    <row r="241" spans="1:13">
      <c r="A241" s="32"/>
      <c r="B241" s="31"/>
      <c r="C241" s="29"/>
      <c r="D241" s="5"/>
      <c r="E241" s="5"/>
      <c r="F241" s="5"/>
      <c r="G241" s="5"/>
      <c r="H241" s="5"/>
      <c r="I241" s="5"/>
      <c r="J241" s="599"/>
      <c r="K241" s="5"/>
      <c r="L241" s="5"/>
      <c r="M241" s="5"/>
    </row>
    <row r="242" spans="1:13">
      <c r="A242" s="32"/>
      <c r="B242" s="31"/>
      <c r="C242" s="29" t="s">
        <v>99</v>
      </c>
      <c r="D242" s="5"/>
      <c r="E242" s="5"/>
      <c r="F242" s="5"/>
      <c r="G242" s="5"/>
      <c r="H242" s="5"/>
      <c r="I242" s="5"/>
      <c r="J242" s="599"/>
      <c r="K242" s="5"/>
      <c r="L242" s="5"/>
      <c r="M242" s="5"/>
    </row>
    <row r="243" spans="1:13">
      <c r="A243" s="32">
        <v>23</v>
      </c>
      <c r="B243" s="31"/>
      <c r="C243" s="29"/>
      <c r="D243" s="759" t="s">
        <v>207</v>
      </c>
      <c r="E243" s="31"/>
      <c r="F243" s="5"/>
      <c r="G243" s="5"/>
      <c r="H243" s="5"/>
      <c r="I243" s="5"/>
      <c r="J243" s="601">
        <f>DEO!J241+DEK!J241</f>
        <v>2697315214</v>
      </c>
      <c r="K243" s="5"/>
      <c r="L243" s="5"/>
      <c r="M243" s="5"/>
    </row>
    <row r="244" spans="1:13">
      <c r="A244" s="32">
        <v>24</v>
      </c>
      <c r="B244" s="31"/>
      <c r="C244" s="29"/>
      <c r="D244" s="756" t="s">
        <v>174</v>
      </c>
      <c r="E244" s="5"/>
      <c r="F244" s="5"/>
      <c r="G244" s="5"/>
      <c r="H244" s="5"/>
      <c r="I244" s="5"/>
      <c r="J244" s="595">
        <f>DEO!J242+DEK!J242</f>
        <v>0</v>
      </c>
      <c r="K244" s="5"/>
      <c r="L244" s="5"/>
      <c r="M244" s="5"/>
    </row>
    <row r="245" spans="1:13" ht="15.75" thickBot="1">
      <c r="A245" s="32">
        <v>25</v>
      </c>
      <c r="B245" s="31"/>
      <c r="C245" s="29"/>
      <c r="D245" s="759" t="s">
        <v>208</v>
      </c>
      <c r="E245" s="5"/>
      <c r="F245" s="5"/>
      <c r="G245" s="5"/>
      <c r="H245" s="5"/>
      <c r="I245" s="5"/>
      <c r="J245" s="600">
        <f>+DEO!J243+DEK!J243</f>
        <v>-805252852</v>
      </c>
      <c r="K245" s="5"/>
      <c r="L245" s="5"/>
      <c r="M245" s="5"/>
    </row>
    <row r="246" spans="1:13">
      <c r="A246" s="32">
        <v>26</v>
      </c>
      <c r="B246" s="31"/>
      <c r="C246" s="31"/>
      <c r="D246" s="756" t="s">
        <v>676</v>
      </c>
      <c r="E246" s="31"/>
      <c r="F246" s="31"/>
      <c r="G246" s="31"/>
      <c r="H246" s="31"/>
      <c r="I246" s="31"/>
      <c r="J246" s="225">
        <f>J243+J244+J245</f>
        <v>1892062362</v>
      </c>
      <c r="K246" s="5"/>
      <c r="L246" s="5"/>
      <c r="M246" s="5"/>
    </row>
    <row r="247" spans="1:13">
      <c r="A247" s="32"/>
      <c r="C247" s="3"/>
      <c r="D247" s="5"/>
      <c r="E247" s="5"/>
      <c r="F247" s="5"/>
      <c r="G247" s="5"/>
      <c r="H247" s="6"/>
      <c r="I247" s="5"/>
      <c r="J247" s="5"/>
      <c r="K247" s="5"/>
      <c r="L247" s="5"/>
      <c r="M247" s="5"/>
    </row>
    <row r="248" spans="1:13" ht="15.75" thickBot="1">
      <c r="A248" s="32"/>
      <c r="C248" s="3"/>
      <c r="D248" s="58" t="s">
        <v>422</v>
      </c>
      <c r="E248" s="40" t="s">
        <v>81</v>
      </c>
      <c r="F248" s="40" t="s">
        <v>102</v>
      </c>
      <c r="G248" s="5"/>
      <c r="H248" s="40" t="s">
        <v>101</v>
      </c>
      <c r="I248" s="5"/>
      <c r="J248" s="40" t="s">
        <v>103</v>
      </c>
      <c r="K248" s="5"/>
      <c r="L248" s="5"/>
      <c r="M248" s="5"/>
    </row>
    <row r="249" spans="1:13">
      <c r="A249" s="32">
        <v>27</v>
      </c>
      <c r="C249" s="65" t="s">
        <v>209</v>
      </c>
      <c r="D249" s="67"/>
      <c r="E249" s="601">
        <f>DEO!E247+DEK!E247</f>
        <v>1911720000</v>
      </c>
      <c r="F249" s="55">
        <f>IF($E$252&gt;0,E249/$E$252,0)</f>
        <v>0.5025839593500907</v>
      </c>
      <c r="G249" s="23"/>
      <c r="H249" s="23">
        <f>IF(E249&gt;0,J238/E249,0)</f>
        <v>4.7732722365199924E-2</v>
      </c>
      <c r="J249" s="23">
        <f>ROUND(H249*F249,4)</f>
        <v>2.4E-2</v>
      </c>
      <c r="K249" s="24" t="s">
        <v>104</v>
      </c>
      <c r="M249" s="5"/>
    </row>
    <row r="250" spans="1:13">
      <c r="A250" s="32">
        <v>28</v>
      </c>
      <c r="C250" s="65" t="s">
        <v>210</v>
      </c>
      <c r="E250" s="366">
        <f>DEO!E248+DEK!E248</f>
        <v>0</v>
      </c>
      <c r="F250" s="55">
        <f>IF($E$252&gt;0,E250/$E$252,0)</f>
        <v>0</v>
      </c>
      <c r="G250" s="23"/>
      <c r="H250" s="23">
        <f>IF(E250&gt;0,J240/E250,0)</f>
        <v>0</v>
      </c>
      <c r="J250" s="23">
        <f>ROUND(H250*F250,4)</f>
        <v>0</v>
      </c>
      <c r="K250" s="5"/>
      <c r="M250" s="5"/>
    </row>
    <row r="251" spans="1:13" ht="16.5" thickBot="1">
      <c r="A251" s="32">
        <v>29</v>
      </c>
      <c r="C251" s="29" t="s">
        <v>105</v>
      </c>
      <c r="E251" s="226">
        <f>J246</f>
        <v>1892062362</v>
      </c>
      <c r="F251" s="55">
        <f>IF($E$252&gt;0,E251/$E$252,0)</f>
        <v>0.4974160406499093</v>
      </c>
      <c r="G251" s="23"/>
      <c r="H251" s="970">
        <f>ROE</f>
        <v>0.1138</v>
      </c>
      <c r="J251" s="61">
        <f>ROUND(H251*F251,4)</f>
        <v>5.6599999999999998E-2</v>
      </c>
      <c r="K251" s="5"/>
      <c r="M251" s="5"/>
    </row>
    <row r="252" spans="1:13">
      <c r="A252" s="32">
        <v>30</v>
      </c>
      <c r="C252" s="3" t="s">
        <v>171</v>
      </c>
      <c r="E252" s="225">
        <f>E251+E250+E249</f>
        <v>3803782362</v>
      </c>
      <c r="F252" s="5" t="s">
        <v>12</v>
      </c>
      <c r="G252" s="5"/>
      <c r="H252" s="5"/>
      <c r="I252" s="5"/>
      <c r="J252" s="23">
        <f>SUM(J249:J251)</f>
        <v>8.0600000000000005E-2</v>
      </c>
      <c r="K252" s="24" t="s">
        <v>106</v>
      </c>
      <c r="M252" s="5"/>
    </row>
    <row r="253" spans="1:13">
      <c r="F253" s="5"/>
      <c r="G253" s="5"/>
      <c r="H253" s="5"/>
      <c r="I253" s="5"/>
      <c r="M253" s="5"/>
    </row>
    <row r="254" spans="1:13">
      <c r="L254" s="5"/>
      <c r="M254" s="5"/>
    </row>
    <row r="255" spans="1:13" ht="15.75">
      <c r="A255" s="32"/>
      <c r="C255" s="390" t="s">
        <v>107</v>
      </c>
      <c r="D255" s="31"/>
      <c r="E255" s="31"/>
      <c r="F255" s="31"/>
      <c r="G255" s="31"/>
      <c r="H255" s="31"/>
      <c r="I255" s="31"/>
      <c r="J255" s="31"/>
      <c r="K255" s="31"/>
      <c r="L255" s="31"/>
      <c r="M255" s="5"/>
    </row>
    <row r="256" spans="1:13" ht="15.75" thickBot="1">
      <c r="A256" s="32"/>
      <c r="C256" s="29"/>
      <c r="D256" s="29"/>
      <c r="E256" s="29"/>
      <c r="F256" s="29"/>
      <c r="G256" s="29"/>
      <c r="H256" s="29"/>
      <c r="I256" s="29"/>
      <c r="J256" s="40" t="s">
        <v>152</v>
      </c>
      <c r="K256" s="58"/>
    </row>
    <row r="257" spans="1:13">
      <c r="A257" s="32"/>
      <c r="C257" s="428" t="s">
        <v>457</v>
      </c>
      <c r="D257" s="31"/>
      <c r="E257" s="31" t="s">
        <v>108</v>
      </c>
      <c r="F257" s="31"/>
      <c r="G257" s="31"/>
      <c r="H257" s="35" t="s">
        <v>12</v>
      </c>
      <c r="I257" s="28"/>
      <c r="J257" s="238"/>
      <c r="K257" s="238"/>
    </row>
    <row r="258" spans="1:13">
      <c r="A258" s="32">
        <v>31</v>
      </c>
      <c r="C258" s="12" t="s">
        <v>149</v>
      </c>
      <c r="D258" s="31"/>
      <c r="E258" s="31"/>
      <c r="G258" s="31"/>
      <c r="I258" s="28"/>
      <c r="J258" s="410">
        <f>DEO!J256+DEK!J256</f>
        <v>0</v>
      </c>
      <c r="K258" s="239"/>
    </row>
    <row r="259" spans="1:13" ht="15.75" thickBot="1">
      <c r="A259" s="32">
        <v>32</v>
      </c>
      <c r="C259" s="56" t="s">
        <v>410</v>
      </c>
      <c r="D259" s="53"/>
      <c r="E259" s="56"/>
      <c r="F259" s="52"/>
      <c r="G259" s="52"/>
      <c r="H259" s="52"/>
      <c r="I259" s="31"/>
      <c r="J259" s="411">
        <f>DEO!J257+DEK!J257</f>
        <v>0</v>
      </c>
      <c r="K259" s="240"/>
    </row>
    <row r="260" spans="1:13">
      <c r="A260" s="32">
        <v>33</v>
      </c>
      <c r="C260" s="12" t="s">
        <v>109</v>
      </c>
      <c r="D260" s="1"/>
      <c r="F260" s="31"/>
      <c r="G260" s="31"/>
      <c r="H260" s="31"/>
      <c r="I260" s="31"/>
      <c r="J260" s="249">
        <f>J258-J259</f>
        <v>0</v>
      </c>
      <c r="K260" s="239"/>
    </row>
    <row r="261" spans="1:13">
      <c r="A261" s="32"/>
      <c r="C261" s="12" t="s">
        <v>12</v>
      </c>
      <c r="D261" s="1"/>
      <c r="F261" s="31"/>
      <c r="G261" s="31"/>
      <c r="H261" s="46"/>
      <c r="I261" s="31"/>
      <c r="J261" s="41" t="s">
        <v>12</v>
      </c>
      <c r="K261" s="238"/>
      <c r="L261" s="42"/>
      <c r="M261" s="5"/>
    </row>
    <row r="262" spans="1:13">
      <c r="A262" s="32">
        <v>34</v>
      </c>
      <c r="C262" s="428" t="s">
        <v>458</v>
      </c>
      <c r="D262" s="1"/>
      <c r="F262" s="31"/>
      <c r="G262" s="31"/>
      <c r="H262" s="57"/>
      <c r="I262" s="31"/>
      <c r="J262" s="115">
        <f>DEO!J260+DEK!J260</f>
        <v>195317</v>
      </c>
      <c r="K262" s="238"/>
      <c r="L262" s="42"/>
      <c r="M262" s="5"/>
    </row>
    <row r="263" spans="1:13">
      <c r="A263" s="32"/>
      <c r="D263" s="31"/>
      <c r="E263" s="31"/>
      <c r="F263" s="31"/>
      <c r="G263" s="31"/>
      <c r="H263" s="31"/>
      <c r="I263" s="31"/>
      <c r="J263" s="79"/>
      <c r="K263" s="238"/>
      <c r="L263" s="42"/>
      <c r="M263" s="5"/>
    </row>
    <row r="264" spans="1:13">
      <c r="A264" s="32">
        <v>35</v>
      </c>
      <c r="C264" s="428" t="s">
        <v>462</v>
      </c>
      <c r="D264" s="31"/>
      <c r="E264" s="31" t="s">
        <v>110</v>
      </c>
      <c r="F264" s="31"/>
      <c r="G264" s="31"/>
      <c r="H264" s="31"/>
      <c r="I264" s="31"/>
      <c r="J264" s="363">
        <f>DEO!J262+DEK!J262</f>
        <v>748292</v>
      </c>
      <c r="L264" s="43"/>
      <c r="M264" s="5"/>
    </row>
    <row r="265" spans="1:13">
      <c r="A265" s="32"/>
      <c r="C265" s="39"/>
      <c r="D265" s="32"/>
      <c r="E265" s="30"/>
      <c r="F265" s="29"/>
      <c r="G265" s="29"/>
      <c r="H265" s="29"/>
      <c r="I265" s="31"/>
      <c r="K265" s="32"/>
      <c r="L265" s="92"/>
      <c r="M265" s="31"/>
    </row>
    <row r="266" spans="1:13" ht="18">
      <c r="A266" s="245"/>
      <c r="C266" s="29"/>
      <c r="D266" s="29"/>
      <c r="E266" s="30"/>
      <c r="F266" s="29"/>
      <c r="G266" s="29"/>
      <c r="H266" s="29"/>
      <c r="I266" s="31"/>
      <c r="J266" s="77" t="s">
        <v>365</v>
      </c>
      <c r="K266" s="91"/>
      <c r="M266" s="91"/>
    </row>
    <row r="267" spans="1:13">
      <c r="C267" s="29"/>
      <c r="D267" s="29"/>
      <c r="E267" s="30"/>
      <c r="F267" s="29"/>
      <c r="G267" s="29"/>
      <c r="H267" s="29"/>
      <c r="I267" s="31"/>
      <c r="J267" s="77" t="s">
        <v>568</v>
      </c>
      <c r="M267" s="77"/>
    </row>
    <row r="268" spans="1:13">
      <c r="C268" s="29"/>
      <c r="D268" s="29"/>
      <c r="E268" s="30"/>
      <c r="F268" s="29"/>
      <c r="G268" s="29"/>
      <c r="H268" s="29"/>
      <c r="I268" s="31"/>
      <c r="J268" s="77"/>
      <c r="M268" s="77"/>
    </row>
    <row r="269" spans="1:13">
      <c r="C269" s="29"/>
      <c r="D269" s="29"/>
      <c r="E269" s="30"/>
      <c r="F269" s="29"/>
      <c r="G269" s="29"/>
      <c r="H269" s="29"/>
      <c r="I269" s="31"/>
      <c r="M269" s="77"/>
    </row>
    <row r="270" spans="1:13">
      <c r="C270" s="29"/>
      <c r="D270" s="29"/>
      <c r="E270" s="30"/>
      <c r="F270" s="29"/>
      <c r="G270" s="29"/>
      <c r="H270" s="29"/>
      <c r="I270" s="31"/>
      <c r="K270" s="1"/>
      <c r="M270" s="77"/>
    </row>
    <row r="271" spans="1:13">
      <c r="C271" s="29"/>
      <c r="D271" s="29"/>
      <c r="E271" s="30"/>
      <c r="F271" s="29"/>
      <c r="G271" s="29"/>
      <c r="H271" s="29"/>
      <c r="I271" s="31"/>
      <c r="J271" s="77"/>
      <c r="K271" s="1"/>
      <c r="M271" s="77"/>
    </row>
    <row r="272" spans="1:13">
      <c r="C272" s="29" t="s">
        <v>11</v>
      </c>
      <c r="D272" s="29"/>
      <c r="E272" s="30"/>
      <c r="F272" s="29"/>
      <c r="G272" s="29"/>
      <c r="H272" s="29"/>
      <c r="I272" s="31"/>
      <c r="J272" s="92" t="str">
        <f>$J$7</f>
        <v>For the 12 months ended: 12/31/2016</v>
      </c>
      <c r="K272" s="1"/>
      <c r="M272" s="77"/>
    </row>
    <row r="273" spans="1:13">
      <c r="A273" s="275" t="str">
        <f>$A$8</f>
        <v>Rate Formula Template</v>
      </c>
      <c r="B273" s="277"/>
      <c r="C273" s="277"/>
      <c r="D273" s="275"/>
      <c r="E273" s="277"/>
      <c r="F273" s="275"/>
      <c r="G273" s="275"/>
      <c r="H273" s="275"/>
      <c r="I273" s="275"/>
      <c r="J273" s="277"/>
      <c r="K273" s="60"/>
      <c r="L273" s="277"/>
      <c r="M273" s="1"/>
    </row>
    <row r="274" spans="1:13">
      <c r="A274" s="278" t="s">
        <v>327</v>
      </c>
      <c r="B274" s="277"/>
      <c r="C274" s="275"/>
      <c r="D274" s="278"/>
      <c r="E274" s="277"/>
      <c r="F274" s="278"/>
      <c r="G274" s="278"/>
      <c r="H274" s="278"/>
      <c r="I274" s="275"/>
      <c r="J274" s="275"/>
      <c r="K274" s="60"/>
      <c r="L274" s="271"/>
      <c r="M274" s="1"/>
    </row>
    <row r="275" spans="1:13">
      <c r="A275" s="271"/>
      <c r="B275" s="277"/>
      <c r="C275" s="271"/>
      <c r="D275" s="271"/>
      <c r="E275" s="277"/>
      <c r="F275" s="271"/>
      <c r="G275" s="271"/>
      <c r="H275" s="271"/>
      <c r="I275" s="271"/>
      <c r="J275" s="271"/>
      <c r="K275" s="60"/>
      <c r="L275" s="271"/>
      <c r="M275" s="31"/>
    </row>
    <row r="276" spans="1:13" ht="15.75">
      <c r="A276" s="425" t="str">
        <f>$A$11</f>
        <v>DUKE ENERGY OHIO AND DUKE ENERGY KENTUCKY (DEOK)</v>
      </c>
      <c r="B276" s="277"/>
      <c r="C276" s="271"/>
      <c r="D276" s="271"/>
      <c r="E276" s="277"/>
      <c r="F276" s="271"/>
      <c r="G276" s="271"/>
      <c r="H276" s="271"/>
      <c r="I276" s="271"/>
      <c r="J276" s="271"/>
      <c r="K276" s="60"/>
      <c r="L276" s="271"/>
      <c r="M276" s="31"/>
    </row>
    <row r="277" spans="1:13">
      <c r="A277" s="32"/>
      <c r="B277" s="31"/>
      <c r="C277" s="39"/>
      <c r="D277" s="32"/>
      <c r="E277" s="5"/>
      <c r="F277" s="5"/>
      <c r="G277" s="5"/>
      <c r="H277" s="5"/>
      <c r="I277" s="31"/>
      <c r="J277" s="242"/>
      <c r="K277" s="60"/>
      <c r="L277" s="241"/>
      <c r="M277" s="31"/>
    </row>
    <row r="278" spans="1:13" ht="20.25">
      <c r="A278" s="32"/>
      <c r="B278" s="31"/>
      <c r="C278" s="29" t="s">
        <v>111</v>
      </c>
      <c r="D278" s="32"/>
      <c r="E278" s="5"/>
      <c r="F278" s="5"/>
      <c r="G278" s="5"/>
      <c r="H278" s="5"/>
      <c r="I278" s="31"/>
      <c r="J278" s="5"/>
      <c r="K278" s="60"/>
      <c r="L278" s="5"/>
      <c r="M278" s="243"/>
    </row>
    <row r="279" spans="1:13" ht="20.25">
      <c r="A279" s="32" t="s">
        <v>113</v>
      </c>
      <c r="B279" s="31"/>
      <c r="C279" s="29" t="s">
        <v>367</v>
      </c>
      <c r="D279" s="31"/>
      <c r="E279" s="5"/>
      <c r="F279" s="5"/>
      <c r="G279" s="5"/>
      <c r="H279" s="5"/>
      <c r="I279" s="31"/>
      <c r="J279" s="5"/>
      <c r="K279" s="60"/>
      <c r="L279" s="5"/>
      <c r="M279" s="243"/>
    </row>
    <row r="280" spans="1:13" ht="20.25">
      <c r="A280" s="288" t="s">
        <v>114</v>
      </c>
      <c r="B280" s="31"/>
      <c r="C280" s="29"/>
      <c r="D280" s="31"/>
      <c r="E280" s="5"/>
      <c r="F280" s="5"/>
      <c r="G280" s="5"/>
      <c r="H280" s="5"/>
      <c r="I280" s="31"/>
      <c r="J280" s="5"/>
      <c r="K280" s="60"/>
      <c r="L280" s="5"/>
      <c r="M280" s="243"/>
    </row>
    <row r="281" spans="1:13" ht="20.25">
      <c r="A281" s="32" t="s">
        <v>115</v>
      </c>
      <c r="B281" s="31"/>
      <c r="C281" s="879" t="s">
        <v>684</v>
      </c>
      <c r="D281" s="60"/>
      <c r="E281" s="37"/>
      <c r="F281" s="37"/>
      <c r="G281" s="37"/>
      <c r="H281" s="37"/>
      <c r="I281" s="60"/>
      <c r="J281" s="37"/>
      <c r="K281" s="60"/>
      <c r="L281" s="37"/>
      <c r="M281" s="244"/>
    </row>
    <row r="282" spans="1:13" s="804" customFormat="1" ht="20.45" customHeight="1">
      <c r="A282" s="806"/>
      <c r="B282" s="805"/>
      <c r="C282" s="879" t="s">
        <v>685</v>
      </c>
      <c r="D282" s="808"/>
      <c r="E282" s="807"/>
      <c r="F282" s="807"/>
      <c r="G282" s="807"/>
      <c r="H282" s="807"/>
      <c r="I282" s="808"/>
      <c r="J282" s="807"/>
      <c r="K282" s="808"/>
      <c r="L282" s="807"/>
      <c r="M282" s="810"/>
    </row>
    <row r="283" spans="1:13" s="804" customFormat="1" ht="20.45" customHeight="1">
      <c r="A283" s="806"/>
      <c r="B283" s="805"/>
      <c r="C283" s="879" t="s">
        <v>686</v>
      </c>
      <c r="D283" s="808"/>
      <c r="E283" s="807"/>
      <c r="F283" s="807"/>
      <c r="G283" s="807"/>
      <c r="H283" s="807"/>
      <c r="I283" s="808"/>
      <c r="J283" s="807"/>
      <c r="K283" s="808"/>
      <c r="L283" s="807"/>
      <c r="M283" s="810"/>
    </row>
    <row r="284" spans="1:13" ht="20.25">
      <c r="A284" s="233" t="s">
        <v>116</v>
      </c>
      <c r="B284" s="60"/>
      <c r="C284" s="813" t="s">
        <v>687</v>
      </c>
      <c r="D284" s="60"/>
      <c r="E284" s="37"/>
      <c r="F284" s="37"/>
      <c r="G284" s="37"/>
      <c r="H284" s="37"/>
      <c r="I284" s="60"/>
      <c r="J284" s="37"/>
      <c r="K284" s="60"/>
      <c r="L284" s="37"/>
      <c r="M284" s="244"/>
    </row>
    <row r="285" spans="1:13" s="804" customFormat="1" ht="20.25">
      <c r="A285" s="809"/>
      <c r="B285" s="808"/>
      <c r="C285" s="811" t="s">
        <v>688</v>
      </c>
      <c r="D285" s="808"/>
      <c r="E285" s="807"/>
      <c r="F285" s="807"/>
      <c r="G285" s="807"/>
      <c r="H285" s="807"/>
      <c r="I285" s="808"/>
      <c r="J285" s="807"/>
      <c r="K285" s="808"/>
      <c r="L285" s="807"/>
      <c r="M285" s="810"/>
    </row>
    <row r="286" spans="1:13" s="804" customFormat="1" ht="20.25">
      <c r="A286" s="809"/>
      <c r="B286" s="808"/>
      <c r="C286" s="813" t="s">
        <v>689</v>
      </c>
      <c r="D286" s="808"/>
      <c r="E286" s="807"/>
      <c r="F286" s="807"/>
      <c r="G286" s="807"/>
      <c r="H286" s="807"/>
      <c r="I286" s="808"/>
      <c r="J286" s="807"/>
      <c r="K286" s="808"/>
      <c r="L286" s="807"/>
      <c r="M286" s="810"/>
    </row>
    <row r="287" spans="1:13" ht="20.25">
      <c r="A287" s="233" t="s">
        <v>117</v>
      </c>
      <c r="B287" s="60"/>
      <c r="C287" s="813" t="s">
        <v>360</v>
      </c>
      <c r="D287" s="60"/>
      <c r="E287" s="60"/>
      <c r="F287" s="60"/>
      <c r="G287" s="60"/>
      <c r="H287" s="60"/>
      <c r="I287" s="60"/>
      <c r="J287" s="37"/>
      <c r="K287" s="60"/>
      <c r="L287" s="60"/>
      <c r="M287" s="244"/>
    </row>
    <row r="288" spans="1:13" ht="20.25">
      <c r="A288" s="233" t="s">
        <v>118</v>
      </c>
      <c r="B288" s="60"/>
      <c r="C288" s="813" t="s">
        <v>360</v>
      </c>
      <c r="D288" s="60"/>
      <c r="E288" s="60"/>
      <c r="F288" s="60"/>
      <c r="G288" s="60"/>
      <c r="H288" s="60"/>
      <c r="I288" s="60"/>
      <c r="J288" s="37"/>
      <c r="K288" s="60"/>
      <c r="L288" s="60"/>
      <c r="M288" s="244"/>
    </row>
    <row r="289" spans="1:13" ht="20.25">
      <c r="A289" s="233" t="s">
        <v>119</v>
      </c>
      <c r="B289" s="60"/>
      <c r="C289" s="812" t="s">
        <v>469</v>
      </c>
      <c r="D289" s="60"/>
      <c r="E289" s="60"/>
      <c r="F289" s="60"/>
      <c r="G289" s="60"/>
      <c r="H289" s="60"/>
      <c r="I289" s="60"/>
      <c r="J289" s="37"/>
      <c r="K289" s="60"/>
      <c r="L289" s="60"/>
      <c r="M289" s="244"/>
    </row>
    <row r="290" spans="1:13" ht="20.25">
      <c r="A290" s="233"/>
      <c r="B290" s="60"/>
      <c r="C290" s="812" t="s">
        <v>536</v>
      </c>
      <c r="D290" s="60"/>
      <c r="E290" s="60"/>
      <c r="F290" s="60"/>
      <c r="G290" s="60"/>
      <c r="H290" s="60"/>
      <c r="I290" s="60"/>
      <c r="J290" s="37"/>
      <c r="K290" s="60"/>
      <c r="L290" s="60"/>
      <c r="M290" s="244"/>
    </row>
    <row r="291" spans="1:13" ht="20.25">
      <c r="A291" s="32" t="s">
        <v>120</v>
      </c>
      <c r="B291" s="31"/>
      <c r="C291" s="812" t="s">
        <v>264</v>
      </c>
      <c r="D291" s="60"/>
      <c r="E291" s="60"/>
      <c r="F291" s="60"/>
      <c r="G291" s="60"/>
      <c r="H291" s="60"/>
      <c r="I291" s="60"/>
      <c r="J291" s="60"/>
      <c r="K291" s="60"/>
      <c r="L291" s="60"/>
      <c r="M291" s="244"/>
    </row>
    <row r="292" spans="1:13" ht="20.25">
      <c r="A292" s="32"/>
      <c r="B292" s="31"/>
      <c r="C292" s="812" t="s">
        <v>265</v>
      </c>
      <c r="D292" s="60"/>
      <c r="E292" s="60"/>
      <c r="F292" s="60"/>
      <c r="G292" s="60"/>
      <c r="H292" s="60"/>
      <c r="I292" s="60"/>
      <c r="J292" s="60"/>
      <c r="K292" s="60"/>
      <c r="L292" s="60"/>
      <c r="M292" s="244"/>
    </row>
    <row r="293" spans="1:13" ht="20.25">
      <c r="A293" s="32"/>
      <c r="B293" s="31"/>
      <c r="C293" s="812" t="s">
        <v>243</v>
      </c>
      <c r="D293" s="60"/>
      <c r="E293" s="60"/>
      <c r="F293" s="60"/>
      <c r="G293" s="60"/>
      <c r="H293" s="60"/>
      <c r="I293" s="60"/>
      <c r="J293" s="60"/>
      <c r="K293" s="60"/>
      <c r="L293" s="60"/>
      <c r="M293" s="244"/>
    </row>
    <row r="294" spans="1:13" ht="20.25">
      <c r="A294" s="32" t="s">
        <v>121</v>
      </c>
      <c r="B294" s="31"/>
      <c r="C294" s="812" t="s">
        <v>122</v>
      </c>
      <c r="D294" s="60"/>
      <c r="E294" s="60"/>
      <c r="F294" s="60"/>
      <c r="G294" s="60"/>
      <c r="H294" s="60"/>
      <c r="I294" s="60"/>
      <c r="J294" s="60"/>
      <c r="K294" s="60"/>
      <c r="L294" s="60"/>
      <c r="M294" s="244"/>
    </row>
    <row r="295" spans="1:13" ht="20.25">
      <c r="A295" s="32" t="s">
        <v>123</v>
      </c>
      <c r="B295" s="31"/>
      <c r="C295" s="812" t="s">
        <v>124</v>
      </c>
      <c r="D295" s="60"/>
      <c r="E295" s="60"/>
      <c r="F295" s="60"/>
      <c r="G295" s="60"/>
      <c r="H295" s="60"/>
      <c r="I295" s="60"/>
      <c r="J295" s="60"/>
      <c r="K295" s="60"/>
      <c r="L295" s="60"/>
      <c r="M295" s="244"/>
    </row>
    <row r="296" spans="1:13" ht="20.25">
      <c r="A296" s="32"/>
      <c r="B296" s="31"/>
      <c r="C296" s="812" t="s">
        <v>368</v>
      </c>
      <c r="D296" s="60"/>
      <c r="E296" s="60"/>
      <c r="F296" s="60"/>
      <c r="G296" s="60"/>
      <c r="H296" s="60"/>
      <c r="I296" s="60"/>
      <c r="J296" s="60"/>
      <c r="K296" s="60"/>
      <c r="L296" s="60"/>
      <c r="M296" s="244"/>
    </row>
    <row r="297" spans="1:13" ht="20.25">
      <c r="A297" s="32" t="s">
        <v>125</v>
      </c>
      <c r="B297" s="31"/>
      <c r="C297" s="812" t="s">
        <v>393</v>
      </c>
      <c r="D297" s="60"/>
      <c r="E297" s="60"/>
      <c r="F297" s="60"/>
      <c r="G297" s="60"/>
      <c r="H297" s="60"/>
      <c r="I297" s="60"/>
      <c r="J297" s="60"/>
      <c r="K297" s="60"/>
      <c r="L297" s="60"/>
      <c r="M297" s="244"/>
    </row>
    <row r="298" spans="1:13" ht="20.25">
      <c r="A298" s="32"/>
      <c r="B298" s="31"/>
      <c r="C298" s="814" t="s">
        <v>394</v>
      </c>
      <c r="D298" s="60"/>
      <c r="E298" s="60"/>
      <c r="F298" s="60"/>
      <c r="G298" s="60"/>
      <c r="H298" s="60"/>
      <c r="I298" s="60"/>
      <c r="J298" s="60"/>
      <c r="K298" s="60"/>
      <c r="L298" s="60"/>
      <c r="M298" s="244"/>
    </row>
    <row r="299" spans="1:13" ht="20.25">
      <c r="A299" s="32" t="s">
        <v>126</v>
      </c>
      <c r="B299" s="31"/>
      <c r="C299" s="812" t="s">
        <v>395</v>
      </c>
      <c r="D299" s="60"/>
      <c r="E299" s="60"/>
      <c r="F299" s="60"/>
      <c r="G299" s="60"/>
      <c r="H299" s="60"/>
      <c r="I299" s="60"/>
      <c r="J299" s="60"/>
      <c r="K299" s="60"/>
      <c r="L299" s="60"/>
      <c r="M299" s="244"/>
    </row>
    <row r="300" spans="1:13" ht="20.25">
      <c r="A300" s="32"/>
      <c r="B300" s="31"/>
      <c r="C300" s="812" t="s">
        <v>396</v>
      </c>
      <c r="D300" s="60"/>
      <c r="E300" s="60"/>
      <c r="F300" s="60"/>
      <c r="G300" s="60"/>
      <c r="H300" s="60"/>
      <c r="I300" s="60"/>
      <c r="J300" s="60"/>
      <c r="K300" s="60"/>
      <c r="L300" s="60"/>
      <c r="M300" s="244"/>
    </row>
    <row r="301" spans="1:13" ht="20.25">
      <c r="A301" s="32" t="s">
        <v>127</v>
      </c>
      <c r="B301" s="31"/>
      <c r="C301" s="812" t="s">
        <v>690</v>
      </c>
      <c r="D301" s="60"/>
      <c r="E301" s="60"/>
      <c r="F301" s="60"/>
      <c r="G301" s="60"/>
      <c r="H301" s="60"/>
      <c r="I301" s="60"/>
      <c r="J301" s="60"/>
      <c r="K301" s="60"/>
      <c r="L301" s="60"/>
      <c r="M301" s="244"/>
    </row>
    <row r="302" spans="1:13" ht="20.25">
      <c r="A302" s="32"/>
      <c r="B302" s="31"/>
      <c r="C302" s="812" t="s">
        <v>397</v>
      </c>
      <c r="D302" s="60"/>
      <c r="E302" s="60"/>
      <c r="F302" s="60"/>
      <c r="G302" s="60"/>
      <c r="H302" s="60"/>
      <c r="I302" s="60"/>
      <c r="J302" s="60"/>
      <c r="K302" s="60"/>
      <c r="L302" s="60"/>
      <c r="M302" s="244"/>
    </row>
    <row r="303" spans="1:13" ht="20.25">
      <c r="A303" s="32"/>
      <c r="B303" s="31"/>
      <c r="C303" s="812" t="s">
        <v>398</v>
      </c>
      <c r="D303" s="60"/>
      <c r="E303" s="60"/>
      <c r="F303" s="60"/>
      <c r="G303" s="60"/>
      <c r="H303" s="60"/>
      <c r="I303" s="60"/>
      <c r="J303" s="60"/>
      <c r="K303" s="60"/>
      <c r="L303" s="60"/>
      <c r="M303" s="244"/>
    </row>
    <row r="304" spans="1:13" ht="20.25">
      <c r="A304" s="32"/>
      <c r="B304" s="31"/>
      <c r="C304" s="812" t="s">
        <v>399</v>
      </c>
      <c r="D304" s="60"/>
      <c r="E304" s="60"/>
      <c r="F304" s="60"/>
      <c r="G304" s="60"/>
      <c r="H304" s="60"/>
      <c r="I304" s="60"/>
      <c r="J304" s="60"/>
      <c r="K304" s="60"/>
      <c r="L304" s="60"/>
      <c r="M304" s="244"/>
    </row>
    <row r="305" spans="1:13" ht="20.25">
      <c r="A305" s="32"/>
      <c r="B305" s="31"/>
      <c r="C305" s="812" t="s">
        <v>400</v>
      </c>
      <c r="D305" s="60"/>
      <c r="E305" s="60"/>
      <c r="F305" s="60"/>
      <c r="G305" s="60"/>
      <c r="H305" s="60"/>
      <c r="I305" s="60"/>
      <c r="J305" s="60"/>
      <c r="K305" s="60"/>
      <c r="L305" s="60"/>
      <c r="M305" s="244"/>
    </row>
    <row r="306" spans="1:13" ht="20.25">
      <c r="A306" s="32"/>
      <c r="B306" s="31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244"/>
    </row>
    <row r="307" spans="1:13" ht="20.25">
      <c r="A307" s="32" t="s">
        <v>12</v>
      </c>
      <c r="B307" s="31"/>
      <c r="C307" s="60" t="s">
        <v>165</v>
      </c>
      <c r="D307" s="60" t="s">
        <v>155</v>
      </c>
      <c r="E307" s="606">
        <f>INPUT!E87</f>
        <v>0.35</v>
      </c>
      <c r="F307" s="60"/>
      <c r="H307" s="60"/>
      <c r="I307" s="60"/>
      <c r="J307" s="60"/>
      <c r="K307" s="60"/>
      <c r="L307" s="60"/>
      <c r="M307" s="244"/>
    </row>
    <row r="308" spans="1:13" ht="20.25">
      <c r="A308" s="32"/>
      <c r="B308" s="31"/>
      <c r="C308" s="60"/>
      <c r="D308" s="60" t="s">
        <v>156</v>
      </c>
      <c r="E308" s="413">
        <f>'P6 Statetax'!D17</f>
        <v>2.5999999999999999E-3</v>
      </c>
      <c r="F308" s="60" t="s">
        <v>157</v>
      </c>
      <c r="H308" s="60"/>
      <c r="I308" s="60"/>
      <c r="J308" s="60"/>
      <c r="K308" s="60"/>
      <c r="L308" s="60"/>
      <c r="M308" s="244"/>
    </row>
    <row r="309" spans="1:13" ht="20.25">
      <c r="A309" s="32"/>
      <c r="B309" s="31"/>
      <c r="C309" s="60"/>
      <c r="D309" s="60" t="s">
        <v>158</v>
      </c>
      <c r="E309" s="412">
        <v>0</v>
      </c>
      <c r="F309" s="60" t="s">
        <v>159</v>
      </c>
      <c r="H309" s="60"/>
      <c r="I309" s="60"/>
      <c r="J309" s="60"/>
      <c r="K309" s="60"/>
      <c r="L309" s="60"/>
      <c r="M309" s="244"/>
    </row>
    <row r="310" spans="1:13" ht="20.25">
      <c r="A310" s="32" t="s">
        <v>128</v>
      </c>
      <c r="B310" s="31"/>
      <c r="C310" s="817" t="s">
        <v>5</v>
      </c>
      <c r="D310" s="60"/>
      <c r="E310" s="60"/>
      <c r="F310" s="60"/>
      <c r="G310" s="60"/>
      <c r="H310" s="60"/>
      <c r="I310" s="60"/>
      <c r="J310" s="60"/>
      <c r="K310" s="60"/>
      <c r="L310" s="60"/>
      <c r="M310" s="244"/>
    </row>
    <row r="311" spans="1:13" ht="20.25">
      <c r="A311" s="32" t="s">
        <v>129</v>
      </c>
      <c r="B311" s="31"/>
      <c r="C311" s="817" t="s">
        <v>130</v>
      </c>
      <c r="D311" s="60"/>
      <c r="E311" s="60"/>
      <c r="F311" s="60"/>
      <c r="G311" s="60"/>
      <c r="H311" s="60"/>
      <c r="I311" s="60"/>
      <c r="J311" s="60"/>
      <c r="K311" s="60"/>
      <c r="L311" s="60"/>
      <c r="M311" s="244"/>
    </row>
    <row r="312" spans="1:13" ht="20.25">
      <c r="A312" s="32"/>
      <c r="B312" s="31"/>
      <c r="C312" s="817" t="s">
        <v>535</v>
      </c>
      <c r="D312" s="60"/>
      <c r="E312" s="60"/>
      <c r="F312" s="60"/>
      <c r="G312" s="60"/>
      <c r="H312" s="60"/>
      <c r="I312" s="60"/>
      <c r="J312" s="60"/>
      <c r="K312" s="60"/>
      <c r="L312" s="60"/>
      <c r="M312" s="244"/>
    </row>
    <row r="313" spans="1:13" ht="20.25">
      <c r="A313" s="32" t="s">
        <v>131</v>
      </c>
      <c r="B313" s="31"/>
      <c r="C313" s="817" t="s">
        <v>173</v>
      </c>
      <c r="D313" s="60"/>
      <c r="E313" s="60"/>
      <c r="F313" s="60"/>
      <c r="G313" s="60"/>
      <c r="H313" s="60"/>
      <c r="I313" s="60"/>
      <c r="J313" s="60"/>
      <c r="K313" s="60"/>
      <c r="L313" s="60"/>
      <c r="M313" s="244"/>
    </row>
    <row r="314" spans="1:13" ht="20.25">
      <c r="A314" s="32"/>
      <c r="B314" s="31"/>
      <c r="C314" s="817" t="s">
        <v>369</v>
      </c>
      <c r="D314" s="60"/>
      <c r="E314" s="60"/>
      <c r="F314" s="60"/>
      <c r="G314" s="60"/>
      <c r="H314" s="60"/>
      <c r="I314" s="60"/>
      <c r="J314" s="60"/>
      <c r="K314" s="60"/>
      <c r="L314" s="60"/>
      <c r="M314" s="244"/>
    </row>
    <row r="315" spans="1:13" ht="20.25">
      <c r="A315" s="32"/>
      <c r="B315" s="31"/>
      <c r="C315" s="817" t="s">
        <v>370</v>
      </c>
      <c r="D315" s="60"/>
      <c r="E315" s="60"/>
      <c r="F315" s="60"/>
      <c r="G315" s="60"/>
      <c r="H315" s="60"/>
      <c r="I315" s="60"/>
      <c r="J315" s="60"/>
      <c r="K315" s="60"/>
      <c r="L315" s="60"/>
      <c r="M315" s="244"/>
    </row>
    <row r="316" spans="1:13" ht="20.25">
      <c r="A316" s="32" t="s">
        <v>132</v>
      </c>
      <c r="B316" s="31"/>
      <c r="C316" s="817" t="s">
        <v>562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244"/>
    </row>
    <row r="317" spans="1:13" ht="20.25">
      <c r="A317" s="32" t="s">
        <v>133</v>
      </c>
      <c r="B317" s="31"/>
      <c r="C317" s="817" t="s">
        <v>557</v>
      </c>
      <c r="D317" s="60"/>
      <c r="E317" s="60"/>
      <c r="F317" s="60"/>
      <c r="G317" s="60"/>
      <c r="H317" s="60"/>
      <c r="I317" s="60"/>
      <c r="J317" s="60"/>
      <c r="K317" s="60"/>
      <c r="L317" s="60"/>
      <c r="M317" s="244"/>
    </row>
    <row r="318" spans="1:13" ht="20.25">
      <c r="A318" s="32"/>
      <c r="B318" s="31"/>
      <c r="C318" s="817" t="s">
        <v>558</v>
      </c>
      <c r="D318" s="60"/>
      <c r="E318" s="60"/>
      <c r="F318" s="60"/>
      <c r="G318" s="60"/>
      <c r="H318" s="60"/>
      <c r="I318" s="60"/>
      <c r="J318" s="60"/>
      <c r="K318" s="60"/>
      <c r="L318" s="60"/>
      <c r="M318" s="244"/>
    </row>
    <row r="319" spans="1:13" ht="20.25">
      <c r="A319" s="32" t="s">
        <v>134</v>
      </c>
      <c r="B319" s="31"/>
      <c r="C319" s="817" t="s">
        <v>421</v>
      </c>
      <c r="D319" s="60"/>
      <c r="E319" s="60"/>
      <c r="F319" s="60"/>
      <c r="G319" s="60"/>
      <c r="H319" s="60"/>
      <c r="I319" s="60"/>
      <c r="J319" s="60"/>
      <c r="K319" s="60"/>
      <c r="L319" s="60"/>
      <c r="M319" s="244"/>
    </row>
    <row r="320" spans="1:13" ht="20.25">
      <c r="A320" s="32"/>
      <c r="B320" s="31"/>
      <c r="C320" s="817" t="s">
        <v>371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244"/>
    </row>
    <row r="321" spans="1:13" ht="20.25">
      <c r="A321" s="32" t="s">
        <v>135</v>
      </c>
      <c r="B321" s="31"/>
      <c r="C321" s="817" t="s">
        <v>141</v>
      </c>
      <c r="D321" s="60"/>
      <c r="E321" s="60"/>
      <c r="F321" s="60"/>
      <c r="G321" s="60"/>
      <c r="H321" s="60"/>
      <c r="I321" s="60"/>
      <c r="J321" s="60"/>
      <c r="K321" s="60"/>
      <c r="L321" s="60"/>
      <c r="M321" s="244"/>
    </row>
    <row r="322" spans="1:13">
      <c r="A322" s="32" t="s">
        <v>177</v>
      </c>
      <c r="B322" s="31"/>
      <c r="C322" s="818" t="s">
        <v>360</v>
      </c>
      <c r="D322" s="60"/>
      <c r="E322" s="60"/>
      <c r="F322" s="60"/>
      <c r="G322" s="60"/>
      <c r="H322" s="60"/>
      <c r="I322" s="60"/>
      <c r="J322" s="60"/>
      <c r="K322" s="60"/>
      <c r="L322" s="60"/>
      <c r="M322" s="60"/>
    </row>
    <row r="323" spans="1:13">
      <c r="A323" s="374" t="s">
        <v>178</v>
      </c>
      <c r="C323" s="819" t="s">
        <v>763</v>
      </c>
      <c r="D323" s="66"/>
      <c r="E323" s="66"/>
      <c r="F323" s="66"/>
      <c r="G323" s="66"/>
      <c r="H323" s="66"/>
      <c r="I323" s="66"/>
      <c r="J323" s="66"/>
      <c r="K323" s="66"/>
      <c r="L323" s="66"/>
      <c r="M323" s="66"/>
    </row>
    <row r="324" spans="1:13">
      <c r="C324" s="819" t="s">
        <v>372</v>
      </c>
      <c r="D324" s="246"/>
      <c r="E324" s="66"/>
      <c r="F324" s="66"/>
      <c r="G324" s="66"/>
      <c r="H324" s="66"/>
      <c r="I324" s="66"/>
      <c r="J324" s="66"/>
      <c r="K324" s="66"/>
      <c r="L324" s="66"/>
      <c r="M324" s="66"/>
    </row>
    <row r="325" spans="1:13">
      <c r="C325" s="819" t="s">
        <v>460</v>
      </c>
      <c r="D325" s="66"/>
      <c r="E325" s="66"/>
      <c r="F325" s="66"/>
      <c r="G325" s="66"/>
      <c r="H325" s="66"/>
      <c r="I325" s="66"/>
      <c r="J325" s="66"/>
      <c r="K325" s="66"/>
      <c r="L325" s="66"/>
      <c r="M325" s="247"/>
    </row>
    <row r="326" spans="1:13">
      <c r="C326" s="819" t="s">
        <v>423</v>
      </c>
      <c r="D326" s="66"/>
      <c r="E326" s="246"/>
      <c r="F326" s="66"/>
      <c r="G326" s="66"/>
      <c r="H326" s="66"/>
      <c r="I326" s="66"/>
      <c r="J326" s="66"/>
      <c r="K326" s="66"/>
      <c r="L326" s="66"/>
      <c r="M326" s="247"/>
    </row>
    <row r="327" spans="1:13">
      <c r="C327" s="66"/>
      <c r="D327" s="66"/>
      <c r="E327" s="246"/>
      <c r="F327" s="66"/>
      <c r="G327" s="66"/>
      <c r="H327" s="66"/>
      <c r="I327" s="66"/>
      <c r="J327" s="66"/>
      <c r="K327" s="66"/>
      <c r="L327" s="66"/>
      <c r="M327" s="247"/>
    </row>
    <row r="328" spans="1:13" ht="18">
      <c r="A328" s="245"/>
      <c r="C328" s="29"/>
      <c r="D328" s="29"/>
      <c r="E328" s="30"/>
      <c r="F328" s="29"/>
      <c r="G328" s="29"/>
      <c r="H328" s="29"/>
      <c r="I328" s="31"/>
      <c r="J328" s="77" t="s">
        <v>365</v>
      </c>
      <c r="K328" s="91"/>
      <c r="M328" s="91"/>
    </row>
    <row r="329" spans="1:13">
      <c r="C329" s="29"/>
      <c r="D329" s="29"/>
      <c r="E329" s="30"/>
      <c r="F329" s="29"/>
      <c r="G329" s="29"/>
      <c r="H329" s="29"/>
      <c r="I329" s="31"/>
      <c r="J329" s="77" t="s">
        <v>564</v>
      </c>
      <c r="M329" s="77"/>
    </row>
    <row r="330" spans="1:13">
      <c r="C330" s="29"/>
      <c r="D330" s="29"/>
      <c r="E330" s="30"/>
      <c r="F330" s="29"/>
      <c r="G330" s="29"/>
      <c r="H330" s="29"/>
      <c r="I330" s="31"/>
      <c r="J330" s="77"/>
      <c r="M330" s="77"/>
    </row>
    <row r="331" spans="1:13">
      <c r="C331" s="29"/>
      <c r="D331" s="29"/>
      <c r="E331" s="30"/>
      <c r="F331" s="29"/>
      <c r="G331" s="29"/>
      <c r="H331" s="29"/>
      <c r="I331" s="31"/>
      <c r="M331" s="77"/>
    </row>
    <row r="332" spans="1:13">
      <c r="C332" s="29"/>
      <c r="D332" s="29"/>
      <c r="E332" s="30"/>
      <c r="F332" s="29"/>
      <c r="G332" s="29"/>
      <c r="H332" s="29"/>
      <c r="I332" s="31"/>
      <c r="K332" s="1"/>
      <c r="M332" s="77"/>
    </row>
    <row r="333" spans="1:13">
      <c r="C333" s="29"/>
      <c r="D333" s="29"/>
      <c r="E333" s="30"/>
      <c r="F333" s="29"/>
      <c r="G333" s="29"/>
      <c r="H333" s="29"/>
      <c r="I333" s="31"/>
      <c r="J333" s="77"/>
      <c r="K333" s="1"/>
      <c r="M333" s="77"/>
    </row>
    <row r="334" spans="1:13">
      <c r="C334" s="29" t="s">
        <v>11</v>
      </c>
      <c r="D334" s="29"/>
      <c r="E334" s="30"/>
      <c r="F334" s="29"/>
      <c r="G334" s="29"/>
      <c r="H334" s="29"/>
      <c r="I334" s="31"/>
      <c r="J334" s="92" t="str">
        <f>$J$7</f>
        <v>For the 12 months ended: 12/31/2016</v>
      </c>
      <c r="K334" s="1"/>
      <c r="M334" s="77"/>
    </row>
    <row r="335" spans="1:13">
      <c r="A335" s="275" t="str">
        <f>$A$8</f>
        <v>Rate Formula Template</v>
      </c>
      <c r="B335" s="277"/>
      <c r="C335" s="277"/>
      <c r="D335" s="275"/>
      <c r="E335" s="277"/>
      <c r="F335" s="275"/>
      <c r="G335" s="275"/>
      <c r="H335" s="275"/>
      <c r="I335" s="275"/>
      <c r="J335" s="277"/>
      <c r="K335" s="60"/>
      <c r="L335" s="277"/>
      <c r="M335" s="1"/>
    </row>
    <row r="336" spans="1:13">
      <c r="A336" s="278" t="s">
        <v>327</v>
      </c>
      <c r="B336" s="277"/>
      <c r="C336" s="275"/>
      <c r="D336" s="278"/>
      <c r="E336" s="277"/>
      <c r="F336" s="278"/>
      <c r="G336" s="278"/>
      <c r="H336" s="278"/>
      <c r="I336" s="275"/>
      <c r="J336" s="275"/>
      <c r="K336" s="60"/>
      <c r="L336" s="271"/>
      <c r="M336" s="1"/>
    </row>
    <row r="337" spans="1:13">
      <c r="A337" s="271"/>
      <c r="B337" s="277"/>
      <c r="C337" s="271"/>
      <c r="D337" s="271"/>
      <c r="E337" s="277"/>
      <c r="F337" s="271"/>
      <c r="G337" s="271"/>
      <c r="H337" s="271"/>
      <c r="I337" s="271"/>
      <c r="J337" s="271"/>
      <c r="K337" s="60"/>
      <c r="L337" s="271"/>
      <c r="M337" s="31"/>
    </row>
    <row r="338" spans="1:13" ht="15.75">
      <c r="A338" s="425" t="str">
        <f>$A$11</f>
        <v>DUKE ENERGY OHIO AND DUKE ENERGY KENTUCKY (DEOK)</v>
      </c>
      <c r="B338" s="277"/>
      <c r="C338" s="271"/>
      <c r="D338" s="271"/>
      <c r="E338" s="277"/>
      <c r="F338" s="271"/>
      <c r="G338" s="271"/>
      <c r="H338" s="271"/>
      <c r="I338" s="271"/>
      <c r="J338" s="271"/>
      <c r="K338" s="60"/>
      <c r="L338" s="271"/>
      <c r="M338" s="31"/>
    </row>
    <row r="339" spans="1:13">
      <c r="A339" s="32"/>
      <c r="B339" s="31"/>
      <c r="C339" s="39"/>
      <c r="D339" s="32"/>
      <c r="E339" s="5"/>
      <c r="F339" s="5"/>
      <c r="G339" s="5"/>
      <c r="H339" s="5"/>
      <c r="I339" s="31"/>
      <c r="J339" s="242"/>
      <c r="K339" s="60"/>
      <c r="L339" s="241"/>
      <c r="M339" s="31"/>
    </row>
    <row r="340" spans="1:13" ht="20.25">
      <c r="A340" s="32"/>
      <c r="B340" s="31"/>
      <c r="C340" s="29" t="s">
        <v>111</v>
      </c>
      <c r="D340" s="32"/>
      <c r="E340" s="5"/>
      <c r="F340" s="5"/>
      <c r="G340" s="5"/>
      <c r="H340" s="5"/>
      <c r="I340" s="31"/>
      <c r="J340" s="5"/>
      <c r="K340" s="60"/>
      <c r="L340" s="5"/>
      <c r="M340" s="243"/>
    </row>
    <row r="341" spans="1:13" ht="20.25">
      <c r="A341" s="32" t="s">
        <v>113</v>
      </c>
      <c r="B341" s="31"/>
      <c r="C341" s="29" t="s">
        <v>367</v>
      </c>
      <c r="D341" s="31"/>
      <c r="E341" s="5"/>
      <c r="F341" s="5"/>
      <c r="G341" s="5"/>
      <c r="H341" s="5"/>
      <c r="I341" s="31"/>
      <c r="J341" s="5"/>
      <c r="K341" s="60"/>
      <c r="L341" s="5"/>
      <c r="M341" s="243"/>
    </row>
    <row r="342" spans="1:13" ht="20.25">
      <c r="A342" s="288" t="s">
        <v>114</v>
      </c>
      <c r="B342" s="31"/>
      <c r="C342" s="29"/>
      <c r="D342" s="31"/>
      <c r="E342" s="5"/>
      <c r="F342" s="5"/>
      <c r="G342" s="5"/>
      <c r="H342" s="5"/>
      <c r="I342" s="31"/>
      <c r="J342" s="5"/>
      <c r="K342" s="60"/>
      <c r="L342" s="5"/>
      <c r="M342" s="243"/>
    </row>
    <row r="343" spans="1:13">
      <c r="A343" s="374" t="s">
        <v>203</v>
      </c>
      <c r="C343" s="829" t="s">
        <v>559</v>
      </c>
      <c r="D343" s="1"/>
      <c r="E343" s="1"/>
      <c r="F343" s="1"/>
      <c r="G343" s="1"/>
      <c r="H343" s="1"/>
      <c r="I343" s="1"/>
      <c r="J343" s="1"/>
      <c r="K343" s="1"/>
      <c r="L343" s="1"/>
      <c r="M343" s="248"/>
    </row>
    <row r="344" spans="1:13">
      <c r="A344" s="374"/>
      <c r="C344" s="829" t="s">
        <v>560</v>
      </c>
      <c r="D344" s="1"/>
      <c r="E344" s="1"/>
      <c r="F344" s="1"/>
      <c r="G344" s="1"/>
      <c r="H344" s="1"/>
      <c r="I344" s="1"/>
      <c r="J344" s="1"/>
      <c r="K344" s="1"/>
      <c r="L344" s="1"/>
      <c r="M344" s="248"/>
    </row>
    <row r="345" spans="1:13">
      <c r="A345" s="374"/>
      <c r="C345" s="829" t="s">
        <v>561</v>
      </c>
      <c r="D345" s="1"/>
      <c r="E345" s="1"/>
      <c r="F345" s="1"/>
      <c r="G345" s="1"/>
      <c r="H345" s="1"/>
      <c r="I345" s="1"/>
      <c r="J345" s="1"/>
      <c r="K345" s="1"/>
      <c r="L345" s="1"/>
      <c r="M345" s="248"/>
    </row>
    <row r="346" spans="1:13">
      <c r="A346" s="374" t="s">
        <v>6</v>
      </c>
      <c r="C346" s="826" t="s">
        <v>401</v>
      </c>
      <c r="D346" s="1"/>
      <c r="E346" s="1"/>
      <c r="F346" s="1"/>
      <c r="G346" s="1"/>
      <c r="H346" s="1"/>
      <c r="I346" s="1"/>
      <c r="J346" s="1"/>
      <c r="K346" s="1"/>
      <c r="L346" s="1"/>
      <c r="M346" s="248"/>
    </row>
    <row r="347" spans="1:13">
      <c r="A347" s="374" t="s">
        <v>459</v>
      </c>
      <c r="C347" s="828" t="s">
        <v>360</v>
      </c>
      <c r="D347" s="1"/>
      <c r="E347" s="248"/>
      <c r="F347" s="248"/>
      <c r="G347" s="248"/>
      <c r="H347" s="248"/>
      <c r="I347" s="248"/>
      <c r="J347" s="248"/>
      <c r="K347" s="248"/>
      <c r="L347" s="248"/>
      <c r="M347" s="248"/>
    </row>
    <row r="348" spans="1:13">
      <c r="A348" s="374" t="s">
        <v>633</v>
      </c>
      <c r="C348" s="827" t="s">
        <v>758</v>
      </c>
      <c r="D348" s="1"/>
      <c r="E348" s="1"/>
      <c r="F348" s="1"/>
      <c r="G348" s="1"/>
      <c r="H348" s="66"/>
      <c r="I348" s="66"/>
      <c r="J348" s="66"/>
      <c r="K348" s="66"/>
      <c r="L348" s="1"/>
      <c r="M348" s="248"/>
    </row>
    <row r="349" spans="1:13">
      <c r="C349" s="827" t="s">
        <v>759</v>
      </c>
      <c r="D349" s="1"/>
      <c r="E349" s="1"/>
      <c r="F349" s="1"/>
      <c r="G349" s="1"/>
      <c r="H349" s="66"/>
      <c r="I349" s="66"/>
      <c r="J349" s="66"/>
      <c r="K349" s="66"/>
      <c r="L349" s="1"/>
      <c r="M349" s="248"/>
    </row>
    <row r="350" spans="1:13" s="839" customFormat="1">
      <c r="A350" s="755" t="s">
        <v>634</v>
      </c>
      <c r="C350" s="839" t="s">
        <v>764</v>
      </c>
      <c r="D350" s="838"/>
      <c r="E350" s="838"/>
      <c r="F350" s="838"/>
      <c r="G350" s="838"/>
      <c r="H350" s="838"/>
      <c r="I350" s="838"/>
      <c r="J350" s="838"/>
      <c r="K350" s="838"/>
      <c r="L350" s="838"/>
      <c r="M350" s="247"/>
    </row>
    <row r="351" spans="1:13" s="839" customFormat="1">
      <c r="A351" s="755"/>
      <c r="C351" s="839" t="s">
        <v>765</v>
      </c>
      <c r="D351" s="838"/>
      <c r="E351" s="838"/>
      <c r="F351" s="838"/>
      <c r="G351" s="838"/>
      <c r="H351" s="838"/>
      <c r="I351" s="838"/>
      <c r="J351" s="838"/>
      <c r="K351" s="838"/>
      <c r="L351" s="838"/>
      <c r="M351" s="247"/>
    </row>
    <row r="352" spans="1:13">
      <c r="A352" s="755" t="s">
        <v>844</v>
      </c>
      <c r="B352" s="67"/>
      <c r="C352" s="839" t="s">
        <v>666</v>
      </c>
      <c r="D352" s="66"/>
      <c r="E352" s="66"/>
      <c r="F352" s="66"/>
      <c r="G352" s="66"/>
      <c r="H352" s="66"/>
      <c r="I352" s="66"/>
      <c r="J352" s="66"/>
      <c r="K352" s="66"/>
      <c r="L352" s="1"/>
      <c r="M352" s="248"/>
    </row>
    <row r="353" spans="1:13">
      <c r="A353" s="67"/>
      <c r="B353" s="67"/>
      <c r="C353" s="66" t="s">
        <v>667</v>
      </c>
      <c r="D353" s="66"/>
      <c r="E353" s="67"/>
      <c r="F353" s="67"/>
      <c r="G353" s="67"/>
      <c r="H353" s="67"/>
      <c r="I353" s="67"/>
      <c r="M353" s="248"/>
    </row>
    <row r="354" spans="1:13">
      <c r="M354" s="80"/>
    </row>
    <row r="355" spans="1:13">
      <c r="M355" s="80"/>
    </row>
    <row r="356" spans="1:13">
      <c r="M356" s="80"/>
    </row>
    <row r="357" spans="1:13">
      <c r="M357" s="80"/>
    </row>
    <row r="358" spans="1:13">
      <c r="M358" s="80"/>
    </row>
    <row r="359" spans="1:13"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</row>
    <row r="360" spans="1:13"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</row>
    <row r="361" spans="1:13"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</row>
    <row r="362" spans="1:13"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</row>
    <row r="363" spans="1:13"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</row>
    <row r="364" spans="1:13"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</row>
    <row r="365" spans="1:13"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</row>
    <row r="366" spans="1:13"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</row>
    <row r="367" spans="1:13"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</row>
    <row r="368" spans="1:13"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</row>
    <row r="369" spans="3:13"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</row>
    <row r="370" spans="3:13"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</row>
    <row r="371" spans="3:13"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</row>
    <row r="372" spans="3:13"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</row>
    <row r="373" spans="3:13"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</row>
    <row r="374" spans="3:13"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</row>
    <row r="375" spans="3:13"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</row>
    <row r="376" spans="3:13"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</row>
    <row r="377" spans="3:13"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</row>
    <row r="378" spans="3:13"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</row>
    <row r="379" spans="3:13"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</row>
    <row r="380" spans="3:13"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</row>
    <row r="381" spans="3:13"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</row>
    <row r="382" spans="3:13"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</row>
    <row r="383" spans="3:13"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</row>
    <row r="384" spans="3:13"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</row>
    <row r="385" spans="3:13"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</row>
    <row r="386" spans="3:13"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</row>
    <row r="387" spans="3:13"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</row>
    <row r="388" spans="3:13"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</row>
    <row r="389" spans="3:13"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</row>
    <row r="390" spans="3:13"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</row>
    <row r="391" spans="3:13"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</row>
    <row r="392" spans="3:13"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</row>
    <row r="393" spans="3:13"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</row>
    <row r="394" spans="3:13"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</row>
    <row r="395" spans="3:13"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</row>
    <row r="396" spans="3:13"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</row>
    <row r="397" spans="3:13"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</row>
    <row r="398" spans="3:13"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</row>
    <row r="399" spans="3:13"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</row>
    <row r="400" spans="3:13"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</row>
    <row r="401" spans="3:13"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</row>
    <row r="402" spans="3:13"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</row>
    <row r="403" spans="3:13"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</row>
    <row r="404" spans="3:13"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</row>
    <row r="405" spans="3:13"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</row>
    <row r="406" spans="3:13"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</row>
    <row r="407" spans="3:13"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</row>
    <row r="408" spans="3:13"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</row>
    <row r="409" spans="3:13"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</row>
    <row r="410" spans="3:13"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</row>
    <row r="411" spans="3:13"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</row>
    <row r="412" spans="3:13"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</row>
    <row r="413" spans="3:13"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</row>
    <row r="414" spans="3:13"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</row>
    <row r="415" spans="3:13"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</row>
    <row r="416" spans="3:13"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</row>
    <row r="417" spans="3:13"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</row>
    <row r="418" spans="3:13"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</row>
    <row r="419" spans="3:13"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</row>
    <row r="420" spans="3:13"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</row>
    <row r="421" spans="3:13"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</row>
    <row r="422" spans="3:13"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</row>
    <row r="423" spans="3:13"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</row>
    <row r="424" spans="3:13"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</row>
    <row r="425" spans="3:13"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</row>
    <row r="426" spans="3:13"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</row>
    <row r="427" spans="3:13"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</row>
    <row r="428" spans="3:13"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</row>
    <row r="429" spans="3:13"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</row>
    <row r="430" spans="3:13"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</row>
    <row r="431" spans="3:13"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</row>
    <row r="432" spans="3:13"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</row>
    <row r="433" spans="3:13"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</row>
    <row r="434" spans="3:13"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</row>
    <row r="435" spans="3:13"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</row>
    <row r="436" spans="3:13"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</row>
    <row r="437" spans="3:13"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</row>
    <row r="438" spans="3:13"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</row>
    <row r="439" spans="3:13"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</row>
    <row r="440" spans="3:13"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</row>
    <row r="441" spans="3:13"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</row>
    <row r="442" spans="3:13"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</row>
    <row r="443" spans="3:13"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</row>
    <row r="444" spans="3:13"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</row>
    <row r="445" spans="3:13"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</row>
    <row r="446" spans="3:13"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</row>
    <row r="447" spans="3:13"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</row>
    <row r="448" spans="3:13"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</row>
    <row r="449" spans="3:13"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</row>
    <row r="450" spans="3:13"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</row>
    <row r="451" spans="3:13"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</row>
    <row r="452" spans="3:13"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</row>
    <row r="453" spans="3:13"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</row>
    <row r="454" spans="3:13"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</row>
    <row r="455" spans="3:13"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</row>
    <row r="456" spans="3:13"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</row>
    <row r="457" spans="3:13"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</row>
    <row r="458" spans="3:13"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</row>
    <row r="459" spans="3:13"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</row>
    <row r="460" spans="3:13"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</row>
    <row r="461" spans="3:13"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</row>
    <row r="462" spans="3:13"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</row>
    <row r="463" spans="3:13"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</row>
    <row r="464" spans="3:13"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</row>
    <row r="465" spans="3:13"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</row>
    <row r="466" spans="3:13"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</row>
    <row r="467" spans="3:13"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</row>
    <row r="468" spans="3:13"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</row>
    <row r="469" spans="3:13"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</row>
    <row r="470" spans="3:13"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</row>
    <row r="471" spans="3:13"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</row>
    <row r="472" spans="3:13"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</row>
    <row r="473" spans="3:13"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</row>
    <row r="474" spans="3:13"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</row>
    <row r="475" spans="3:13"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</row>
    <row r="476" spans="3:13"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</row>
    <row r="477" spans="3:13"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</row>
    <row r="478" spans="3:13"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</row>
    <row r="479" spans="3:13"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</row>
    <row r="480" spans="3:13"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</row>
    <row r="481" spans="3:13"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</row>
    <row r="482" spans="3:13"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</row>
    <row r="483" spans="3:13"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</row>
    <row r="484" spans="3:13"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</row>
    <row r="485" spans="3:13"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</row>
    <row r="486" spans="3:13"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</row>
    <row r="487" spans="3:13"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</row>
    <row r="488" spans="3:13"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</row>
    <row r="489" spans="3:13"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</row>
    <row r="490" spans="3:13"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</row>
    <row r="491" spans="3:13"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</row>
    <row r="492" spans="3:13"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</row>
    <row r="493" spans="3:13"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</row>
    <row r="494" spans="3:13"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</row>
    <row r="495" spans="3:13"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</row>
    <row r="496" spans="3:13"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</row>
    <row r="497" spans="3:13"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</row>
    <row r="498" spans="3:13"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</row>
    <row r="499" spans="3:13"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</row>
    <row r="500" spans="3:13"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</row>
    <row r="501" spans="3:13"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</row>
    <row r="502" spans="3:13"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</row>
    <row r="503" spans="3:13"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</row>
    <row r="504" spans="3:13"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</row>
    <row r="505" spans="3:13"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</row>
    <row r="506" spans="3:13"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</row>
    <row r="507" spans="3:13"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</row>
    <row r="508" spans="3:13"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</row>
    <row r="509" spans="3:13"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</row>
    <row r="510" spans="3:13"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</row>
    <row r="511" spans="3:13"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</row>
    <row r="512" spans="3:13"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</row>
    <row r="513" spans="3:13"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</row>
    <row r="514" spans="3:13"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</row>
    <row r="515" spans="3:13"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</row>
    <row r="516" spans="3:13"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</row>
    <row r="517" spans="3:13"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</row>
    <row r="518" spans="3:13"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</row>
    <row r="519" spans="3:13"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</row>
    <row r="520" spans="3:13"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</row>
    <row r="521" spans="3:13"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</row>
    <row r="522" spans="3:13"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</row>
    <row r="523" spans="3:13"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</row>
    <row r="524" spans="3:13"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</row>
    <row r="525" spans="3:13"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</row>
    <row r="526" spans="3:13"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</row>
    <row r="527" spans="3:13"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</row>
    <row r="528" spans="3:13"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</row>
    <row r="529" spans="3:13"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</row>
    <row r="530" spans="3:13"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</row>
    <row r="531" spans="3:13"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</row>
    <row r="532" spans="3:13"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</row>
    <row r="533" spans="3:13"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</row>
    <row r="534" spans="3:13"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</row>
    <row r="535" spans="3:13"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</row>
    <row r="536" spans="3:13"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</row>
    <row r="537" spans="3:13"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</row>
    <row r="538" spans="3:13"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</row>
    <row r="539" spans="3:13"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</row>
    <row r="540" spans="3:13"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</row>
    <row r="541" spans="3:13"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</row>
    <row r="542" spans="3:13"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</row>
    <row r="543" spans="3:13"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</row>
    <row r="544" spans="3:13"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</row>
    <row r="545" spans="3:13"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</row>
    <row r="546" spans="3:13"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</row>
    <row r="547" spans="3:13"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</row>
    <row r="548" spans="3:13"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</row>
    <row r="549" spans="3:13"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</row>
    <row r="550" spans="3:13"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</row>
    <row r="551" spans="3:13"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</row>
    <row r="552" spans="3:13"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</row>
    <row r="553" spans="3:13"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</row>
    <row r="554" spans="3:13"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</row>
    <row r="555" spans="3:13"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</row>
    <row r="556" spans="3:13"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</row>
    <row r="557" spans="3:13"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</row>
    <row r="558" spans="3:13"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</row>
    <row r="559" spans="3:13"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</row>
    <row r="560" spans="3:13"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</row>
    <row r="561" spans="3:13"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</row>
    <row r="562" spans="3:13"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</row>
    <row r="563" spans="3:13"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</row>
    <row r="564" spans="3:13"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</row>
    <row r="565" spans="3:13"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</row>
    <row r="566" spans="3:13"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</row>
    <row r="567" spans="3:13"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</row>
    <row r="568" spans="3:13"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</row>
    <row r="569" spans="3:13"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</row>
    <row r="570" spans="3:13"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</row>
    <row r="571" spans="3:13"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</row>
    <row r="572" spans="3:13"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</row>
    <row r="573" spans="3:13"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</row>
    <row r="574" spans="3:13"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</row>
    <row r="575" spans="3:13"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</row>
    <row r="576" spans="3:13"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</row>
    <row r="577" spans="3:13"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</row>
    <row r="578" spans="3:13"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</row>
    <row r="579" spans="3:13"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</row>
    <row r="580" spans="3:13"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</row>
    <row r="581" spans="3:13"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</row>
    <row r="582" spans="3:13"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</row>
    <row r="583" spans="3:13"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</row>
    <row r="584" spans="3:13"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</row>
  </sheetData>
  <phoneticPr fontId="0" type="noConversion"/>
  <printOptions horizontalCentered="1"/>
  <pageMargins left="0.75" right="0.75" top="0.75" bottom="0.5" header="0.25" footer="0.25"/>
  <pageSetup scale="45" orientation="portrait" blackAndWhite="1" r:id="rId1"/>
  <headerFooter alignWithMargins="0"/>
  <rowBreaks count="5" manualBreakCount="5">
    <brk id="58" max="12" man="1"/>
    <brk id="118" max="12" man="1"/>
    <brk id="189" max="12" man="1"/>
    <brk id="265" max="12" man="1"/>
    <brk id="327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M581"/>
  <sheetViews>
    <sheetView topLeftCell="A316" zoomScale="73" zoomScaleNormal="73" zoomScaleSheetLayoutView="75" workbookViewId="0">
      <selection activeCell="A326" sqref="A326:L352"/>
    </sheetView>
  </sheetViews>
  <sheetFormatPr defaultColWidth="8.77734375" defaultRowHeight="15"/>
  <cols>
    <col min="1" max="1" width="6" style="12" customWidth="1"/>
    <col min="2" max="2" width="1.44140625" style="12" customWidth="1"/>
    <col min="3" max="3" width="62.77734375" style="12" customWidth="1"/>
    <col min="4" max="4" width="23.88671875" style="12" customWidth="1"/>
    <col min="5" max="5" width="15.5546875" style="12" customWidth="1"/>
    <col min="6" max="6" width="5.77734375" style="12" customWidth="1"/>
    <col min="7" max="7" width="5.6640625" style="12" customWidth="1"/>
    <col min="8" max="8" width="11.77734375" style="12" customWidth="1"/>
    <col min="9" max="9" width="5.77734375" style="12" customWidth="1"/>
    <col min="10" max="10" width="15.5546875" style="12" customWidth="1"/>
    <col min="11" max="11" width="3.44140625" style="12" customWidth="1"/>
    <col min="12" max="12" width="13.109375" style="12" customWidth="1"/>
    <col min="13" max="13" width="1.88671875" style="12" customWidth="1"/>
    <col min="14" max="16384" width="8.77734375" style="12"/>
  </cols>
  <sheetData>
    <row r="1" spans="1:13" ht="18">
      <c r="A1" s="245"/>
      <c r="C1" s="29"/>
      <c r="D1" s="29"/>
      <c r="E1" s="30"/>
      <c r="F1" s="29"/>
      <c r="G1" s="29"/>
      <c r="H1" s="29"/>
      <c r="I1" s="31"/>
      <c r="J1" s="77" t="s">
        <v>365</v>
      </c>
      <c r="K1" s="91"/>
      <c r="M1" s="91"/>
    </row>
    <row r="2" spans="1:13">
      <c r="C2" s="29"/>
      <c r="D2" s="29"/>
      <c r="E2" s="30"/>
      <c r="F2" s="29"/>
      <c r="G2" s="29"/>
      <c r="H2" s="29"/>
      <c r="I2" s="31"/>
      <c r="J2" s="77" t="s">
        <v>565</v>
      </c>
      <c r="M2" s="77"/>
    </row>
    <row r="3" spans="1:13">
      <c r="C3" s="29"/>
      <c r="D3" s="29"/>
      <c r="E3" s="30"/>
      <c r="F3" s="29"/>
      <c r="G3" s="29"/>
      <c r="H3" s="29"/>
      <c r="I3" s="31"/>
      <c r="K3" s="1"/>
      <c r="M3" s="77"/>
    </row>
    <row r="4" spans="1:13">
      <c r="C4" s="29"/>
      <c r="D4" s="29"/>
      <c r="E4" s="30"/>
      <c r="F4" s="29"/>
      <c r="G4" s="29"/>
      <c r="H4" s="29"/>
      <c r="I4" s="31"/>
      <c r="K4" s="1"/>
      <c r="M4" s="77"/>
    </row>
    <row r="5" spans="1:13">
      <c r="C5" s="29"/>
      <c r="D5" s="29"/>
      <c r="E5" s="30"/>
      <c r="F5" s="29"/>
      <c r="G5" s="29"/>
      <c r="H5" s="29"/>
      <c r="I5" s="31"/>
      <c r="K5" s="1"/>
      <c r="M5" s="77"/>
    </row>
    <row r="6" spans="1:13">
      <c r="C6" s="29"/>
      <c r="D6" s="29"/>
      <c r="E6" s="30"/>
      <c r="F6" s="29"/>
      <c r="G6" s="29"/>
      <c r="H6" s="29"/>
      <c r="I6" s="31"/>
      <c r="J6" s="1"/>
      <c r="K6" s="1"/>
      <c r="M6" s="1"/>
    </row>
    <row r="7" spans="1:13">
      <c r="C7" s="29" t="s">
        <v>11</v>
      </c>
      <c r="D7" s="29"/>
      <c r="E7" s="30"/>
      <c r="F7" s="29"/>
      <c r="G7" s="29"/>
      <c r="H7" s="29"/>
      <c r="I7" s="31"/>
      <c r="J7" s="294" t="str">
        <f>'DE Ohio &amp; Kentucky'!J7</f>
        <v>For the 12 months ended: 12/31/2016</v>
      </c>
      <c r="K7" s="1"/>
      <c r="M7" s="1"/>
    </row>
    <row r="8" spans="1:13">
      <c r="A8" s="303" t="str">
        <f>'DE Ohio &amp; Kentucky'!A8</f>
        <v>Rate Formula Template</v>
      </c>
      <c r="B8" s="277"/>
      <c r="C8" s="277"/>
      <c r="D8" s="270"/>
      <c r="E8" s="117"/>
      <c r="F8" s="270"/>
      <c r="G8" s="270"/>
      <c r="H8" s="270"/>
      <c r="I8" s="270"/>
      <c r="J8" s="117"/>
      <c r="K8" s="1"/>
      <c r="L8" s="117"/>
      <c r="M8" s="1"/>
    </row>
    <row r="9" spans="1:13">
      <c r="A9" s="278" t="s">
        <v>327</v>
      </c>
      <c r="B9" s="277"/>
      <c r="C9" s="275"/>
      <c r="D9" s="272"/>
      <c r="E9" s="117"/>
      <c r="F9" s="272"/>
      <c r="G9" s="272"/>
      <c r="H9" s="272"/>
      <c r="I9" s="270"/>
      <c r="J9" s="270"/>
      <c r="K9" s="1"/>
      <c r="L9" s="273"/>
      <c r="M9" s="1"/>
    </row>
    <row r="10" spans="1:13">
      <c r="A10" s="271"/>
      <c r="B10" s="277"/>
      <c r="C10" s="271"/>
      <c r="D10" s="273"/>
      <c r="E10" s="117"/>
      <c r="F10" s="273"/>
      <c r="G10" s="273"/>
      <c r="H10" s="273"/>
      <c r="I10" s="273"/>
      <c r="J10" s="273"/>
      <c r="K10" s="1"/>
      <c r="L10" s="273"/>
      <c r="M10" s="1"/>
    </row>
    <row r="11" spans="1:13" ht="15.75">
      <c r="A11" s="487" t="s">
        <v>215</v>
      </c>
      <c r="B11" s="488"/>
      <c r="C11" s="489"/>
      <c r="D11" s="489"/>
      <c r="E11" s="488"/>
      <c r="F11" s="489"/>
      <c r="G11" s="489"/>
      <c r="H11" s="489"/>
      <c r="I11" s="489"/>
      <c r="J11" s="489"/>
      <c r="K11" s="1"/>
      <c r="L11" s="273"/>
      <c r="M11" s="1"/>
    </row>
    <row r="12" spans="1:13">
      <c r="A12" s="32"/>
      <c r="C12" s="1"/>
      <c r="D12" s="1"/>
      <c r="E12" s="21"/>
      <c r="F12" s="1"/>
      <c r="G12" s="1"/>
      <c r="H12" s="1"/>
      <c r="I12" s="1"/>
      <c r="J12" s="1"/>
      <c r="K12" s="1"/>
      <c r="L12" s="1"/>
      <c r="M12" s="1"/>
    </row>
    <row r="13" spans="1:13">
      <c r="A13" s="32" t="s">
        <v>13</v>
      </c>
      <c r="C13" s="1"/>
      <c r="D13" s="1"/>
      <c r="E13" s="21"/>
      <c r="F13" s="1"/>
      <c r="G13" s="1"/>
      <c r="H13" s="1"/>
      <c r="I13" s="1"/>
      <c r="J13" s="32" t="s">
        <v>14</v>
      </c>
      <c r="K13" s="1"/>
      <c r="L13" s="1"/>
      <c r="M13" s="1"/>
    </row>
    <row r="14" spans="1:13">
      <c r="A14" s="288" t="s">
        <v>15</v>
      </c>
      <c r="B14" s="295"/>
      <c r="C14" s="296"/>
      <c r="D14" s="296"/>
      <c r="E14" s="296"/>
      <c r="F14" s="296"/>
      <c r="G14" s="296"/>
      <c r="H14" s="296"/>
      <c r="I14" s="296"/>
      <c r="J14" s="288" t="s">
        <v>16</v>
      </c>
      <c r="K14" s="1"/>
      <c r="L14" s="1"/>
      <c r="M14" s="1"/>
    </row>
    <row r="15" spans="1:13">
      <c r="A15" s="32">
        <v>1</v>
      </c>
      <c r="C15" s="1" t="s">
        <v>402</v>
      </c>
      <c r="D15" s="1"/>
      <c r="E15" s="2"/>
      <c r="F15" s="1"/>
      <c r="G15" s="1"/>
      <c r="H15" s="1"/>
      <c r="I15" s="1"/>
      <c r="J15" s="36">
        <f>J184</f>
        <v>114556177.60705304</v>
      </c>
      <c r="K15" s="1"/>
      <c r="L15" s="1"/>
      <c r="M15" s="1"/>
    </row>
    <row r="16" spans="1:13">
      <c r="A16" s="32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</row>
    <row r="17" spans="1:13">
      <c r="A17" s="32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</row>
    <row r="18" spans="1:13" ht="15.75" thickBot="1">
      <c r="A18" s="32" t="s">
        <v>12</v>
      </c>
      <c r="C18" s="429" t="s">
        <v>440</v>
      </c>
      <c r="E18" s="40" t="s">
        <v>17</v>
      </c>
      <c r="F18" s="5"/>
      <c r="G18" s="49" t="s">
        <v>18</v>
      </c>
      <c r="H18" s="49"/>
      <c r="I18" s="1"/>
      <c r="J18" s="2"/>
      <c r="K18" s="1"/>
      <c r="L18" s="1"/>
      <c r="M18" s="1"/>
    </row>
    <row r="19" spans="1:13">
      <c r="A19" s="32">
        <v>2</v>
      </c>
      <c r="C19" s="3" t="s">
        <v>425</v>
      </c>
      <c r="D19" s="5" t="str">
        <f>'DE Ohio &amp; Kentucky'!D19</f>
        <v>(page 4, line 34)</v>
      </c>
      <c r="E19" s="364">
        <f>J260</f>
        <v>175353</v>
      </c>
      <c r="F19" s="364"/>
      <c r="G19" s="364" t="s">
        <v>19</v>
      </c>
      <c r="H19" s="19">
        <f>J$208</f>
        <v>1</v>
      </c>
      <c r="I19" s="364"/>
      <c r="J19" s="364">
        <f t="shared" ref="J19:J24" si="0">H19*E19</f>
        <v>175353</v>
      </c>
      <c r="K19" s="1"/>
      <c r="L19" s="1"/>
      <c r="M19" s="1"/>
    </row>
    <row r="20" spans="1:13">
      <c r="A20" s="32">
        <v>3</v>
      </c>
      <c r="C20" s="3" t="s">
        <v>461</v>
      </c>
      <c r="D20" s="707" t="str">
        <f>'DE Ohio &amp; Kentucky'!D20</f>
        <v>(page 4, line 35)</v>
      </c>
      <c r="E20" s="223">
        <f>J262</f>
        <v>710697</v>
      </c>
      <c r="F20" s="364"/>
      <c r="G20" s="364" t="str">
        <f>G$19</f>
        <v>TP</v>
      </c>
      <c r="H20" s="19">
        <f>J$208</f>
        <v>1</v>
      </c>
      <c r="I20" s="364"/>
      <c r="J20" s="223">
        <f t="shared" si="0"/>
        <v>710697</v>
      </c>
      <c r="K20" s="1"/>
      <c r="L20" s="1"/>
      <c r="M20" s="1"/>
    </row>
    <row r="21" spans="1:13">
      <c r="A21" s="32" t="s">
        <v>356</v>
      </c>
      <c r="C21" s="38" t="s">
        <v>426</v>
      </c>
      <c r="D21" s="5"/>
      <c r="E21" s="285">
        <v>0</v>
      </c>
      <c r="F21" s="364"/>
      <c r="G21" s="364" t="str">
        <f>G$19</f>
        <v>TP</v>
      </c>
      <c r="H21" s="19">
        <f>J$208</f>
        <v>1</v>
      </c>
      <c r="I21" s="364"/>
      <c r="J21" s="223">
        <f t="shared" si="0"/>
        <v>0</v>
      </c>
      <c r="K21" s="1"/>
      <c r="L21" s="1"/>
      <c r="M21" s="1"/>
    </row>
    <row r="22" spans="1:13">
      <c r="A22" s="32" t="s">
        <v>357</v>
      </c>
      <c r="C22" s="38" t="s">
        <v>556</v>
      </c>
      <c r="D22" s="5"/>
      <c r="E22" s="285">
        <v>0</v>
      </c>
      <c r="F22" s="364"/>
      <c r="G22" s="364" t="str">
        <f>G$19</f>
        <v>TP</v>
      </c>
      <c r="H22" s="19">
        <f>J$208</f>
        <v>1</v>
      </c>
      <c r="I22" s="364"/>
      <c r="J22" s="223">
        <f t="shared" si="0"/>
        <v>0</v>
      </c>
      <c r="K22" s="1"/>
      <c r="L22" s="1"/>
      <c r="M22" s="1"/>
    </row>
    <row r="23" spans="1:13">
      <c r="A23" s="32" t="s">
        <v>175</v>
      </c>
      <c r="C23" s="38" t="s">
        <v>551</v>
      </c>
      <c r="D23" s="5"/>
      <c r="E23" s="223">
        <f>'Appx C - DEO(MTEP)'!X88</f>
        <v>2856678.8958179606</v>
      </c>
      <c r="F23" s="364"/>
      <c r="G23" s="364"/>
      <c r="H23" s="508">
        <v>1</v>
      </c>
      <c r="I23" s="364"/>
      <c r="J23" s="223">
        <f t="shared" si="0"/>
        <v>2856678.8958179606</v>
      </c>
      <c r="K23" s="1"/>
      <c r="L23" s="1"/>
      <c r="M23" s="1"/>
    </row>
    <row r="24" spans="1:13">
      <c r="A24" s="32" t="s">
        <v>358</v>
      </c>
      <c r="C24" s="451" t="s">
        <v>552</v>
      </c>
      <c r="D24" s="5"/>
      <c r="E24" s="601">
        <f>'Appx E'!G36</f>
        <v>4.7820428728562797E-3</v>
      </c>
      <c r="F24" s="364"/>
      <c r="G24" s="364"/>
      <c r="H24" s="508">
        <v>1</v>
      </c>
      <c r="I24" s="364"/>
      <c r="J24" s="424">
        <f t="shared" si="0"/>
        <v>4.7820428728562797E-3</v>
      </c>
      <c r="K24" s="1"/>
      <c r="L24" s="1"/>
      <c r="M24" s="1"/>
    </row>
    <row r="25" spans="1:13">
      <c r="A25" s="32">
        <v>6</v>
      </c>
      <c r="C25" s="3" t="s">
        <v>631</v>
      </c>
      <c r="D25" s="1"/>
      <c r="E25" s="17" t="s">
        <v>12</v>
      </c>
      <c r="F25" s="5"/>
      <c r="G25" s="5"/>
      <c r="H25" s="19"/>
      <c r="I25" s="5"/>
      <c r="J25" s="364">
        <f>SUM(J19:J24)</f>
        <v>3742728.9006000035</v>
      </c>
      <c r="K25" s="1"/>
      <c r="L25" s="1"/>
      <c r="M25" s="1"/>
    </row>
    <row r="26" spans="1:13">
      <c r="A26" s="32"/>
      <c r="D26" s="1"/>
      <c r="E26" s="5" t="s">
        <v>12</v>
      </c>
      <c r="F26" s="1"/>
      <c r="G26" s="1"/>
      <c r="H26" s="19"/>
      <c r="I26" s="1"/>
      <c r="K26" s="1"/>
      <c r="L26" s="1"/>
      <c r="M26" s="1"/>
    </row>
    <row r="27" spans="1:13">
      <c r="A27" s="32"/>
      <c r="C27" s="3"/>
      <c r="D27" s="1"/>
      <c r="J27" s="5"/>
      <c r="K27" s="1"/>
      <c r="L27" s="1"/>
      <c r="M27" s="1"/>
    </row>
    <row r="28" spans="1:13" ht="15.75" thickBot="1">
      <c r="A28" s="32">
        <v>7</v>
      </c>
      <c r="C28" s="3" t="s">
        <v>20</v>
      </c>
      <c r="D28" s="707" t="str">
        <f>'DE Ohio &amp; Kentucky'!D30</f>
        <v>(line 1 minus line 6)</v>
      </c>
      <c r="E28" s="17" t="s">
        <v>12</v>
      </c>
      <c r="F28" s="5"/>
      <c r="G28" s="5"/>
      <c r="H28" s="5"/>
      <c r="I28" s="5"/>
      <c r="J28" s="50">
        <f>J15-J25</f>
        <v>110813448.70645304</v>
      </c>
      <c r="K28" s="1"/>
      <c r="M28" s="1"/>
    </row>
    <row r="29" spans="1:13" ht="15.75" thickTop="1">
      <c r="A29" s="32"/>
      <c r="D29" s="1"/>
      <c r="E29" s="17"/>
      <c r="F29" s="5"/>
      <c r="G29" s="5"/>
      <c r="H29" s="5"/>
      <c r="I29" s="5"/>
      <c r="K29" s="1"/>
      <c r="L29" s="440"/>
      <c r="M29" s="1"/>
    </row>
    <row r="30" spans="1:13">
      <c r="A30" s="32"/>
      <c r="D30" s="5"/>
      <c r="J30" s="5"/>
      <c r="K30" s="1"/>
      <c r="L30" s="441"/>
      <c r="M30" s="1"/>
    </row>
    <row r="31" spans="1:13">
      <c r="A31" s="32"/>
      <c r="C31" s="3" t="s">
        <v>374</v>
      </c>
      <c r="D31" s="1"/>
      <c r="E31" s="2"/>
      <c r="F31" s="1"/>
      <c r="G31" s="1"/>
      <c r="H31" s="1"/>
      <c r="I31" s="1"/>
      <c r="J31" s="2"/>
      <c r="K31" s="1"/>
      <c r="L31" s="1"/>
      <c r="M31" s="1"/>
    </row>
    <row r="32" spans="1:13">
      <c r="A32" s="32">
        <v>8</v>
      </c>
      <c r="C32" s="426" t="s">
        <v>430</v>
      </c>
      <c r="E32" s="2"/>
      <c r="F32" s="1"/>
      <c r="G32" s="1"/>
      <c r="H32" s="60"/>
      <c r="I32" s="1"/>
      <c r="J32" s="229">
        <f>MAX(PeakKW_DEO)</f>
        <v>4461000</v>
      </c>
      <c r="K32" s="1"/>
      <c r="L32" s="1"/>
      <c r="M32" s="1"/>
    </row>
    <row r="33" spans="1:13">
      <c r="A33" s="32">
        <v>9</v>
      </c>
      <c r="C33" s="427" t="s">
        <v>431</v>
      </c>
      <c r="E33" s="37"/>
      <c r="F33" s="37"/>
      <c r="G33" s="37"/>
      <c r="H33" s="37"/>
      <c r="I33" s="5"/>
      <c r="J33" s="229">
        <f>'P10 Partner KW'!O18</f>
        <v>3660584</v>
      </c>
      <c r="K33" s="1"/>
      <c r="L33" s="1"/>
      <c r="M33" s="1"/>
    </row>
    <row r="34" spans="1:13">
      <c r="A34" s="32"/>
      <c r="C34" s="3"/>
      <c r="D34" s="1"/>
      <c r="E34" s="1"/>
      <c r="F34" s="1"/>
      <c r="G34" s="1"/>
      <c r="H34" s="1"/>
      <c r="I34" s="1"/>
      <c r="J34" s="230"/>
      <c r="K34" s="1"/>
      <c r="L34" s="1"/>
      <c r="M34" s="1"/>
    </row>
    <row r="35" spans="1:13">
      <c r="A35" s="32">
        <v>10</v>
      </c>
      <c r="C35" s="3" t="s">
        <v>360</v>
      </c>
      <c r="D35" s="1"/>
      <c r="E35" s="36"/>
      <c r="F35" s="36"/>
      <c r="G35" s="36"/>
      <c r="H35" s="36"/>
      <c r="I35" s="36"/>
      <c r="J35" s="36"/>
      <c r="K35" s="1"/>
      <c r="L35" s="1"/>
      <c r="M35" s="1"/>
    </row>
    <row r="36" spans="1:13">
      <c r="A36" s="32">
        <v>11</v>
      </c>
      <c r="C36" s="3" t="s">
        <v>360</v>
      </c>
      <c r="D36" s="1"/>
      <c r="E36" s="36"/>
      <c r="F36" s="36"/>
      <c r="G36" s="36"/>
      <c r="H36" s="36"/>
      <c r="I36" s="36"/>
      <c r="J36" s="36"/>
      <c r="K36" s="1"/>
      <c r="L36" s="1"/>
      <c r="M36" s="1"/>
    </row>
    <row r="37" spans="1:13">
      <c r="A37" s="32">
        <v>12</v>
      </c>
      <c r="C37" s="3" t="s">
        <v>360</v>
      </c>
      <c r="D37" s="1"/>
      <c r="E37" s="36"/>
      <c r="F37" s="36"/>
      <c r="G37" s="36"/>
      <c r="H37" s="36"/>
      <c r="I37" s="36"/>
      <c r="J37" s="36"/>
      <c r="K37" s="1"/>
      <c r="L37" s="1"/>
      <c r="M37" s="1"/>
    </row>
    <row r="38" spans="1:13">
      <c r="A38" s="32">
        <v>13</v>
      </c>
      <c r="C38" s="3" t="s">
        <v>360</v>
      </c>
      <c r="D38" s="1"/>
      <c r="E38" s="36"/>
      <c r="F38" s="36"/>
      <c r="G38" s="36"/>
      <c r="H38" s="36"/>
      <c r="I38" s="36"/>
      <c r="J38" s="36"/>
      <c r="K38" s="1"/>
      <c r="L38" s="1"/>
      <c r="M38" s="1"/>
    </row>
    <row r="39" spans="1:13">
      <c r="A39" s="32">
        <v>14</v>
      </c>
      <c r="C39" s="3" t="s">
        <v>360</v>
      </c>
      <c r="D39" s="1"/>
      <c r="E39" s="36"/>
      <c r="F39" s="36"/>
      <c r="G39" s="36"/>
      <c r="H39" s="36"/>
      <c r="I39" s="36"/>
      <c r="J39" s="36"/>
      <c r="K39" s="1"/>
      <c r="L39" s="1"/>
      <c r="M39" s="1"/>
    </row>
    <row r="40" spans="1:13">
      <c r="A40" s="32"/>
      <c r="C40" s="3"/>
      <c r="D40" s="1"/>
      <c r="E40" s="36"/>
      <c r="F40" s="36"/>
      <c r="G40" s="36"/>
      <c r="H40" s="36"/>
      <c r="I40" s="36"/>
      <c r="J40" s="36"/>
      <c r="K40" s="1"/>
      <c r="L40" s="1"/>
      <c r="M40" s="1"/>
    </row>
    <row r="41" spans="1:13">
      <c r="A41" s="233">
        <v>15</v>
      </c>
      <c r="C41" s="3" t="s">
        <v>330</v>
      </c>
      <c r="D41" s="707" t="str">
        <f>'DE Ohio &amp; Kentucky'!D43</f>
        <v>(line 7 / line 8)</v>
      </c>
      <c r="E41" s="25">
        <f>IF(J32&gt;0,J28/J32,9)</f>
        <v>24.840495114649862</v>
      </c>
      <c r="F41" s="36"/>
      <c r="G41" s="36"/>
      <c r="H41" s="36"/>
      <c r="I41" s="36"/>
      <c r="J41" s="364"/>
      <c r="K41" s="1"/>
      <c r="L41" s="1"/>
      <c r="M41" s="1"/>
    </row>
    <row r="42" spans="1:13">
      <c r="A42" s="233"/>
      <c r="C42" s="3"/>
      <c r="D42" s="1"/>
      <c r="E42" s="25"/>
      <c r="F42" s="36"/>
      <c r="G42" s="36"/>
      <c r="H42" s="36"/>
      <c r="I42" s="36"/>
      <c r="J42" s="364"/>
      <c r="K42" s="1"/>
      <c r="L42" s="1"/>
      <c r="M42" s="1"/>
    </row>
    <row r="43" spans="1:13">
      <c r="A43" s="233">
        <v>16</v>
      </c>
      <c r="C43" s="3" t="s">
        <v>473</v>
      </c>
      <c r="D43" s="707" t="str">
        <f>'DE Ohio &amp; Kentucky'!D45</f>
        <v>(line 7 / line 9)</v>
      </c>
      <c r="E43" s="25">
        <f>IF(J33&gt;0,J28/J33,9)</f>
        <v>30.272068256445703</v>
      </c>
      <c r="F43" s="36"/>
      <c r="G43" s="36"/>
      <c r="H43" s="36"/>
      <c r="I43" s="36"/>
      <c r="J43" s="364"/>
      <c r="K43" s="1"/>
      <c r="L43" s="1"/>
      <c r="M43" s="1"/>
    </row>
    <row r="44" spans="1:13">
      <c r="A44" s="233"/>
      <c r="C44" s="3"/>
      <c r="D44" s="1"/>
      <c r="E44" s="25"/>
      <c r="F44" s="36"/>
      <c r="G44" s="36"/>
      <c r="H44" s="36"/>
      <c r="I44" s="36"/>
      <c r="J44" s="364"/>
      <c r="K44" s="1"/>
      <c r="L44" s="1"/>
      <c r="M44" s="1"/>
    </row>
    <row r="45" spans="1:13">
      <c r="A45" s="233">
        <v>17</v>
      </c>
      <c r="C45" s="3" t="s">
        <v>475</v>
      </c>
      <c r="D45" s="707" t="str">
        <f>'DE Ohio &amp; Kentucky'!D47</f>
        <v>(line 15 / 12)</v>
      </c>
      <c r="E45" s="25">
        <f>ROUND(E41/12,9)</f>
        <v>2.07004126</v>
      </c>
      <c r="F45" s="36"/>
      <c r="G45" s="36"/>
      <c r="H45" s="36"/>
      <c r="I45" s="36"/>
      <c r="J45" s="364"/>
      <c r="K45" s="1"/>
      <c r="L45" s="1"/>
      <c r="M45" s="1"/>
    </row>
    <row r="46" spans="1:13">
      <c r="A46" s="233"/>
      <c r="C46" s="3"/>
      <c r="D46" s="1"/>
      <c r="E46" s="25"/>
      <c r="F46" s="36"/>
      <c r="G46" s="36"/>
      <c r="H46" s="36"/>
      <c r="I46" s="36"/>
      <c r="J46" s="364"/>
      <c r="K46" s="1"/>
      <c r="L46" s="1"/>
      <c r="M46" s="1"/>
    </row>
    <row r="47" spans="1:13">
      <c r="A47" s="233" t="s">
        <v>472</v>
      </c>
      <c r="C47" s="3" t="s">
        <v>477</v>
      </c>
      <c r="D47" s="707" t="str">
        <f>'DE Ohio &amp; Kentucky'!D49</f>
        <v>(line 16 / 12)</v>
      </c>
      <c r="E47" s="25">
        <f>ROUND($E$43/12,9)</f>
        <v>2.5226723550000001</v>
      </c>
      <c r="F47" s="36"/>
      <c r="G47" s="36"/>
      <c r="H47" s="36"/>
      <c r="I47" s="36"/>
      <c r="J47" s="364"/>
      <c r="K47" s="1"/>
      <c r="L47" s="1"/>
      <c r="M47" s="1"/>
    </row>
    <row r="48" spans="1:13">
      <c r="A48" s="233"/>
      <c r="C48" s="3"/>
      <c r="D48" s="1"/>
      <c r="E48" s="25"/>
      <c r="F48" s="36"/>
      <c r="G48" s="36"/>
      <c r="H48" s="36"/>
      <c r="I48" s="36"/>
      <c r="J48" s="364"/>
      <c r="K48" s="1"/>
      <c r="L48" s="1"/>
      <c r="M48" s="1"/>
    </row>
    <row r="49" spans="1:13">
      <c r="A49" s="233"/>
      <c r="C49" s="3"/>
      <c r="D49" s="1"/>
      <c r="E49" s="449" t="s">
        <v>485</v>
      </c>
      <c r="F49" s="210"/>
      <c r="G49" s="210"/>
      <c r="I49" s="36"/>
      <c r="J49" s="449" t="s">
        <v>486</v>
      </c>
      <c r="K49" s="1"/>
      <c r="L49" s="1"/>
      <c r="M49" s="1"/>
    </row>
    <row r="50" spans="1:13">
      <c r="A50" s="233"/>
      <c r="C50" s="3"/>
      <c r="D50" s="1"/>
      <c r="E50" s="449"/>
      <c r="F50" s="210"/>
      <c r="G50" s="210"/>
      <c r="I50" s="36"/>
      <c r="J50" s="449"/>
      <c r="K50" s="1"/>
      <c r="L50" s="1"/>
      <c r="M50" s="1"/>
    </row>
    <row r="51" spans="1:13">
      <c r="A51" s="233">
        <v>18</v>
      </c>
      <c r="C51" s="3" t="s">
        <v>479</v>
      </c>
      <c r="D51" s="707" t="str">
        <f>'DE Ohio &amp; Kentucky'!D53</f>
        <v>(line 16 / 52; line 16 / 52)</v>
      </c>
      <c r="E51" s="25">
        <f>ROUND($E$43/52,9)</f>
        <v>0.58215515900000003</v>
      </c>
      <c r="F51" s="36"/>
      <c r="G51" s="36"/>
      <c r="H51" s="36"/>
      <c r="I51" s="36"/>
      <c r="J51" s="364"/>
      <c r="K51" s="1"/>
      <c r="L51" s="1"/>
      <c r="M51" s="1"/>
    </row>
    <row r="52" spans="1:13">
      <c r="A52" s="233"/>
      <c r="C52" s="3"/>
      <c r="D52" s="1"/>
      <c r="E52" s="25"/>
      <c r="F52" s="36"/>
      <c r="G52" s="36"/>
      <c r="H52" s="36"/>
      <c r="I52" s="36"/>
      <c r="J52" s="364"/>
      <c r="K52" s="1"/>
      <c r="L52" s="1"/>
      <c r="M52" s="1"/>
    </row>
    <row r="53" spans="1:13">
      <c r="A53" s="233">
        <v>19</v>
      </c>
      <c r="C53" s="3" t="s">
        <v>480</v>
      </c>
      <c r="D53" s="707" t="str">
        <f>'DE Ohio &amp; Kentucky'!D55</f>
        <v>(line 16 / 260; line 16 / 365)</v>
      </c>
      <c r="E53" s="25">
        <f>ROUND($E$43/260,9)</f>
        <v>0.116431032</v>
      </c>
      <c r="F53" s="36" t="s">
        <v>487</v>
      </c>
      <c r="G53" s="36"/>
      <c r="H53" s="36"/>
      <c r="I53" s="36"/>
      <c r="J53" s="25">
        <f>ROUND($E$43/365,9)</f>
        <v>8.2937173000000003E-2</v>
      </c>
      <c r="K53" s="1"/>
      <c r="L53" s="1"/>
      <c r="M53" s="1"/>
    </row>
    <row r="54" spans="1:13">
      <c r="A54" s="233"/>
      <c r="C54" s="3"/>
      <c r="D54" s="1"/>
      <c r="E54" s="25"/>
      <c r="F54" s="36"/>
      <c r="G54" s="36"/>
      <c r="H54" s="36"/>
      <c r="I54" s="36"/>
      <c r="J54" s="25"/>
      <c r="K54" s="1"/>
      <c r="L54" s="1"/>
      <c r="M54" s="1"/>
    </row>
    <row r="55" spans="1:13" ht="30">
      <c r="A55" s="233">
        <v>20</v>
      </c>
      <c r="C55" s="3" t="s">
        <v>481</v>
      </c>
      <c r="D55" s="448" t="str">
        <f>'DE Ohio &amp; Kentucky'!D57</f>
        <v>(line 16 / 4,160; line 16 / 8,760 * 1000)</v>
      </c>
      <c r="E55" s="25">
        <f>ROUND(($J$28/$J$33)/4160,4)</f>
        <v>7.3000000000000001E-3</v>
      </c>
      <c r="F55" s="36" t="s">
        <v>488</v>
      </c>
      <c r="G55" s="36"/>
      <c r="H55" s="36"/>
      <c r="I55" s="36"/>
      <c r="J55" s="25">
        <f>ROUND(($J$28/$J$33)/8760*1000,4)</f>
        <v>3.4557000000000002</v>
      </c>
      <c r="K55" s="1"/>
      <c r="L55" s="1"/>
      <c r="M55" s="1"/>
    </row>
    <row r="56" spans="1:13">
      <c r="C56" s="3"/>
      <c r="D56" s="29"/>
      <c r="E56" s="30"/>
      <c r="F56" s="29"/>
      <c r="G56" s="29"/>
      <c r="H56" s="29"/>
      <c r="I56" s="31"/>
      <c r="K56" s="32"/>
      <c r="L56" s="92"/>
      <c r="M56" s="32"/>
    </row>
    <row r="57" spans="1:13" ht="18">
      <c r="A57" s="245"/>
      <c r="C57" s="29"/>
      <c r="D57" s="29"/>
      <c r="E57" s="30"/>
      <c r="F57" s="29"/>
      <c r="G57" s="29"/>
      <c r="H57" s="29"/>
      <c r="I57" s="31"/>
      <c r="J57" s="77" t="s">
        <v>365</v>
      </c>
      <c r="K57" s="91"/>
      <c r="M57" s="91"/>
    </row>
    <row r="58" spans="1:13">
      <c r="C58" s="29"/>
      <c r="D58" s="29"/>
      <c r="E58" s="30"/>
      <c r="F58" s="29"/>
      <c r="G58" s="29"/>
      <c r="H58" s="29"/>
      <c r="I58" s="31"/>
      <c r="J58" s="77" t="s">
        <v>566</v>
      </c>
      <c r="M58" s="77"/>
    </row>
    <row r="59" spans="1:13">
      <c r="C59" s="29"/>
      <c r="D59" s="29"/>
      <c r="E59" s="30"/>
      <c r="F59" s="29"/>
      <c r="G59" s="29"/>
      <c r="H59" s="29"/>
      <c r="I59" s="31"/>
      <c r="K59" s="1"/>
      <c r="M59" s="77"/>
    </row>
    <row r="60" spans="1:13">
      <c r="C60" s="29"/>
      <c r="D60" s="29"/>
      <c r="E60" s="30"/>
      <c r="F60" s="29"/>
      <c r="G60" s="29"/>
      <c r="H60" s="29"/>
      <c r="I60" s="31"/>
      <c r="K60" s="1"/>
      <c r="M60" s="77"/>
    </row>
    <row r="61" spans="1:13">
      <c r="C61" s="29"/>
      <c r="D61" s="29"/>
      <c r="E61" s="30"/>
      <c r="F61" s="29"/>
      <c r="G61" s="29"/>
      <c r="H61" s="29"/>
      <c r="I61" s="31"/>
      <c r="K61" s="5"/>
      <c r="M61" s="77"/>
    </row>
    <row r="62" spans="1:13">
      <c r="C62" s="29"/>
      <c r="D62" s="29"/>
      <c r="E62" s="30"/>
      <c r="F62" s="29"/>
      <c r="G62" s="29"/>
      <c r="H62" s="29"/>
      <c r="I62" s="31"/>
      <c r="J62" s="77"/>
      <c r="K62" s="5"/>
      <c r="M62" s="77"/>
    </row>
    <row r="63" spans="1:13">
      <c r="C63" s="29" t="s">
        <v>11</v>
      </c>
      <c r="D63" s="29"/>
      <c r="E63" s="30"/>
      <c r="F63" s="29"/>
      <c r="G63" s="29"/>
      <c r="H63" s="29"/>
      <c r="I63" s="31"/>
      <c r="J63" s="92" t="str">
        <f>J7</f>
        <v>For the 12 months ended: 12/31/2016</v>
      </c>
      <c r="K63" s="5"/>
      <c r="M63" s="77"/>
    </row>
    <row r="64" spans="1:13">
      <c r="A64" s="275" t="str">
        <f>A8</f>
        <v>Rate Formula Template</v>
      </c>
      <c r="B64" s="277"/>
      <c r="C64" s="277"/>
      <c r="D64" s="270"/>
      <c r="E64" s="117"/>
      <c r="F64" s="270"/>
      <c r="G64" s="270"/>
      <c r="H64" s="270"/>
      <c r="I64" s="270"/>
      <c r="J64" s="117"/>
      <c r="K64" s="5"/>
      <c r="L64" s="117"/>
      <c r="M64" s="1"/>
    </row>
    <row r="65" spans="1:13">
      <c r="A65" s="278" t="s">
        <v>327</v>
      </c>
      <c r="B65" s="277"/>
      <c r="C65" s="275"/>
      <c r="D65" s="272"/>
      <c r="E65" s="117"/>
      <c r="F65" s="272"/>
      <c r="G65" s="272"/>
      <c r="H65" s="272"/>
      <c r="I65" s="270"/>
      <c r="J65" s="270"/>
      <c r="K65" s="5"/>
      <c r="L65" s="273"/>
      <c r="M65" s="1"/>
    </row>
    <row r="66" spans="1:13">
      <c r="A66" s="271"/>
      <c r="B66" s="277"/>
      <c r="C66" s="271"/>
      <c r="D66" s="273"/>
      <c r="E66" s="117"/>
      <c r="F66" s="273"/>
      <c r="G66" s="273"/>
      <c r="H66" s="273"/>
      <c r="I66" s="273"/>
      <c r="J66" s="273"/>
      <c r="K66" s="5"/>
      <c r="L66" s="273"/>
      <c r="M66" s="1"/>
    </row>
    <row r="67" spans="1:13" ht="15.75">
      <c r="A67" s="274" t="s">
        <v>215</v>
      </c>
      <c r="B67" s="277"/>
      <c r="C67" s="271"/>
      <c r="D67" s="273"/>
      <c r="E67" s="117"/>
      <c r="F67" s="273"/>
      <c r="G67" s="273"/>
      <c r="H67" s="273"/>
      <c r="I67" s="273"/>
      <c r="J67" s="273"/>
      <c r="K67" s="5"/>
      <c r="L67" s="273"/>
      <c r="M67" s="5"/>
    </row>
    <row r="68" spans="1:13">
      <c r="C68" s="3"/>
      <c r="D68" s="1"/>
      <c r="E68" s="6"/>
      <c r="F68" s="5"/>
      <c r="G68" s="5"/>
      <c r="H68" s="5"/>
      <c r="I68" s="5"/>
      <c r="J68" s="5"/>
      <c r="K68" s="5"/>
      <c r="L68" s="5"/>
      <c r="M68" s="5"/>
    </row>
    <row r="69" spans="1:13">
      <c r="C69" s="4" t="s">
        <v>24</v>
      </c>
      <c r="D69" s="4" t="s">
        <v>25</v>
      </c>
      <c r="E69" s="4" t="s">
        <v>26</v>
      </c>
      <c r="F69" s="5" t="s">
        <v>12</v>
      </c>
      <c r="G69" s="5"/>
      <c r="H69" s="7" t="s">
        <v>27</v>
      </c>
      <c r="I69" s="5"/>
      <c r="J69" s="8" t="s">
        <v>28</v>
      </c>
      <c r="K69" s="5"/>
      <c r="L69" s="4"/>
      <c r="M69" s="5"/>
    </row>
    <row r="70" spans="1:13" ht="15.75">
      <c r="A70" s="33" t="s">
        <v>13</v>
      </c>
      <c r="C70" s="3"/>
      <c r="D70" s="26" t="s">
        <v>29</v>
      </c>
      <c r="E70" s="434"/>
      <c r="F70" s="434"/>
      <c r="G70" s="434"/>
      <c r="H70" s="33"/>
      <c r="I70" s="434"/>
      <c r="J70" s="33" t="s">
        <v>30</v>
      </c>
      <c r="K70" s="5"/>
      <c r="L70" s="4"/>
      <c r="M70" s="5"/>
    </row>
    <row r="71" spans="1:13" ht="16.5" thickBot="1">
      <c r="A71" s="298" t="s">
        <v>15</v>
      </c>
      <c r="B71" s="290"/>
      <c r="C71" s="289" t="s">
        <v>33</v>
      </c>
      <c r="D71" s="436" t="s">
        <v>31</v>
      </c>
      <c r="E71" s="437" t="s">
        <v>32</v>
      </c>
      <c r="F71" s="10"/>
      <c r="G71" s="438" t="s">
        <v>18</v>
      </c>
      <c r="H71" s="438"/>
      <c r="I71" s="10"/>
      <c r="J71" s="435" t="s">
        <v>420</v>
      </c>
      <c r="K71" s="5"/>
      <c r="L71" s="4"/>
      <c r="M71" s="1"/>
    </row>
    <row r="72" spans="1:13">
      <c r="D72" s="5"/>
      <c r="E72" s="5"/>
      <c r="F72" s="5"/>
      <c r="G72" s="5"/>
      <c r="H72" s="5"/>
      <c r="I72" s="5"/>
      <c r="J72" s="5"/>
      <c r="K72" s="5"/>
      <c r="L72" s="5"/>
      <c r="M72" s="1"/>
    </row>
    <row r="73" spans="1:13">
      <c r="A73" s="32"/>
      <c r="C73" s="3"/>
      <c r="D73" s="5"/>
      <c r="E73" s="5"/>
      <c r="F73" s="5"/>
      <c r="G73" s="5"/>
      <c r="H73" s="5"/>
      <c r="I73" s="5"/>
      <c r="J73" s="5"/>
      <c r="K73" s="5"/>
      <c r="L73" s="5"/>
      <c r="M73" s="1"/>
    </row>
    <row r="74" spans="1:13">
      <c r="A74" s="32"/>
      <c r="C74" s="763" t="s">
        <v>34</v>
      </c>
      <c r="D74" s="5"/>
      <c r="E74" s="5"/>
      <c r="F74" s="5"/>
      <c r="G74" s="5"/>
      <c r="H74" s="5"/>
      <c r="I74" s="5"/>
      <c r="J74" s="5"/>
      <c r="K74" s="5"/>
      <c r="L74" s="5"/>
      <c r="M74" s="1"/>
    </row>
    <row r="75" spans="1:13">
      <c r="A75" s="32">
        <v>1</v>
      </c>
      <c r="C75" s="763" t="s">
        <v>35</v>
      </c>
      <c r="D75" s="930" t="str">
        <f>'DE Ohio &amp; Kentucky'!D77</f>
        <v>205.46.g</v>
      </c>
      <c r="E75" s="492">
        <f>INPUT!C9</f>
        <v>0</v>
      </c>
      <c r="F75" s="5"/>
      <c r="G75" s="5" t="s">
        <v>36</v>
      </c>
      <c r="H75" s="14" t="s">
        <v>12</v>
      </c>
      <c r="I75" s="5"/>
      <c r="J75" s="225" t="s">
        <v>12</v>
      </c>
      <c r="K75" s="5"/>
      <c r="L75" s="5"/>
      <c r="M75" s="1"/>
    </row>
    <row r="76" spans="1:13">
      <c r="A76" s="32">
        <v>2</v>
      </c>
      <c r="C76" s="763" t="s">
        <v>37</v>
      </c>
      <c r="D76" s="930" t="str">
        <f>'DE Ohio &amp; Kentucky'!D78</f>
        <v>207.58.g</v>
      </c>
      <c r="E76" s="366">
        <f>INPUT!C10</f>
        <v>772979082</v>
      </c>
      <c r="F76" s="5"/>
      <c r="G76" s="5" t="s">
        <v>19</v>
      </c>
      <c r="H76" s="14">
        <f>J208</f>
        <v>1</v>
      </c>
      <c r="I76" s="5"/>
      <c r="J76" s="84">
        <f>ROUND(H76*E76,0)</f>
        <v>772979082</v>
      </c>
      <c r="K76" s="5"/>
      <c r="L76" s="5"/>
      <c r="M76" s="1"/>
    </row>
    <row r="77" spans="1:13">
      <c r="A77" s="32">
        <v>3</v>
      </c>
      <c r="C77" s="763" t="s">
        <v>38</v>
      </c>
      <c r="D77" s="930" t="str">
        <f>'DE Ohio &amp; Kentucky'!D79</f>
        <v>207.75.g</v>
      </c>
      <c r="E77" s="366">
        <f>INPUT!C11</f>
        <v>2389088376</v>
      </c>
      <c r="F77" s="5"/>
      <c r="G77" s="5" t="s">
        <v>36</v>
      </c>
      <c r="H77" s="14" t="s">
        <v>12</v>
      </c>
      <c r="I77" s="5"/>
      <c r="J77" s="225" t="s">
        <v>12</v>
      </c>
      <c r="K77" s="5"/>
      <c r="L77" s="5"/>
      <c r="M77" s="1"/>
    </row>
    <row r="78" spans="1:13">
      <c r="A78" s="32">
        <v>4</v>
      </c>
      <c r="C78" s="763" t="s">
        <v>39</v>
      </c>
      <c r="D78" s="930" t="str">
        <f>'DE Ohio &amp; Kentucky'!D80</f>
        <v>205.5.g &amp; 207.99.g</v>
      </c>
      <c r="E78" s="366">
        <f>INPUT!C12</f>
        <v>251649512</v>
      </c>
      <c r="F78" s="5"/>
      <c r="G78" s="5" t="s">
        <v>40</v>
      </c>
      <c r="H78" s="14">
        <f>J226</f>
        <v>0.1558502799280371</v>
      </c>
      <c r="I78" s="5"/>
      <c r="J78" s="225">
        <f>ROUND(H78*E78,0)</f>
        <v>39219647</v>
      </c>
      <c r="K78" s="5"/>
      <c r="L78" s="5"/>
      <c r="M78" s="5"/>
    </row>
    <row r="79" spans="1:13" ht="15.75" thickBot="1">
      <c r="A79" s="32">
        <v>5</v>
      </c>
      <c r="C79" s="763" t="s">
        <v>41</v>
      </c>
      <c r="D79" s="930" t="str">
        <f>'DE Ohio &amp; Kentucky'!D81</f>
        <v>356.1</v>
      </c>
      <c r="E79" s="490">
        <f>INPUT!C13</f>
        <v>214888145</v>
      </c>
      <c r="F79" s="5"/>
      <c r="G79" s="5" t="s">
        <v>93</v>
      </c>
      <c r="H79" s="14">
        <f>L230</f>
        <v>0.10237487226759219</v>
      </c>
      <c r="I79" s="5"/>
      <c r="J79" s="226">
        <f>ROUND(H79*E79,0)</f>
        <v>21999146</v>
      </c>
      <c r="K79" s="5"/>
      <c r="L79" s="5"/>
      <c r="M79" s="5"/>
    </row>
    <row r="80" spans="1:13">
      <c r="A80" s="32">
        <v>6</v>
      </c>
      <c r="C80" s="765" t="s">
        <v>43</v>
      </c>
      <c r="D80" s="5"/>
      <c r="E80" s="84">
        <f>SUM(E75:E79)</f>
        <v>3628605115</v>
      </c>
      <c r="F80" s="5"/>
      <c r="G80" s="5" t="s">
        <v>44</v>
      </c>
      <c r="H80" s="439">
        <f>IF(J80&gt;0,J80/E80,0)</f>
        <v>0.229894917898775</v>
      </c>
      <c r="I80" s="5"/>
      <c r="J80" s="84">
        <f>SUM(J75:J79)</f>
        <v>834197875</v>
      </c>
      <c r="K80" s="5"/>
      <c r="L80" s="18"/>
      <c r="M80" s="1"/>
    </row>
    <row r="81" spans="1:13">
      <c r="C81" s="763"/>
      <c r="D81" s="5"/>
      <c r="E81" s="223"/>
      <c r="F81" s="5"/>
      <c r="G81" s="5"/>
      <c r="H81" s="18"/>
      <c r="I81" s="5"/>
      <c r="J81" s="225"/>
      <c r="K81" s="5"/>
      <c r="L81" s="18"/>
      <c r="M81" s="1"/>
    </row>
    <row r="82" spans="1:13">
      <c r="C82" s="763" t="s">
        <v>45</v>
      </c>
      <c r="D82" s="5"/>
      <c r="E82" s="223"/>
      <c r="F82" s="5"/>
      <c r="G82" s="5"/>
      <c r="H82" s="5"/>
      <c r="I82" s="5"/>
      <c r="J82" s="225"/>
      <c r="K82" s="5"/>
      <c r="L82" s="5"/>
      <c r="M82" s="1"/>
    </row>
    <row r="83" spans="1:13">
      <c r="A83" s="32">
        <v>7</v>
      </c>
      <c r="C83" s="763" t="s">
        <v>35</v>
      </c>
      <c r="D83" s="707" t="str">
        <f>'DE Ohio &amp; Kentucky'!D85</f>
        <v>219.20-24.c</v>
      </c>
      <c r="E83" s="492">
        <f>INPUT!C17</f>
        <v>0</v>
      </c>
      <c r="F83" s="5"/>
      <c r="G83" s="5" t="str">
        <f t="shared" ref="G83:H87" si="1">G75</f>
        <v>NA</v>
      </c>
      <c r="H83" s="14" t="str">
        <f t="shared" si="1"/>
        <v xml:space="preserve"> </v>
      </c>
      <c r="I83" s="5"/>
      <c r="J83" s="225" t="s">
        <v>12</v>
      </c>
      <c r="K83" s="5"/>
      <c r="L83" s="5"/>
      <c r="M83" s="1"/>
    </row>
    <row r="84" spans="1:13">
      <c r="A84" s="32">
        <v>8</v>
      </c>
      <c r="C84" s="763" t="s">
        <v>37</v>
      </c>
      <c r="D84" s="707" t="str">
        <f>'DE Ohio &amp; Kentucky'!D86</f>
        <v>219.25.c</v>
      </c>
      <c r="E84" s="366">
        <f>INPUT!C18</f>
        <v>243709790</v>
      </c>
      <c r="F84" s="5"/>
      <c r="G84" s="5" t="str">
        <f t="shared" si="1"/>
        <v>TP</v>
      </c>
      <c r="H84" s="14">
        <f t="shared" si="1"/>
        <v>1</v>
      </c>
      <c r="I84" s="5"/>
      <c r="J84" s="84">
        <f>ROUND(H84*E84,0)</f>
        <v>243709790</v>
      </c>
      <c r="K84" s="5"/>
      <c r="L84" s="5"/>
      <c r="M84" s="1"/>
    </row>
    <row r="85" spans="1:13">
      <c r="A85" s="32">
        <v>9</v>
      </c>
      <c r="C85" s="763" t="s">
        <v>38</v>
      </c>
      <c r="D85" s="707" t="str">
        <f>'DE Ohio &amp; Kentucky'!D87</f>
        <v>219.26.c</v>
      </c>
      <c r="E85" s="366">
        <f>INPUT!C19</f>
        <v>750592129</v>
      </c>
      <c r="F85" s="5"/>
      <c r="G85" s="5" t="str">
        <f t="shared" si="1"/>
        <v>NA</v>
      </c>
      <c r="H85" s="14" t="str">
        <f t="shared" si="1"/>
        <v xml:space="preserve"> </v>
      </c>
      <c r="I85" s="5"/>
      <c r="J85" s="225" t="s">
        <v>12</v>
      </c>
      <c r="K85" s="5"/>
      <c r="L85" s="5"/>
      <c r="M85" s="1"/>
    </row>
    <row r="86" spans="1:13">
      <c r="A86" s="32">
        <v>10</v>
      </c>
      <c r="C86" s="763" t="s">
        <v>39</v>
      </c>
      <c r="D86" s="707" t="str">
        <f>'DE Ohio &amp; Kentucky'!D88</f>
        <v xml:space="preserve">219.28.c </v>
      </c>
      <c r="E86" s="366">
        <f>INPUT!C20</f>
        <v>98038365</v>
      </c>
      <c r="F86" s="5"/>
      <c r="G86" s="5" t="str">
        <f t="shared" si="1"/>
        <v>W/S</v>
      </c>
      <c r="H86" s="14">
        <f t="shared" si="1"/>
        <v>0.1558502799280371</v>
      </c>
      <c r="I86" s="5"/>
      <c r="J86" s="225">
        <f>ROUND(H86*E86,0)</f>
        <v>15279307</v>
      </c>
      <c r="K86" s="5"/>
      <c r="L86" s="5"/>
      <c r="M86" s="1"/>
    </row>
    <row r="87" spans="1:13" ht="15.75" thickBot="1">
      <c r="A87" s="32">
        <v>11</v>
      </c>
      <c r="C87" s="763" t="s">
        <v>41</v>
      </c>
      <c r="D87" s="707" t="str">
        <f>'DE Ohio &amp; Kentucky'!D89</f>
        <v>356.1</v>
      </c>
      <c r="E87" s="490">
        <f>INPUT!C21</f>
        <v>79875610</v>
      </c>
      <c r="F87" s="5"/>
      <c r="G87" s="5" t="str">
        <f t="shared" si="1"/>
        <v>CE</v>
      </c>
      <c r="H87" s="14">
        <f t="shared" si="1"/>
        <v>0.10237487226759219</v>
      </c>
      <c r="I87" s="5"/>
      <c r="J87" s="226">
        <f>ROUND(H87*E87,0)</f>
        <v>8177255</v>
      </c>
      <c r="K87" s="5"/>
      <c r="L87" s="5"/>
      <c r="M87" s="1"/>
    </row>
    <row r="88" spans="1:13">
      <c r="A88" s="32">
        <v>12</v>
      </c>
      <c r="C88" s="763" t="s">
        <v>46</v>
      </c>
      <c r="D88" s="5"/>
      <c r="E88" s="84">
        <f>SUM(E83:E87)</f>
        <v>1172215894</v>
      </c>
      <c r="F88" s="5"/>
      <c r="G88" s="5"/>
      <c r="H88" s="5"/>
      <c r="I88" s="5"/>
      <c r="J88" s="84">
        <f>SUM(J83:J87)</f>
        <v>267166352</v>
      </c>
      <c r="K88" s="5"/>
      <c r="L88" s="5"/>
      <c r="M88" s="1"/>
    </row>
    <row r="89" spans="1:13">
      <c r="A89" s="32"/>
      <c r="C89" s="762"/>
      <c r="D89" s="5" t="s">
        <v>12</v>
      </c>
      <c r="E89" s="223"/>
      <c r="F89" s="5"/>
      <c r="G89" s="5"/>
      <c r="H89" s="18"/>
      <c r="I89" s="5"/>
      <c r="J89" s="225"/>
      <c r="K89" s="5"/>
      <c r="L89" s="18"/>
      <c r="M89" s="1"/>
    </row>
    <row r="90" spans="1:13">
      <c r="A90" s="32"/>
      <c r="C90" s="763" t="s">
        <v>47</v>
      </c>
      <c r="D90" s="5"/>
      <c r="E90" s="223"/>
      <c r="F90" s="5"/>
      <c r="G90" s="5"/>
      <c r="H90" s="5"/>
      <c r="I90" s="5"/>
      <c r="J90" s="225"/>
      <c r="K90" s="5"/>
      <c r="L90" s="5"/>
      <c r="M90" s="1"/>
    </row>
    <row r="91" spans="1:13">
      <c r="A91" s="32">
        <v>13</v>
      </c>
      <c r="C91" s="763" t="s">
        <v>35</v>
      </c>
      <c r="D91" s="707" t="str">
        <f>'DE Ohio &amp; Kentucky'!D93</f>
        <v xml:space="preserve"> (line 1 - line 7)</v>
      </c>
      <c r="E91" s="84">
        <f>E75-E83</f>
        <v>0</v>
      </c>
      <c r="F91" s="5"/>
      <c r="G91" s="5"/>
      <c r="H91" s="18"/>
      <c r="I91" s="5"/>
      <c r="J91" s="225" t="s">
        <v>12</v>
      </c>
      <c r="K91" s="5"/>
      <c r="L91" s="18"/>
      <c r="M91" s="1"/>
    </row>
    <row r="92" spans="1:13">
      <c r="A92" s="32">
        <v>14</v>
      </c>
      <c r="C92" s="763" t="s">
        <v>37</v>
      </c>
      <c r="D92" s="707" t="str">
        <f>'DE Ohio &amp; Kentucky'!D94</f>
        <v xml:space="preserve"> (line 2 - line 8)</v>
      </c>
      <c r="E92" s="223">
        <f>E76-E84</f>
        <v>529269292</v>
      </c>
      <c r="F92" s="5"/>
      <c r="G92" s="5"/>
      <c r="H92" s="14"/>
      <c r="I92" s="5"/>
      <c r="J92" s="84">
        <f>J76-J84</f>
        <v>529269292</v>
      </c>
      <c r="K92" s="5"/>
      <c r="L92" s="18"/>
      <c r="M92" s="1"/>
    </row>
    <row r="93" spans="1:13">
      <c r="A93" s="32">
        <v>15</v>
      </c>
      <c r="C93" s="763" t="s">
        <v>38</v>
      </c>
      <c r="D93" s="707" t="str">
        <f>'DE Ohio &amp; Kentucky'!D95</f>
        <v xml:space="preserve"> (line 3 - line 9)</v>
      </c>
      <c r="E93" s="223">
        <f>E77-E85</f>
        <v>1638496247</v>
      </c>
      <c r="F93" s="5"/>
      <c r="G93" s="5"/>
      <c r="H93" s="18"/>
      <c r="I93" s="5"/>
      <c r="J93" s="225" t="s">
        <v>12</v>
      </c>
      <c r="K93" s="5"/>
      <c r="L93" s="18"/>
      <c r="M93" s="1"/>
    </row>
    <row r="94" spans="1:13">
      <c r="A94" s="32">
        <v>16</v>
      </c>
      <c r="C94" s="763" t="s">
        <v>39</v>
      </c>
      <c r="D94" s="707" t="str">
        <f>'DE Ohio &amp; Kentucky'!D96</f>
        <v xml:space="preserve"> (line 4 - line 10)</v>
      </c>
      <c r="E94" s="223">
        <f>E78-E86</f>
        <v>153611147</v>
      </c>
      <c r="F94" s="5"/>
      <c r="G94" s="5"/>
      <c r="H94" s="18"/>
      <c r="I94" s="5"/>
      <c r="J94" s="225">
        <f>J78-J86</f>
        <v>23940340</v>
      </c>
      <c r="K94" s="5"/>
      <c r="L94" s="18"/>
      <c r="M94" s="1"/>
    </row>
    <row r="95" spans="1:13" ht="15.75" thickBot="1">
      <c r="A95" s="32">
        <v>17</v>
      </c>
      <c r="C95" s="763" t="s">
        <v>41</v>
      </c>
      <c r="D95" s="707" t="str">
        <f>'DE Ohio &amp; Kentucky'!D97</f>
        <v xml:space="preserve"> (line 5 - line 11)</v>
      </c>
      <c r="E95" s="224">
        <f>E79-E87</f>
        <v>135012535</v>
      </c>
      <c r="F95" s="5"/>
      <c r="G95" s="5"/>
      <c r="H95" s="18"/>
      <c r="I95" s="5"/>
      <c r="J95" s="226">
        <f>J79-J87</f>
        <v>13821891</v>
      </c>
      <c r="K95" s="5"/>
      <c r="L95" s="18"/>
      <c r="M95" s="1"/>
    </row>
    <row r="96" spans="1:13">
      <c r="A96" s="32">
        <v>18</v>
      </c>
      <c r="C96" s="763" t="s">
        <v>51</v>
      </c>
      <c r="D96" s="5"/>
      <c r="E96" s="84">
        <f>SUM(E91:E95)</f>
        <v>2456389221</v>
      </c>
      <c r="F96" s="5"/>
      <c r="G96" s="5" t="s">
        <v>52</v>
      </c>
      <c r="H96" s="18">
        <f>IF(J96&gt;0,J96/E96,0)</f>
        <v>0.23083944439764337</v>
      </c>
      <c r="I96" s="5"/>
      <c r="J96" s="84">
        <f>SUM(J91:J95)</f>
        <v>567031523</v>
      </c>
      <c r="K96" s="5"/>
      <c r="L96" s="5"/>
      <c r="M96" s="1"/>
    </row>
    <row r="97" spans="1:13">
      <c r="A97" s="32"/>
      <c r="C97" s="762"/>
      <c r="D97" s="5"/>
      <c r="E97" s="223"/>
      <c r="F97" s="5"/>
      <c r="I97" s="5"/>
      <c r="J97" s="225"/>
      <c r="K97" s="5"/>
      <c r="L97" s="18"/>
      <c r="M97" s="1"/>
    </row>
    <row r="98" spans="1:13">
      <c r="A98" s="32"/>
      <c r="C98" s="766" t="s">
        <v>451</v>
      </c>
      <c r="D98" s="5"/>
      <c r="E98" s="223"/>
      <c r="F98" s="5"/>
      <c r="G98" s="5"/>
      <c r="H98" s="5"/>
      <c r="I98" s="5"/>
      <c r="J98" s="225"/>
      <c r="K98" s="5"/>
      <c r="L98" s="5"/>
      <c r="M98" s="1"/>
    </row>
    <row r="99" spans="1:13">
      <c r="A99" s="32">
        <v>19</v>
      </c>
      <c r="C99" s="763" t="s">
        <v>142</v>
      </c>
      <c r="D99" s="707" t="str">
        <f>'DE Ohio &amp; Kentucky'!D101</f>
        <v>273.8.k</v>
      </c>
      <c r="E99" s="492">
        <f>INPUT!C33</f>
        <v>0</v>
      </c>
      <c r="F99" s="37"/>
      <c r="G99" s="37" t="str">
        <f>G83</f>
        <v>NA</v>
      </c>
      <c r="H99" s="81" t="s">
        <v>176</v>
      </c>
      <c r="I99" s="5"/>
      <c r="J99" s="84">
        <v>0</v>
      </c>
      <c r="K99" s="5"/>
      <c r="L99" s="18"/>
      <c r="M99" s="1"/>
    </row>
    <row r="100" spans="1:13">
      <c r="A100" s="32">
        <v>20</v>
      </c>
      <c r="B100" s="12" t="s">
        <v>184</v>
      </c>
      <c r="C100" s="763" t="s">
        <v>143</v>
      </c>
      <c r="D100" s="707" t="str">
        <f>'DE Ohio &amp; Kentucky'!D102</f>
        <v>275.2.k</v>
      </c>
      <c r="E100" s="601">
        <f>INPUT!C34</f>
        <v>-693501872</v>
      </c>
      <c r="F100" s="5"/>
      <c r="G100" s="5" t="s">
        <v>54</v>
      </c>
      <c r="H100" s="14">
        <f>H96</f>
        <v>0.23083944439764337</v>
      </c>
      <c r="I100" s="5"/>
      <c r="J100" s="225">
        <f>ROUND(H100*E100,0)</f>
        <v>-160087587</v>
      </c>
      <c r="K100" s="5"/>
      <c r="L100" s="18"/>
      <c r="M100" s="1"/>
    </row>
    <row r="101" spans="1:13">
      <c r="A101" s="32">
        <v>21</v>
      </c>
      <c r="C101" s="763" t="s">
        <v>144</v>
      </c>
      <c r="D101" s="707" t="str">
        <f>'DE Ohio &amp; Kentucky'!D103</f>
        <v>277.9.k</v>
      </c>
      <c r="E101" s="601">
        <f>INPUT!C35</f>
        <v>-43574280</v>
      </c>
      <c r="F101" s="5"/>
      <c r="G101" s="5" t="s">
        <v>54</v>
      </c>
      <c r="H101" s="14">
        <f>H100</f>
        <v>0.23083944439764337</v>
      </c>
      <c r="I101" s="5"/>
      <c r="J101" s="225">
        <f>ROUND(H101*E101,0)</f>
        <v>-10058663</v>
      </c>
      <c r="K101" s="5"/>
      <c r="L101" s="18"/>
      <c r="M101" s="1"/>
    </row>
    <row r="102" spans="1:13">
      <c r="A102" s="32">
        <v>22</v>
      </c>
      <c r="C102" s="763" t="s">
        <v>146</v>
      </c>
      <c r="D102" s="707" t="str">
        <f>'DE Ohio &amp; Kentucky'!D104</f>
        <v>234.8.c</v>
      </c>
      <c r="E102" s="601">
        <f>INPUT!C36</f>
        <v>57584282</v>
      </c>
      <c r="F102" s="5"/>
      <c r="G102" s="5" t="str">
        <f>G101</f>
        <v>NP</v>
      </c>
      <c r="H102" s="14">
        <f>H101</f>
        <v>0.23083944439764337</v>
      </c>
      <c r="I102" s="5"/>
      <c r="J102" s="225">
        <f>ROUND(H102*E102,0)</f>
        <v>13292724</v>
      </c>
      <c r="K102" s="5"/>
      <c r="L102" s="18"/>
      <c r="M102" s="1"/>
    </row>
    <row r="103" spans="1:13" ht="15.75" thickBot="1">
      <c r="A103" s="32">
        <v>23</v>
      </c>
      <c r="C103" s="764" t="s">
        <v>145</v>
      </c>
      <c r="D103" s="707" t="str">
        <f>'DE Ohio &amp; Kentucky'!D105</f>
        <v>267.8.h</v>
      </c>
      <c r="E103" s="602">
        <f>INPUT!C37</f>
        <v>0</v>
      </c>
      <c r="F103" s="5"/>
      <c r="G103" s="5" t="s">
        <v>54</v>
      </c>
      <c r="H103" s="14">
        <f>H101</f>
        <v>0.23083944439764337</v>
      </c>
      <c r="I103" s="5"/>
      <c r="J103" s="226">
        <f>ROUND(H103*E103,0)</f>
        <v>0</v>
      </c>
      <c r="K103" s="5"/>
      <c r="L103" s="18"/>
      <c r="M103" s="1"/>
    </row>
    <row r="104" spans="1:13">
      <c r="A104" s="32">
        <v>24</v>
      </c>
      <c r="C104" s="763" t="s">
        <v>705</v>
      </c>
      <c r="D104" s="5"/>
      <c r="E104" s="84">
        <f>SUM(E99:E103)</f>
        <v>-679491870</v>
      </c>
      <c r="F104" s="5"/>
      <c r="G104" s="5"/>
      <c r="H104" s="5"/>
      <c r="I104" s="5"/>
      <c r="J104" s="84">
        <f>SUM(J99:J103)</f>
        <v>-156853526</v>
      </c>
      <c r="K104" s="5"/>
      <c r="L104" s="5"/>
      <c r="M104" s="1"/>
    </row>
    <row r="105" spans="1:13">
      <c r="A105" s="32"/>
      <c r="C105" s="762"/>
      <c r="D105" s="5"/>
      <c r="E105" s="223"/>
      <c r="F105" s="5"/>
      <c r="G105" s="5"/>
      <c r="H105" s="18"/>
      <c r="I105" s="5"/>
      <c r="J105" s="225"/>
      <c r="K105" s="5"/>
      <c r="L105" s="18"/>
      <c r="M105" s="1"/>
    </row>
    <row r="106" spans="1:13">
      <c r="A106" s="32">
        <v>25</v>
      </c>
      <c r="C106" s="766" t="s">
        <v>432</v>
      </c>
      <c r="D106" s="707" t="str">
        <f>'DE Ohio &amp; Kentucky'!D108</f>
        <v xml:space="preserve">214.x.d  </v>
      </c>
      <c r="E106" s="492">
        <f>INPUT!C40</f>
        <v>255974</v>
      </c>
      <c r="F106" s="37"/>
      <c r="G106" s="37"/>
      <c r="H106" s="491">
        <v>1</v>
      </c>
      <c r="I106" s="5"/>
      <c r="J106" s="84">
        <f>ROUND(H106*E106,0)</f>
        <v>255974</v>
      </c>
      <c r="K106" s="5"/>
      <c r="L106" s="5"/>
      <c r="M106" s="1"/>
    </row>
    <row r="107" spans="1:13">
      <c r="A107" s="32"/>
      <c r="C107" s="763"/>
      <c r="D107" s="5"/>
      <c r="E107" s="223"/>
      <c r="F107" s="5"/>
      <c r="G107" s="5"/>
      <c r="H107" s="5"/>
      <c r="I107" s="5"/>
      <c r="J107" s="225"/>
      <c r="K107" s="5"/>
      <c r="L107" s="5"/>
      <c r="M107" s="1"/>
    </row>
    <row r="108" spans="1:13">
      <c r="A108" s="32"/>
      <c r="C108" s="767" t="s">
        <v>452</v>
      </c>
      <c r="D108" s="5" t="s">
        <v>12</v>
      </c>
      <c r="E108" s="223"/>
      <c r="F108" s="5"/>
      <c r="G108" s="5"/>
      <c r="H108" s="5"/>
      <c r="I108" s="5"/>
      <c r="J108" s="225"/>
      <c r="K108" s="5"/>
      <c r="L108" s="5"/>
      <c r="M108" s="1"/>
    </row>
    <row r="109" spans="1:13">
      <c r="A109" s="32">
        <v>26</v>
      </c>
      <c r="C109" s="763" t="s">
        <v>170</v>
      </c>
      <c r="D109" s="707" t="str">
        <f>'DE Ohio &amp; Kentucky'!D111</f>
        <v>calculated</v>
      </c>
      <c r="E109" s="84">
        <f>ROUND(E149/8,0)</f>
        <v>9472265</v>
      </c>
      <c r="F109" s="5"/>
      <c r="G109" s="5"/>
      <c r="H109" s="18"/>
      <c r="I109" s="5"/>
      <c r="J109" s="225">
        <f>ROUND(J149/8,0)</f>
        <v>3059094</v>
      </c>
      <c r="K109" s="1"/>
      <c r="L109" s="18"/>
      <c r="M109" s="1"/>
    </row>
    <row r="110" spans="1:13">
      <c r="A110" s="32">
        <v>27</v>
      </c>
      <c r="C110" s="767" t="s">
        <v>453</v>
      </c>
      <c r="D110" s="707" t="str">
        <f>'DE Ohio &amp; Kentucky'!D112</f>
        <v>227.8.c &amp; 227.16.c</v>
      </c>
      <c r="E110" s="366">
        <f>INPUT!C44</f>
        <v>19427211</v>
      </c>
      <c r="F110" s="5"/>
      <c r="G110" s="5" t="s">
        <v>55</v>
      </c>
      <c r="H110" s="14">
        <f>J218</f>
        <v>0.90834372768029159</v>
      </c>
      <c r="I110" s="5"/>
      <c r="J110" s="225">
        <f>ROUND(H110*E110,0)</f>
        <v>17646585</v>
      </c>
      <c r="K110" s="5" t="s">
        <v>12</v>
      </c>
      <c r="L110" s="18"/>
      <c r="M110" s="1"/>
    </row>
    <row r="111" spans="1:13" ht="15.75" thickBot="1">
      <c r="A111" s="32">
        <v>28</v>
      </c>
      <c r="C111" s="763" t="s">
        <v>148</v>
      </c>
      <c r="D111" s="707" t="str">
        <f>'DE Ohio &amp; Kentucky'!D113</f>
        <v>111.57.c</v>
      </c>
      <c r="E111" s="490">
        <f>INPUT!C45</f>
        <v>318679</v>
      </c>
      <c r="F111" s="5"/>
      <c r="G111" s="5" t="s">
        <v>56</v>
      </c>
      <c r="H111" s="14">
        <f>H80</f>
        <v>0.229894917898775</v>
      </c>
      <c r="I111" s="5"/>
      <c r="J111" s="226">
        <f>ROUND(H111*E111,0)</f>
        <v>73263</v>
      </c>
      <c r="K111" s="5"/>
      <c r="L111" s="18"/>
      <c r="M111" s="1"/>
    </row>
    <row r="112" spans="1:13">
      <c r="A112" s="32">
        <v>29</v>
      </c>
      <c r="C112" s="763" t="s">
        <v>57</v>
      </c>
      <c r="D112" s="1"/>
      <c r="E112" s="364">
        <f>E109+E110+E111</f>
        <v>29218155</v>
      </c>
      <c r="F112" s="1"/>
      <c r="G112" s="1"/>
      <c r="H112" s="1"/>
      <c r="I112" s="1"/>
      <c r="J112" s="364">
        <f>J109+J110+J111</f>
        <v>20778942</v>
      </c>
      <c r="K112" s="1"/>
      <c r="L112" s="1"/>
      <c r="M112" s="1"/>
    </row>
    <row r="113" spans="1:13" ht="15.75" thickBot="1">
      <c r="C113" s="762"/>
      <c r="D113" s="5"/>
      <c r="E113" s="226"/>
      <c r="F113" s="5"/>
      <c r="G113" s="5"/>
      <c r="H113" s="5"/>
      <c r="I113" s="5"/>
      <c r="J113" s="226"/>
      <c r="K113" s="5"/>
      <c r="L113" s="5"/>
      <c r="M113" s="1"/>
    </row>
    <row r="114" spans="1:13" ht="15.75" thickBot="1">
      <c r="A114" s="32">
        <v>30</v>
      </c>
      <c r="C114" s="763" t="s">
        <v>147</v>
      </c>
      <c r="D114" s="5"/>
      <c r="E114" s="365">
        <f>E112+E106+E104+E96</f>
        <v>1806371480</v>
      </c>
      <c r="F114" s="5"/>
      <c r="G114" s="5"/>
      <c r="H114" s="18"/>
      <c r="I114" s="5"/>
      <c r="J114" s="365">
        <f>J112+J106+J104+J96</f>
        <v>431212913</v>
      </c>
      <c r="K114" s="5"/>
      <c r="L114" s="18"/>
      <c r="M114" s="5"/>
    </row>
    <row r="115" spans="1:13" ht="15.75" thickTop="1">
      <c r="A115" s="32"/>
      <c r="C115" s="3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>
      <c r="A116" s="32"/>
      <c r="C116" s="3"/>
      <c r="D116" s="29"/>
      <c r="E116" s="30"/>
      <c r="F116" s="29"/>
      <c r="G116" s="29"/>
      <c r="H116" s="29"/>
      <c r="I116" s="31"/>
      <c r="K116" s="32"/>
      <c r="L116" s="92"/>
      <c r="M116" s="32"/>
    </row>
    <row r="117" spans="1:13" ht="18">
      <c r="A117" s="245"/>
      <c r="C117" s="29"/>
      <c r="D117" s="29"/>
      <c r="E117" s="30"/>
      <c r="F117" s="29"/>
      <c r="G117" s="29"/>
      <c r="H117" s="29"/>
      <c r="I117" s="31"/>
      <c r="J117" s="77" t="s">
        <v>365</v>
      </c>
      <c r="K117" s="91"/>
      <c r="M117" s="91"/>
    </row>
    <row r="118" spans="1:13">
      <c r="C118" s="29"/>
      <c r="D118" s="29"/>
      <c r="E118" s="30"/>
      <c r="F118" s="29"/>
      <c r="G118" s="29"/>
      <c r="H118" s="29"/>
      <c r="I118" s="31"/>
      <c r="J118" s="77" t="s">
        <v>567</v>
      </c>
      <c r="M118" s="77"/>
    </row>
    <row r="119" spans="1:13">
      <c r="C119" s="29"/>
      <c r="D119" s="29"/>
      <c r="E119" s="30"/>
      <c r="F119" s="29"/>
      <c r="G119" s="29"/>
      <c r="H119" s="29"/>
      <c r="I119" s="31"/>
      <c r="J119" s="77"/>
      <c r="M119" s="77"/>
    </row>
    <row r="120" spans="1:13">
      <c r="C120" s="29"/>
      <c r="D120" s="29"/>
      <c r="E120" s="30"/>
      <c r="F120" s="29"/>
      <c r="G120" s="29"/>
      <c r="H120" s="29"/>
      <c r="I120" s="31"/>
      <c r="M120" s="77"/>
    </row>
    <row r="121" spans="1:13">
      <c r="C121" s="29"/>
      <c r="D121" s="29"/>
      <c r="E121" s="30"/>
      <c r="F121" s="29"/>
      <c r="G121" s="29"/>
      <c r="H121" s="29"/>
      <c r="I121" s="31"/>
      <c r="K121" s="1"/>
      <c r="M121" s="77"/>
    </row>
    <row r="122" spans="1:13">
      <c r="C122" s="29"/>
      <c r="D122" s="29"/>
      <c r="E122" s="30"/>
      <c r="F122" s="29"/>
      <c r="G122" s="29"/>
      <c r="H122" s="29"/>
      <c r="I122" s="31"/>
      <c r="J122" s="77"/>
      <c r="K122" s="1"/>
      <c r="M122" s="77"/>
    </row>
    <row r="123" spans="1:13">
      <c r="C123" s="29" t="s">
        <v>11</v>
      </c>
      <c r="D123" s="29"/>
      <c r="E123" s="30"/>
      <c r="F123" s="29"/>
      <c r="G123" s="29"/>
      <c r="H123" s="29"/>
      <c r="I123" s="31"/>
      <c r="J123" s="92" t="str">
        <f>J7</f>
        <v>For the 12 months ended: 12/31/2016</v>
      </c>
      <c r="K123" s="1"/>
      <c r="M123" s="77"/>
    </row>
    <row r="124" spans="1:13">
      <c r="A124" s="275" t="str">
        <f>A8</f>
        <v>Rate Formula Template</v>
      </c>
      <c r="B124" s="277"/>
      <c r="C124" s="277"/>
      <c r="D124" s="270"/>
      <c r="E124" s="117"/>
      <c r="F124" s="270"/>
      <c r="G124" s="270"/>
      <c r="H124" s="270"/>
      <c r="I124" s="270"/>
      <c r="J124" s="117"/>
      <c r="K124" s="5"/>
      <c r="L124" s="117"/>
      <c r="M124" s="1"/>
    </row>
    <row r="125" spans="1:13">
      <c r="A125" s="278" t="s">
        <v>327</v>
      </c>
      <c r="B125" s="277"/>
      <c r="C125" s="275"/>
      <c r="D125" s="272"/>
      <c r="E125" s="117"/>
      <c r="F125" s="272"/>
      <c r="G125" s="272"/>
      <c r="H125" s="272"/>
      <c r="I125" s="270"/>
      <c r="J125" s="270"/>
      <c r="K125" s="5"/>
      <c r="L125" s="273"/>
      <c r="M125" s="1"/>
    </row>
    <row r="126" spans="1:13">
      <c r="A126" s="271"/>
      <c r="B126" s="277"/>
      <c r="C126" s="271"/>
      <c r="D126" s="273"/>
      <c r="E126" s="117"/>
      <c r="F126" s="273"/>
      <c r="G126" s="273"/>
      <c r="H126" s="273"/>
      <c r="I126" s="273"/>
      <c r="J126" s="273"/>
      <c r="K126" s="5"/>
      <c r="L126" s="273"/>
      <c r="M126" s="1"/>
    </row>
    <row r="127" spans="1:13" ht="15.75">
      <c r="A127" s="274" t="s">
        <v>215</v>
      </c>
      <c r="B127" s="277"/>
      <c r="C127" s="271"/>
      <c r="D127" s="273"/>
      <c r="E127" s="117"/>
      <c r="F127" s="273"/>
      <c r="G127" s="273"/>
      <c r="H127" s="273"/>
      <c r="I127" s="273"/>
      <c r="J127" s="273"/>
      <c r="K127" s="5"/>
      <c r="L127" s="273"/>
      <c r="M127" s="5"/>
    </row>
    <row r="128" spans="1:13">
      <c r="A128" s="32"/>
      <c r="K128" s="5"/>
      <c r="L128" s="5"/>
      <c r="M128" s="5"/>
    </row>
    <row r="129" spans="1:13" ht="15.75">
      <c r="A129" s="32"/>
      <c r="C129" s="4" t="s">
        <v>24</v>
      </c>
      <c r="D129" s="4" t="s">
        <v>25</v>
      </c>
      <c r="E129" s="4" t="s">
        <v>26</v>
      </c>
      <c r="F129" s="5" t="s">
        <v>12</v>
      </c>
      <c r="G129" s="5"/>
      <c r="H129" s="7" t="s">
        <v>27</v>
      </c>
      <c r="I129" s="5"/>
      <c r="J129" s="8" t="s">
        <v>28</v>
      </c>
      <c r="K129" s="5"/>
      <c r="L129" s="33"/>
      <c r="M129" s="31"/>
    </row>
    <row r="130" spans="1:13" ht="15.75">
      <c r="A130" s="58" t="s">
        <v>13</v>
      </c>
      <c r="B130" s="295"/>
      <c r="C130" s="297"/>
      <c r="D130" s="26" t="s">
        <v>29</v>
      </c>
      <c r="E130" s="5"/>
      <c r="F130" s="5"/>
      <c r="G130" s="5"/>
      <c r="H130" s="32"/>
      <c r="I130" s="5"/>
      <c r="J130" s="33" t="s">
        <v>30</v>
      </c>
      <c r="K130" s="5"/>
      <c r="L130" s="33"/>
      <c r="M130" s="5"/>
    </row>
    <row r="131" spans="1:13" ht="15.75">
      <c r="A131" s="288" t="s">
        <v>15</v>
      </c>
      <c r="B131" s="295"/>
      <c r="C131" s="297"/>
      <c r="D131" s="299" t="s">
        <v>31</v>
      </c>
      <c r="E131" s="298" t="s">
        <v>32</v>
      </c>
      <c r="F131" s="300"/>
      <c r="G131" s="301" t="s">
        <v>18</v>
      </c>
      <c r="H131" s="302"/>
      <c r="I131" s="300"/>
      <c r="J131" s="291" t="s">
        <v>420</v>
      </c>
      <c r="K131" s="5"/>
      <c r="L131" s="33"/>
      <c r="M131" s="51"/>
    </row>
    <row r="132" spans="1:13" ht="15.75">
      <c r="C132" s="3"/>
      <c r="D132" s="5"/>
      <c r="E132" s="9"/>
      <c r="F132" s="10"/>
      <c r="G132" s="11"/>
      <c r="I132" s="10"/>
      <c r="J132" s="9"/>
      <c r="K132" s="5"/>
      <c r="L132" s="5"/>
      <c r="M132" s="5"/>
    </row>
    <row r="133" spans="1:13">
      <c r="A133" s="32"/>
      <c r="C133" s="781" t="s">
        <v>58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>
      <c r="A134" s="32">
        <v>1</v>
      </c>
      <c r="C134" s="781" t="s">
        <v>59</v>
      </c>
      <c r="D134" s="707" t="str">
        <f>'DE Ohio &amp; Kentucky'!D136</f>
        <v>321.112.b</v>
      </c>
      <c r="E134" s="84">
        <f>INPUT!C51</f>
        <v>50347880</v>
      </c>
      <c r="F134" s="5"/>
      <c r="G134" s="5" t="s">
        <v>55</v>
      </c>
      <c r="H134" s="14">
        <f>J218</f>
        <v>0.90834372768029159</v>
      </c>
      <c r="I134" s="5"/>
      <c r="J134" s="364">
        <f>ROUND(H134*E134,0)</f>
        <v>45733181</v>
      </c>
      <c r="K134" s="1"/>
      <c r="L134" s="5"/>
      <c r="M134" s="5"/>
    </row>
    <row r="135" spans="1:13">
      <c r="A135" s="233" t="s">
        <v>3</v>
      </c>
      <c r="B135" s="67"/>
      <c r="C135" s="788" t="s">
        <v>442</v>
      </c>
      <c r="D135" s="707" t="str">
        <f>'DE Ohio &amp; Kentucky'!D137</f>
        <v>321.88.b, 92.b; 322.121.b</v>
      </c>
      <c r="E135" s="366">
        <f>INPUT!C52</f>
        <v>29806921</v>
      </c>
      <c r="F135" s="5"/>
      <c r="G135" s="37"/>
      <c r="H135" s="64">
        <v>1</v>
      </c>
      <c r="I135" s="37"/>
      <c r="J135" s="225">
        <f>ROUND(H135*E135,0)</f>
        <v>29806921</v>
      </c>
      <c r="K135" s="1"/>
      <c r="L135" s="5"/>
      <c r="M135" s="5"/>
    </row>
    <row r="136" spans="1:13">
      <c r="A136" s="233" t="s">
        <v>296</v>
      </c>
      <c r="B136" s="67"/>
      <c r="C136" s="786" t="s">
        <v>760</v>
      </c>
      <c r="D136" s="707" t="str">
        <f>'DE Ohio &amp; Kentucky'!D138</f>
        <v>(Note X)</v>
      </c>
      <c r="E136" s="366">
        <f>INPUT!C53</f>
        <v>0</v>
      </c>
      <c r="F136" s="37"/>
      <c r="G136" s="5" t="s">
        <v>55</v>
      </c>
      <c r="H136" s="14">
        <f>J$218</f>
        <v>0.90834372768029159</v>
      </c>
      <c r="I136" s="37"/>
      <c r="J136" s="225">
        <f>ROUND(H136*E136,0)</f>
        <v>0</v>
      </c>
      <c r="K136" s="1"/>
      <c r="L136" s="5"/>
      <c r="M136" s="5"/>
    </row>
    <row r="137" spans="1:13" s="933" customFormat="1">
      <c r="A137" s="809" t="s">
        <v>299</v>
      </c>
      <c r="B137" s="839"/>
      <c r="C137" s="798" t="s">
        <v>824</v>
      </c>
      <c r="D137" s="807" t="s">
        <v>822</v>
      </c>
      <c r="E137" s="601">
        <f>INPUT!C54</f>
        <v>84201</v>
      </c>
      <c r="F137" s="807"/>
      <c r="G137" s="835" t="s">
        <v>55</v>
      </c>
      <c r="H137" s="14">
        <f>J$218</f>
        <v>0.90834372768029159</v>
      </c>
      <c r="I137" s="807"/>
      <c r="J137" s="599">
        <f>ROUND(H137*E137,0)</f>
        <v>76483</v>
      </c>
      <c r="K137" s="867"/>
      <c r="L137" s="835"/>
      <c r="M137" s="835"/>
    </row>
    <row r="138" spans="1:13">
      <c r="A138" s="32">
        <v>2</v>
      </c>
      <c r="C138" s="786" t="s">
        <v>4</v>
      </c>
      <c r="D138" s="707" t="str">
        <f>'DE Ohio &amp; Kentucky'!D140</f>
        <v>321.96.b</v>
      </c>
      <c r="E138" s="366">
        <f>INPUT!C55</f>
        <v>-1500</v>
      </c>
      <c r="F138" s="5"/>
      <c r="G138" s="5" t="s">
        <v>55</v>
      </c>
      <c r="H138" s="14">
        <f>J$218</f>
        <v>0.90834372768029159</v>
      </c>
      <c r="I138" s="5"/>
      <c r="J138" s="225">
        <f t="shared" ref="J138:J148" si="2">ROUND(H138*E138,0)</f>
        <v>-1363</v>
      </c>
      <c r="K138" s="1"/>
      <c r="L138" s="5"/>
      <c r="M138" s="5"/>
    </row>
    <row r="139" spans="1:13">
      <c r="A139" s="233">
        <v>3</v>
      </c>
      <c r="B139" s="67"/>
      <c r="C139" s="791" t="s">
        <v>60</v>
      </c>
      <c r="D139" s="707" t="str">
        <f>'DE Ohio &amp; Kentucky'!D141</f>
        <v>323.197.b</v>
      </c>
      <c r="E139" s="223">
        <f>'P5 Schedule 1 Charges acct 561'!C21</f>
        <v>53336211</v>
      </c>
      <c r="F139" s="37"/>
      <c r="G139" s="37" t="s">
        <v>40</v>
      </c>
      <c r="H139" s="64">
        <f t="shared" ref="H139:H145" si="3">$J$226</f>
        <v>0.1558502799280371</v>
      </c>
      <c r="I139" s="37"/>
      <c r="J139" s="225">
        <f t="shared" si="2"/>
        <v>8312463</v>
      </c>
      <c r="K139" s="5"/>
      <c r="L139" s="5" t="s">
        <v>12</v>
      </c>
      <c r="M139" s="5"/>
    </row>
    <row r="140" spans="1:13">
      <c r="A140" s="233" t="s">
        <v>465</v>
      </c>
      <c r="B140" s="67"/>
      <c r="C140" s="790" t="s">
        <v>467</v>
      </c>
      <c r="D140" s="707" t="str">
        <f>'DE Ohio &amp; Kentucky'!D142</f>
        <v>(Note E)</v>
      </c>
      <c r="E140" s="366">
        <f>INPUT!C57</f>
        <v>-1329693</v>
      </c>
      <c r="F140" s="37"/>
      <c r="G140" s="37" t="s">
        <v>40</v>
      </c>
      <c r="H140" s="64">
        <f t="shared" si="3"/>
        <v>0.1558502799280371</v>
      </c>
      <c r="I140" s="37"/>
      <c r="J140" s="225">
        <f t="shared" si="2"/>
        <v>-207233</v>
      </c>
      <c r="K140" s="5"/>
      <c r="L140" s="5"/>
      <c r="M140" s="5"/>
    </row>
    <row r="141" spans="1:13">
      <c r="A141" s="233" t="s">
        <v>466</v>
      </c>
      <c r="B141" s="67"/>
      <c r="C141" s="790" t="s">
        <v>468</v>
      </c>
      <c r="D141" s="707" t="str">
        <f>'DE Ohio &amp; Kentucky'!D143</f>
        <v>(Note E)</v>
      </c>
      <c r="E141" s="366">
        <f>INPUT!C58</f>
        <v>2342494</v>
      </c>
      <c r="F141" s="37"/>
      <c r="G141" s="37" t="s">
        <v>40</v>
      </c>
      <c r="H141" s="64">
        <f t="shared" si="3"/>
        <v>0.1558502799280371</v>
      </c>
      <c r="I141" s="37"/>
      <c r="J141" s="225">
        <f t="shared" si="2"/>
        <v>365078</v>
      </c>
      <c r="K141" s="5"/>
      <c r="L141" s="5"/>
      <c r="M141" s="5"/>
    </row>
    <row r="142" spans="1:13">
      <c r="A142" s="233" t="s">
        <v>637</v>
      </c>
      <c r="B142" s="67"/>
      <c r="C142" s="798" t="s">
        <v>766</v>
      </c>
      <c r="D142" s="707" t="str">
        <f>'DE Ohio &amp; Kentucky'!D144</f>
        <v>(Note Y)</v>
      </c>
      <c r="E142" s="366">
        <f>INPUT!C59</f>
        <v>0</v>
      </c>
      <c r="F142" s="37"/>
      <c r="G142" s="37" t="s">
        <v>40</v>
      </c>
      <c r="H142" s="64">
        <f t="shared" si="3"/>
        <v>0.1558502799280371</v>
      </c>
      <c r="I142" s="37"/>
      <c r="J142" s="225">
        <f t="shared" si="2"/>
        <v>0</v>
      </c>
      <c r="K142" s="5"/>
      <c r="L142" s="5"/>
      <c r="M142" s="5"/>
    </row>
    <row r="143" spans="1:13" s="839" customFormat="1">
      <c r="A143" s="809"/>
      <c r="C143" s="802" t="s">
        <v>767</v>
      </c>
      <c r="D143" s="807"/>
      <c r="E143" s="223"/>
      <c r="F143" s="807"/>
      <c r="G143" s="807"/>
      <c r="H143" s="64"/>
      <c r="I143" s="807"/>
      <c r="J143" s="223"/>
      <c r="K143" s="807"/>
      <c r="L143" s="807"/>
      <c r="M143" s="807"/>
    </row>
    <row r="144" spans="1:13">
      <c r="A144" s="233">
        <v>4</v>
      </c>
      <c r="B144" s="67"/>
      <c r="C144" s="790" t="s">
        <v>427</v>
      </c>
      <c r="D144" s="756" t="s">
        <v>682</v>
      </c>
      <c r="E144" s="366">
        <f>INPUT!C61</f>
        <v>0</v>
      </c>
      <c r="F144" s="37"/>
      <c r="G144" s="37" t="str">
        <f>G139</f>
        <v>W/S</v>
      </c>
      <c r="H144" s="64">
        <f t="shared" si="3"/>
        <v>0.1558502799280371</v>
      </c>
      <c r="I144" s="37"/>
      <c r="J144" s="225">
        <f t="shared" si="2"/>
        <v>0</v>
      </c>
      <c r="K144" s="5"/>
      <c r="L144" s="5"/>
      <c r="M144" s="5"/>
    </row>
    <row r="145" spans="1:13">
      <c r="A145" s="233">
        <v>5</v>
      </c>
      <c r="B145" s="67"/>
      <c r="C145" s="788" t="s">
        <v>443</v>
      </c>
      <c r="D145" s="37"/>
      <c r="E145" s="366">
        <f>INPUT!C62</f>
        <v>1688540</v>
      </c>
      <c r="F145" s="37"/>
      <c r="G145" s="37" t="str">
        <f>G144</f>
        <v>W/S</v>
      </c>
      <c r="H145" s="64">
        <f t="shared" si="3"/>
        <v>0.1558502799280371</v>
      </c>
      <c r="I145" s="37"/>
      <c r="J145" s="225">
        <f t="shared" si="2"/>
        <v>263159</v>
      </c>
      <c r="K145" s="5"/>
      <c r="L145" s="5"/>
      <c r="M145" s="5"/>
    </row>
    <row r="146" spans="1:13">
      <c r="A146" s="447" t="s">
        <v>175</v>
      </c>
      <c r="B146" s="67"/>
      <c r="C146" s="788" t="s">
        <v>444</v>
      </c>
      <c r="D146" s="37"/>
      <c r="E146" s="366">
        <f>INPUT!C63</f>
        <v>0</v>
      </c>
      <c r="F146" s="37"/>
      <c r="G146" s="63" t="str">
        <f>G134</f>
        <v>TE</v>
      </c>
      <c r="H146" s="64">
        <f>H134</f>
        <v>0.90834372768029159</v>
      </c>
      <c r="I146" s="37"/>
      <c r="J146" s="225">
        <f t="shared" si="2"/>
        <v>0</v>
      </c>
      <c r="K146" s="5"/>
      <c r="L146" s="5"/>
      <c r="M146" s="5"/>
    </row>
    <row r="147" spans="1:13">
      <c r="A147" s="233">
        <v>6</v>
      </c>
      <c r="B147" s="67"/>
      <c r="C147" s="791" t="s">
        <v>41</v>
      </c>
      <c r="D147" s="707" t="str">
        <f>'DE Ohio &amp; Kentucky'!D149</f>
        <v>356.1</v>
      </c>
      <c r="E147" s="366">
        <f>INPUT!C64</f>
        <v>0</v>
      </c>
      <c r="F147" s="37"/>
      <c r="G147" s="37" t="s">
        <v>93</v>
      </c>
      <c r="H147" s="64">
        <f>H87</f>
        <v>0.10237487226759219</v>
      </c>
      <c r="I147" s="37"/>
      <c r="J147" s="225">
        <f t="shared" si="2"/>
        <v>0</v>
      </c>
      <c r="K147" s="5"/>
      <c r="L147" s="5"/>
      <c r="M147" s="5"/>
    </row>
    <row r="148" spans="1:13" ht="15.75" thickBot="1">
      <c r="A148" s="233">
        <v>7</v>
      </c>
      <c r="B148" s="67"/>
      <c r="C148" s="791" t="s">
        <v>61</v>
      </c>
      <c r="D148" s="37"/>
      <c r="E148" s="490">
        <f>INPUT!C65</f>
        <v>0</v>
      </c>
      <c r="F148" s="37"/>
      <c r="G148" s="37" t="s">
        <v>12</v>
      </c>
      <c r="H148" s="491">
        <v>1</v>
      </c>
      <c r="I148" s="37"/>
      <c r="J148" s="226">
        <f t="shared" si="2"/>
        <v>0</v>
      </c>
      <c r="K148" s="5"/>
      <c r="L148" s="5"/>
      <c r="M148" s="5"/>
    </row>
    <row r="149" spans="1:13" s="839" customFormat="1">
      <c r="A149" s="809">
        <v>8</v>
      </c>
      <c r="C149" s="803" t="s">
        <v>778</v>
      </c>
      <c r="D149" s="807"/>
      <c r="E149" s="593">
        <f>E134-E135-E136-E137-E138+E139-E140+E141-E142-E144-E145+E146+E147+E148</f>
        <v>75778116</v>
      </c>
      <c r="F149" s="807"/>
      <c r="G149" s="807"/>
      <c r="H149" s="807"/>
      <c r="I149" s="807"/>
      <c r="J149" s="593">
        <f>J134-J135-J136-J137-J138+J139-J140+J141-J142-J144-J145+J146+J147+J148</f>
        <v>24472755</v>
      </c>
      <c r="K149" s="807"/>
      <c r="L149" s="807"/>
      <c r="M149" s="807"/>
    </row>
    <row r="150" spans="1:13">
      <c r="A150" s="233"/>
      <c r="B150" s="67"/>
      <c r="C150" s="785"/>
      <c r="D150" s="37"/>
      <c r="E150" s="223"/>
      <c r="F150" s="37"/>
      <c r="G150" s="37"/>
      <c r="H150" s="37"/>
      <c r="I150" s="37"/>
      <c r="J150" s="223"/>
      <c r="K150" s="5"/>
      <c r="L150" s="5"/>
      <c r="M150" s="5"/>
    </row>
    <row r="151" spans="1:13">
      <c r="A151" s="32"/>
      <c r="C151" s="781" t="s">
        <v>62</v>
      </c>
      <c r="D151" s="5"/>
      <c r="E151" s="225"/>
      <c r="F151" s="5"/>
      <c r="G151" s="5"/>
      <c r="H151" s="5"/>
      <c r="I151" s="5"/>
      <c r="J151" s="225"/>
      <c r="K151" s="5"/>
      <c r="L151" s="5"/>
      <c r="M151" s="5"/>
    </row>
    <row r="152" spans="1:13">
      <c r="A152" s="32">
        <v>9</v>
      </c>
      <c r="C152" s="781" t="s">
        <v>59</v>
      </c>
      <c r="D152" s="707" t="str">
        <f>'DE Ohio &amp; Kentucky'!D154</f>
        <v>336.7.b</v>
      </c>
      <c r="E152" s="492">
        <f>INPUT!C69</f>
        <v>13656799</v>
      </c>
      <c r="F152" s="5"/>
      <c r="G152" s="5" t="s">
        <v>19</v>
      </c>
      <c r="H152" s="14">
        <f>J208</f>
        <v>1</v>
      </c>
      <c r="I152" s="5"/>
      <c r="J152" s="364">
        <f>ROUND(H152*E152,0)</f>
        <v>13656799</v>
      </c>
      <c r="K152" s="5"/>
      <c r="L152" s="18"/>
      <c r="M152" s="5"/>
    </row>
    <row r="153" spans="1:13">
      <c r="A153" s="32">
        <v>10</v>
      </c>
      <c r="C153" s="781" t="s">
        <v>681</v>
      </c>
      <c r="D153" s="707" t="str">
        <f>'DE Ohio &amp; Kentucky'!D155</f>
        <v xml:space="preserve">336.10.b </v>
      </c>
      <c r="E153" s="366">
        <f>INPUT!C70</f>
        <v>14733479</v>
      </c>
      <c r="F153" s="5"/>
      <c r="G153" s="5" t="s">
        <v>40</v>
      </c>
      <c r="H153" s="14">
        <f>$J$226</f>
        <v>0.1558502799280371</v>
      </c>
      <c r="I153" s="5"/>
      <c r="J153" s="225">
        <f>ROUND(H153*E153,0)</f>
        <v>2296217</v>
      </c>
      <c r="K153" s="5"/>
      <c r="L153" s="18"/>
      <c r="M153" s="5"/>
    </row>
    <row r="154" spans="1:13" ht="15.75" thickBot="1">
      <c r="A154" s="32">
        <v>11</v>
      </c>
      <c r="C154" s="781" t="s">
        <v>41</v>
      </c>
      <c r="D154" s="707" t="str">
        <f>'DE Ohio &amp; Kentucky'!D156</f>
        <v>336.11.b</v>
      </c>
      <c r="E154" s="490">
        <f>INPUT!C71</f>
        <v>9006295</v>
      </c>
      <c r="F154" s="5"/>
      <c r="G154" s="5" t="s">
        <v>93</v>
      </c>
      <c r="H154" s="14">
        <f>H147</f>
        <v>0.10237487226759219</v>
      </c>
      <c r="I154" s="5"/>
      <c r="J154" s="226">
        <f>ROUND(H154*E154,0)</f>
        <v>922018</v>
      </c>
      <c r="K154" s="5"/>
      <c r="L154" s="18"/>
      <c r="M154" s="5"/>
    </row>
    <row r="155" spans="1:13">
      <c r="A155" s="32">
        <v>12</v>
      </c>
      <c r="C155" s="781" t="s">
        <v>64</v>
      </c>
      <c r="D155" s="5"/>
      <c r="E155" s="364">
        <f>SUM(E152:E154)</f>
        <v>37396573</v>
      </c>
      <c r="F155" s="5"/>
      <c r="G155" s="5"/>
      <c r="H155" s="5"/>
      <c r="I155" s="5"/>
      <c r="J155" s="364">
        <f>SUM(J152:J154)</f>
        <v>16875034</v>
      </c>
      <c r="K155" s="5"/>
      <c r="L155" s="5"/>
      <c r="M155" s="5"/>
    </row>
    <row r="156" spans="1:13">
      <c r="A156" s="32"/>
      <c r="C156" s="781"/>
      <c r="D156" s="5"/>
      <c r="E156" s="225"/>
      <c r="F156" s="5"/>
      <c r="G156" s="5"/>
      <c r="H156" s="5"/>
      <c r="I156" s="5"/>
      <c r="J156" s="225"/>
      <c r="K156" s="5"/>
      <c r="L156" s="5"/>
      <c r="M156" s="5"/>
    </row>
    <row r="157" spans="1:13">
      <c r="A157" s="32" t="s">
        <v>12</v>
      </c>
      <c r="C157" s="789" t="s">
        <v>445</v>
      </c>
      <c r="E157" s="225"/>
      <c r="F157" s="5"/>
      <c r="G157" s="5"/>
      <c r="H157" s="5"/>
      <c r="I157" s="5"/>
      <c r="J157" s="225"/>
      <c r="K157" s="5"/>
      <c r="L157" s="5"/>
      <c r="M157" s="5"/>
    </row>
    <row r="158" spans="1:13">
      <c r="A158" s="32"/>
      <c r="C158" s="781" t="s">
        <v>65</v>
      </c>
      <c r="E158" s="225"/>
      <c r="F158" s="5"/>
      <c r="G158" s="5"/>
      <c r="I158" s="5"/>
      <c r="J158" s="225"/>
      <c r="K158" s="5"/>
      <c r="L158" s="18"/>
      <c r="M158" s="5"/>
    </row>
    <row r="159" spans="1:13">
      <c r="A159" s="32">
        <v>13</v>
      </c>
      <c r="C159" s="787" t="s">
        <v>428</v>
      </c>
      <c r="D159" s="756" t="s">
        <v>2</v>
      </c>
      <c r="E159" s="492">
        <f>INPUT!C76</f>
        <v>4660966</v>
      </c>
      <c r="F159" s="5"/>
      <c r="G159" s="5" t="s">
        <v>40</v>
      </c>
      <c r="H159" s="14">
        <f>$J$226</f>
        <v>0.1558502799280371</v>
      </c>
      <c r="I159" s="5"/>
      <c r="J159" s="364">
        <f>ROUND(H159*E159,0)</f>
        <v>726413</v>
      </c>
      <c r="K159" s="5"/>
      <c r="L159" s="18"/>
      <c r="M159" s="5"/>
    </row>
    <row r="160" spans="1:13">
      <c r="A160" s="32">
        <v>14</v>
      </c>
      <c r="C160" s="787" t="s">
        <v>429</v>
      </c>
      <c r="D160" s="756" t="s">
        <v>332</v>
      </c>
      <c r="E160" s="366">
        <f>INPUT!C77</f>
        <v>5002</v>
      </c>
      <c r="F160" s="5"/>
      <c r="G160" s="5" t="str">
        <f>G159</f>
        <v>W/S</v>
      </c>
      <c r="H160" s="14">
        <f>$J$226</f>
        <v>0.1558502799280371</v>
      </c>
      <c r="I160" s="5"/>
      <c r="J160" s="225">
        <f>ROUND(H160*E160,0)</f>
        <v>780</v>
      </c>
      <c r="K160" s="5"/>
      <c r="L160" s="18"/>
      <c r="M160" s="5"/>
    </row>
    <row r="161" spans="1:13">
      <c r="A161" s="32">
        <v>15</v>
      </c>
      <c r="C161" s="781" t="s">
        <v>66</v>
      </c>
      <c r="D161" s="756" t="s">
        <v>12</v>
      </c>
      <c r="E161" s="366"/>
      <c r="F161" s="5"/>
      <c r="G161" s="5"/>
      <c r="I161" s="5"/>
      <c r="J161" s="225"/>
      <c r="K161" s="5"/>
      <c r="L161" s="18"/>
      <c r="M161" s="5"/>
    </row>
    <row r="162" spans="1:13">
      <c r="A162" s="32">
        <v>16</v>
      </c>
      <c r="C162" s="781" t="s">
        <v>67</v>
      </c>
      <c r="D162" s="756" t="s">
        <v>333</v>
      </c>
      <c r="E162" s="366">
        <f>INPUT!C79</f>
        <v>108993291</v>
      </c>
      <c r="F162" s="5"/>
      <c r="G162" s="5" t="s">
        <v>56</v>
      </c>
      <c r="H162" s="19">
        <f>H80</f>
        <v>0.229894917898775</v>
      </c>
      <c r="I162" s="5"/>
      <c r="J162" s="225">
        <f>ROUND(H162*E162,0)</f>
        <v>25057004</v>
      </c>
      <c r="K162" s="5"/>
      <c r="L162" s="18"/>
      <c r="M162" s="5"/>
    </row>
    <row r="163" spans="1:13">
      <c r="A163" s="32">
        <v>17</v>
      </c>
      <c r="C163" s="781" t="s">
        <v>68</v>
      </c>
      <c r="D163" s="756" t="s">
        <v>334</v>
      </c>
      <c r="E163" s="366">
        <f>INPUT!C80</f>
        <v>4569666</v>
      </c>
      <c r="F163" s="5"/>
      <c r="G163" s="37" t="str">
        <f>G99</f>
        <v>NA</v>
      </c>
      <c r="H163" s="82" t="s">
        <v>176</v>
      </c>
      <c r="I163" s="5"/>
      <c r="J163" s="227">
        <v>0</v>
      </c>
      <c r="K163" s="5"/>
      <c r="L163" s="27" t="s">
        <v>12</v>
      </c>
      <c r="M163" s="5"/>
    </row>
    <row r="164" spans="1:13">
      <c r="A164" s="32">
        <v>18</v>
      </c>
      <c r="C164" s="781" t="s">
        <v>69</v>
      </c>
      <c r="D164" s="756" t="s">
        <v>199</v>
      </c>
      <c r="E164" s="366">
        <f>INPUT!C81</f>
        <v>0</v>
      </c>
      <c r="F164" s="5"/>
      <c r="G164" s="5" t="str">
        <f>G162</f>
        <v>GP</v>
      </c>
      <c r="H164" s="19">
        <f>H162</f>
        <v>0.229894917898775</v>
      </c>
      <c r="I164" s="5"/>
      <c r="J164" s="225">
        <f>ROUND(H164*E164,0)</f>
        <v>0</v>
      </c>
      <c r="K164" s="5"/>
      <c r="L164" s="27" t="s">
        <v>12</v>
      </c>
      <c r="M164" s="5"/>
    </row>
    <row r="165" spans="1:13" ht="15.75" thickBot="1">
      <c r="A165" s="32">
        <v>19</v>
      </c>
      <c r="C165" s="781" t="s">
        <v>70</v>
      </c>
      <c r="D165" s="5"/>
      <c r="E165" s="490">
        <f>INPUT!C82</f>
        <v>0</v>
      </c>
      <c r="F165" s="5"/>
      <c r="G165" s="5" t="s">
        <v>56</v>
      </c>
      <c r="H165" s="19">
        <f>H162</f>
        <v>0.229894917898775</v>
      </c>
      <c r="I165" s="5"/>
      <c r="J165" s="226">
        <f>ROUND(H165*E165,0)</f>
        <v>0</v>
      </c>
      <c r="K165" s="5"/>
      <c r="L165" s="18"/>
      <c r="M165" s="5"/>
    </row>
    <row r="166" spans="1:13">
      <c r="A166" s="32">
        <v>20</v>
      </c>
      <c r="C166" s="781" t="s">
        <v>71</v>
      </c>
      <c r="D166" s="5"/>
      <c r="E166" s="364">
        <f>E159+E160+E162+E163+E164+E165</f>
        <v>118228925</v>
      </c>
      <c r="F166" s="5"/>
      <c r="G166" s="5"/>
      <c r="H166" s="19"/>
      <c r="I166" s="5"/>
      <c r="J166" s="364">
        <f>J159+J160+J162+J163+J164+J165</f>
        <v>25784197</v>
      </c>
      <c r="K166" s="5"/>
      <c r="L166" s="5"/>
      <c r="M166" s="5"/>
    </row>
    <row r="167" spans="1:13">
      <c r="A167" s="32"/>
      <c r="C167" s="781"/>
      <c r="D167" s="5"/>
      <c r="E167" s="225"/>
      <c r="F167" s="5"/>
      <c r="G167" s="5"/>
      <c r="H167" s="19"/>
      <c r="I167" s="5"/>
      <c r="J167" s="5"/>
      <c r="K167" s="5"/>
      <c r="L167" s="5"/>
      <c r="M167" s="5"/>
    </row>
    <row r="168" spans="1:13">
      <c r="A168" s="32" t="s">
        <v>72</v>
      </c>
      <c r="C168" s="781"/>
      <c r="D168" s="5"/>
      <c r="E168" s="5"/>
      <c r="F168" s="5"/>
      <c r="G168" s="5"/>
      <c r="H168" s="19"/>
      <c r="I168" s="5"/>
      <c r="J168" s="5"/>
      <c r="K168" s="5"/>
      <c r="L168" s="5"/>
      <c r="M168" s="5"/>
    </row>
    <row r="169" spans="1:13">
      <c r="A169" s="32" t="s">
        <v>12</v>
      </c>
      <c r="C169" s="789" t="s">
        <v>454</v>
      </c>
      <c r="D169" s="5"/>
      <c r="E169" s="5"/>
      <c r="F169" s="5"/>
      <c r="H169" s="16"/>
      <c r="I169" s="5"/>
      <c r="K169" s="5"/>
      <c r="M169" s="5"/>
    </row>
    <row r="170" spans="1:13">
      <c r="A170" s="32">
        <v>21</v>
      </c>
      <c r="C170" s="783" t="s">
        <v>160</v>
      </c>
      <c r="D170" s="5"/>
      <c r="E170" s="591">
        <f>IF(E305&gt;0,1-(((1-E306)*(1-E305))/(1-E306*E305*E307)),0)</f>
        <v>0.35</v>
      </c>
      <c r="F170" s="5"/>
      <c r="H170" s="16"/>
      <c r="I170" s="5"/>
      <c r="K170" s="5"/>
      <c r="M170" s="5"/>
    </row>
    <row r="171" spans="1:13">
      <c r="A171" s="32">
        <v>22</v>
      </c>
      <c r="C171" s="782" t="s">
        <v>161</v>
      </c>
      <c r="D171" s="5"/>
      <c r="E171" s="408">
        <f>IF(J250&gt;0,(E170/(1-E170))*(1-J247/J250),0)</f>
        <v>0.368561872909699</v>
      </c>
      <c r="F171" s="5"/>
      <c r="H171" s="16"/>
      <c r="I171" s="5"/>
      <c r="K171" s="5"/>
      <c r="M171" s="5"/>
    </row>
    <row r="172" spans="1:13">
      <c r="A172" s="32"/>
      <c r="C172" s="781" t="s">
        <v>403</v>
      </c>
      <c r="D172" s="5"/>
      <c r="E172" s="5"/>
      <c r="F172" s="5"/>
      <c r="H172" s="16"/>
      <c r="I172" s="5"/>
      <c r="K172" s="5"/>
      <c r="M172" s="5"/>
    </row>
    <row r="173" spans="1:13">
      <c r="A173" s="32"/>
      <c r="C173" s="781" t="s">
        <v>163</v>
      </c>
      <c r="D173" s="5"/>
      <c r="E173" s="5"/>
      <c r="F173" s="5"/>
      <c r="H173" s="16"/>
      <c r="I173" s="5"/>
      <c r="K173" s="5"/>
      <c r="M173" s="5"/>
    </row>
    <row r="174" spans="1:13">
      <c r="A174" s="32">
        <v>23</v>
      </c>
      <c r="C174" s="783" t="s">
        <v>162</v>
      </c>
      <c r="D174" s="5"/>
      <c r="E174" s="754">
        <f>IF(E170&gt;0,1/(1-E170),0)</f>
        <v>1.5384615384615383</v>
      </c>
      <c r="F174" s="5"/>
      <c r="H174" s="16"/>
      <c r="I174" s="5"/>
      <c r="J174" s="225"/>
      <c r="K174" s="5"/>
      <c r="M174" s="5"/>
    </row>
    <row r="175" spans="1:13">
      <c r="A175" s="32">
        <v>24</v>
      </c>
      <c r="C175" s="781" t="s">
        <v>408</v>
      </c>
      <c r="D175" s="707" t="str">
        <f>'DE Ohio &amp; Kentucky'!D177</f>
        <v>266.8.f (enter negative)</v>
      </c>
      <c r="E175" s="366">
        <f>INPUT!C92</f>
        <v>-231467</v>
      </c>
      <c r="F175" s="5"/>
      <c r="H175" s="16"/>
      <c r="I175" s="5"/>
      <c r="J175" s="225"/>
      <c r="K175" s="5"/>
      <c r="M175" s="5"/>
    </row>
    <row r="176" spans="1:13">
      <c r="A176" s="32"/>
      <c r="C176" s="781"/>
      <c r="D176" s="5"/>
      <c r="E176" s="225"/>
      <c r="F176" s="5"/>
      <c r="H176" s="16"/>
      <c r="I176" s="5"/>
      <c r="J176" s="225"/>
      <c r="K176" s="5"/>
      <c r="M176" s="5"/>
    </row>
    <row r="177" spans="1:13">
      <c r="A177" s="32">
        <v>25</v>
      </c>
      <c r="C177" s="783" t="s">
        <v>409</v>
      </c>
      <c r="D177" s="48"/>
      <c r="E177" s="364">
        <f>E171*E181</f>
        <v>53593652.243478261</v>
      </c>
      <c r="F177" s="5"/>
      <c r="G177" s="5" t="s">
        <v>36</v>
      </c>
      <c r="H177" s="19"/>
      <c r="I177" s="5"/>
      <c r="J177" s="364">
        <f>E171*J181</f>
        <v>12793755.243478261</v>
      </c>
      <c r="K177" s="5"/>
      <c r="L177" s="15" t="s">
        <v>12</v>
      </c>
      <c r="M177" s="5"/>
    </row>
    <row r="178" spans="1:13" ht="15.75" thickBot="1">
      <c r="A178" s="32">
        <v>26</v>
      </c>
      <c r="C178" s="782" t="s">
        <v>166</v>
      </c>
      <c r="D178" s="48"/>
      <c r="E178" s="226">
        <f>E174*E175</f>
        <v>-356103.07692307688</v>
      </c>
      <c r="F178" s="5"/>
      <c r="G178" s="12" t="s">
        <v>54</v>
      </c>
      <c r="H178" s="19">
        <f>H96</f>
        <v>0.23083944439764337</v>
      </c>
      <c r="I178" s="5"/>
      <c r="J178" s="226">
        <f>H178*E178</f>
        <v>-82202.636425214325</v>
      </c>
      <c r="K178" s="5"/>
      <c r="L178" s="15"/>
      <c r="M178" s="5"/>
    </row>
    <row r="179" spans="1:13">
      <c r="A179" s="32">
        <v>27</v>
      </c>
      <c r="C179" s="784" t="s">
        <v>150</v>
      </c>
      <c r="D179" s="707" t="str">
        <f>'DE Ohio &amp; Kentucky'!D181</f>
        <v>(line 25 plus line 26)</v>
      </c>
      <c r="E179" s="367">
        <f>E177+E178</f>
        <v>53237549.166555181</v>
      </c>
      <c r="F179" s="5"/>
      <c r="G179" s="5" t="s">
        <v>12</v>
      </c>
      <c r="H179" s="19" t="s">
        <v>12</v>
      </c>
      <c r="I179" s="5"/>
      <c r="J179" s="367">
        <f>J177+J178</f>
        <v>12711552.607053047</v>
      </c>
      <c r="K179" s="5"/>
      <c r="L179" s="5"/>
      <c r="M179" s="5"/>
    </row>
    <row r="180" spans="1:13">
      <c r="A180" s="32" t="s">
        <v>12</v>
      </c>
      <c r="C180" s="780"/>
      <c r="D180" s="20"/>
      <c r="E180" s="225"/>
      <c r="F180" s="5"/>
      <c r="G180" s="5"/>
      <c r="H180" s="19"/>
      <c r="I180" s="5"/>
      <c r="J180" s="225"/>
      <c r="K180" s="5"/>
      <c r="L180" s="5"/>
      <c r="M180" s="5"/>
    </row>
    <row r="181" spans="1:13">
      <c r="A181" s="32">
        <v>28</v>
      </c>
      <c r="C181" s="781" t="s">
        <v>73</v>
      </c>
      <c r="D181" s="18"/>
      <c r="E181" s="364">
        <f>ROUND($J250*E114,0)</f>
        <v>145412904</v>
      </c>
      <c r="F181" s="5"/>
      <c r="G181" s="5" t="s">
        <v>36</v>
      </c>
      <c r="H181" s="16"/>
      <c r="I181" s="5"/>
      <c r="J181" s="364">
        <f>ROUND($J250*J114,0)</f>
        <v>34712639</v>
      </c>
      <c r="K181" s="5"/>
      <c r="M181" s="5"/>
    </row>
    <row r="182" spans="1:13">
      <c r="A182" s="32"/>
      <c r="C182" s="784" t="s">
        <v>74</v>
      </c>
      <c r="E182" s="225"/>
      <c r="F182" s="5"/>
      <c r="G182" s="5"/>
      <c r="H182" s="16"/>
      <c r="I182" s="5"/>
      <c r="J182" s="225"/>
      <c r="K182" s="5"/>
      <c r="L182" s="18"/>
      <c r="M182" s="5"/>
    </row>
    <row r="183" spans="1:13">
      <c r="A183" s="32"/>
      <c r="C183" s="781"/>
      <c r="E183" s="228"/>
      <c r="F183" s="5"/>
      <c r="G183" s="5"/>
      <c r="H183" s="16"/>
      <c r="I183" s="5"/>
      <c r="J183" s="228"/>
      <c r="K183" s="5"/>
      <c r="L183" s="18"/>
      <c r="M183" s="5"/>
    </row>
    <row r="184" spans="1:13" ht="15.75" thickBot="1">
      <c r="A184" s="32">
        <v>29</v>
      </c>
      <c r="C184" s="781" t="s">
        <v>164</v>
      </c>
      <c r="D184" s="5"/>
      <c r="E184" s="368">
        <f>E181+E179+E166+E155+E149</f>
        <v>430054067.16655517</v>
      </c>
      <c r="F184" s="94"/>
      <c r="G184" s="94"/>
      <c r="H184" s="94"/>
      <c r="I184" s="94"/>
      <c r="J184" s="368">
        <f>J181+J179+J166+J155+J149</f>
        <v>114556177.60705304</v>
      </c>
      <c r="K184" s="1"/>
      <c r="L184" s="1"/>
      <c r="M184" s="1"/>
    </row>
    <row r="185" spans="1:13" ht="15.75" thickTop="1">
      <c r="A185" s="32"/>
      <c r="C185" s="3"/>
      <c r="D185" s="5"/>
      <c r="E185" s="94"/>
      <c r="F185" s="5"/>
      <c r="G185" s="5"/>
      <c r="H185" s="5"/>
      <c r="I185" s="5"/>
      <c r="J185" s="94"/>
      <c r="K185" s="1"/>
      <c r="L185" s="1"/>
      <c r="M185" s="1"/>
    </row>
    <row r="186" spans="1:13">
      <c r="A186" s="32"/>
      <c r="C186" s="3"/>
      <c r="D186" s="5"/>
      <c r="E186" s="94"/>
      <c r="F186" s="5"/>
      <c r="G186" s="5"/>
      <c r="H186" s="5"/>
      <c r="I186" s="5"/>
      <c r="J186" s="94"/>
      <c r="K186" s="1"/>
      <c r="L186" s="1"/>
      <c r="M186" s="1"/>
    </row>
    <row r="187" spans="1:13">
      <c r="A187" s="32"/>
      <c r="C187" s="3"/>
      <c r="D187" s="29"/>
      <c r="E187" s="30"/>
      <c r="F187" s="29"/>
      <c r="G187" s="29"/>
      <c r="H187" s="29"/>
      <c r="I187" s="31"/>
      <c r="K187" s="32"/>
      <c r="L187" s="92"/>
      <c r="M187" s="32"/>
    </row>
    <row r="188" spans="1:13" ht="18">
      <c r="A188" s="245"/>
      <c r="C188" s="29"/>
      <c r="D188" s="29"/>
      <c r="E188" s="30"/>
      <c r="F188" s="29"/>
      <c r="I188" s="91"/>
      <c r="J188" s="77" t="s">
        <v>365</v>
      </c>
      <c r="M188" s="91"/>
    </row>
    <row r="189" spans="1:13">
      <c r="C189" s="29"/>
      <c r="D189" s="29"/>
      <c r="E189" s="30"/>
      <c r="F189" s="29"/>
      <c r="H189" s="31"/>
      <c r="J189" s="77" t="s">
        <v>569</v>
      </c>
      <c r="M189" s="77"/>
    </row>
    <row r="190" spans="1:13">
      <c r="C190" s="29"/>
      <c r="D190" s="29"/>
      <c r="E190" s="30"/>
      <c r="F190" s="29"/>
      <c r="H190" s="31"/>
      <c r="I190" s="1"/>
      <c r="M190" s="77"/>
    </row>
    <row r="191" spans="1:13">
      <c r="C191" s="29"/>
      <c r="D191" s="29"/>
      <c r="E191" s="30"/>
      <c r="F191" s="29"/>
      <c r="H191" s="31"/>
      <c r="I191" s="1"/>
      <c r="M191" s="77"/>
    </row>
    <row r="192" spans="1:13">
      <c r="C192" s="29"/>
      <c r="D192" s="29"/>
      <c r="E192" s="30"/>
      <c r="F192" s="29"/>
      <c r="H192" s="31"/>
      <c r="I192" s="1"/>
      <c r="M192" s="77"/>
    </row>
    <row r="193" spans="1:13">
      <c r="C193" s="29"/>
      <c r="D193" s="29"/>
      <c r="E193" s="30"/>
      <c r="F193" s="29"/>
      <c r="H193" s="31"/>
      <c r="I193" s="1"/>
      <c r="J193" s="77"/>
      <c r="M193" s="77"/>
    </row>
    <row r="194" spans="1:13">
      <c r="C194" s="29" t="s">
        <v>11</v>
      </c>
      <c r="D194" s="29"/>
      <c r="E194" s="30"/>
      <c r="F194" s="29"/>
      <c r="H194" s="31"/>
      <c r="I194" s="1"/>
      <c r="J194" s="92" t="str">
        <f>J7</f>
        <v>For the 12 months ended: 12/31/2016</v>
      </c>
      <c r="M194" s="77"/>
    </row>
    <row r="195" spans="1:13">
      <c r="A195" s="275" t="str">
        <f>A8</f>
        <v>Rate Formula Template</v>
      </c>
      <c r="B195" s="277"/>
      <c r="C195" s="277"/>
      <c r="D195" s="270"/>
      <c r="E195" s="117"/>
      <c r="F195" s="270"/>
      <c r="G195" s="270"/>
      <c r="H195" s="270"/>
      <c r="I195" s="270"/>
      <c r="J195" s="117"/>
      <c r="K195" s="271"/>
      <c r="L195" s="117"/>
      <c r="M195" s="1"/>
    </row>
    <row r="196" spans="1:13">
      <c r="A196" s="278" t="s">
        <v>327</v>
      </c>
      <c r="B196" s="277"/>
      <c r="C196" s="275"/>
      <c r="D196" s="272"/>
      <c r="E196" s="117"/>
      <c r="F196" s="272"/>
      <c r="G196" s="272"/>
      <c r="H196" s="272"/>
      <c r="I196" s="270"/>
      <c r="J196" s="270"/>
      <c r="K196" s="273"/>
      <c r="L196" s="273"/>
      <c r="M196" s="1"/>
    </row>
    <row r="197" spans="1:13">
      <c r="A197" s="271"/>
      <c r="B197" s="277"/>
      <c r="C197" s="271"/>
      <c r="D197" s="273"/>
      <c r="E197" s="117"/>
      <c r="F197" s="273"/>
      <c r="G197" s="273"/>
      <c r="H197" s="273"/>
      <c r="I197" s="273"/>
      <c r="J197" s="273"/>
      <c r="K197" s="273"/>
      <c r="L197" s="273"/>
      <c r="M197" s="5"/>
    </row>
    <row r="198" spans="1:13" ht="15.75">
      <c r="A198" s="274" t="s">
        <v>215</v>
      </c>
      <c r="B198" s="277"/>
      <c r="C198" s="271"/>
      <c r="D198" s="273"/>
      <c r="E198" s="117"/>
      <c r="F198" s="273"/>
      <c r="G198" s="273"/>
      <c r="H198" s="273"/>
      <c r="I198" s="273"/>
      <c r="J198" s="273"/>
      <c r="K198" s="273"/>
      <c r="L198" s="273"/>
      <c r="M198" s="5"/>
    </row>
    <row r="199" spans="1:13" ht="15.75">
      <c r="A199" s="279" t="s">
        <v>328</v>
      </c>
      <c r="B199" s="117"/>
      <c r="C199" s="117"/>
      <c r="D199" s="117"/>
      <c r="E199" s="117"/>
      <c r="F199" s="273"/>
      <c r="G199" s="273"/>
      <c r="H199" s="273"/>
      <c r="I199" s="273"/>
      <c r="J199" s="273"/>
      <c r="K199" s="272"/>
      <c r="L199" s="272"/>
      <c r="M199" s="5"/>
    </row>
    <row r="200" spans="1:13" ht="15.75">
      <c r="A200" s="32" t="s">
        <v>13</v>
      </c>
      <c r="C200" s="13"/>
      <c r="D200" s="1"/>
      <c r="E200" s="1"/>
      <c r="F200" s="1"/>
      <c r="G200" s="1"/>
      <c r="H200" s="1"/>
      <c r="I200" s="1"/>
      <c r="J200" s="1"/>
      <c r="K200" s="5"/>
      <c r="L200" s="5"/>
      <c r="M200" s="5"/>
    </row>
    <row r="201" spans="1:13" ht="15.75">
      <c r="A201" s="288" t="s">
        <v>15</v>
      </c>
      <c r="B201" s="295"/>
      <c r="C201" s="392" t="s">
        <v>377</v>
      </c>
      <c r="D201" s="66"/>
      <c r="E201" s="66"/>
      <c r="F201" s="66"/>
      <c r="G201" s="66"/>
      <c r="H201" s="66"/>
      <c r="I201" s="67"/>
      <c r="J201" s="67"/>
      <c r="K201" s="37"/>
      <c r="L201" s="5"/>
      <c r="M201" s="5"/>
    </row>
    <row r="202" spans="1:13">
      <c r="A202" s="32"/>
      <c r="C202" s="65"/>
      <c r="D202" s="66"/>
      <c r="E202" s="66"/>
      <c r="F202" s="66"/>
      <c r="G202" s="66"/>
      <c r="H202" s="66"/>
      <c r="I202" s="66"/>
      <c r="J202" s="66"/>
      <c r="K202" s="37"/>
      <c r="L202" s="5"/>
      <c r="M202" s="5"/>
    </row>
    <row r="203" spans="1:13">
      <c r="A203" s="32">
        <v>1</v>
      </c>
      <c r="C203" s="60" t="s">
        <v>378</v>
      </c>
      <c r="D203" s="66"/>
      <c r="E203" s="37"/>
      <c r="F203" s="37"/>
      <c r="G203" s="37"/>
      <c r="H203" s="37"/>
      <c r="I203" s="37"/>
      <c r="J203" s="593">
        <f>E76</f>
        <v>772979082</v>
      </c>
      <c r="K203" s="37"/>
      <c r="L203" s="5"/>
      <c r="M203" s="5"/>
    </row>
    <row r="204" spans="1:13">
      <c r="A204" s="32">
        <v>2</v>
      </c>
      <c r="C204" s="430" t="s">
        <v>434</v>
      </c>
      <c r="D204" s="67"/>
      <c r="E204" s="67"/>
      <c r="F204" s="67"/>
      <c r="G204" s="67"/>
      <c r="H204" s="67"/>
      <c r="I204" s="67"/>
      <c r="J204" s="285">
        <f>INPUT!C96</f>
        <v>0</v>
      </c>
      <c r="K204" s="37"/>
      <c r="L204" s="5"/>
      <c r="M204" s="5"/>
    </row>
    <row r="205" spans="1:13" ht="15.75" thickBot="1">
      <c r="A205" s="32">
        <v>3</v>
      </c>
      <c r="C205" s="431" t="s">
        <v>435</v>
      </c>
      <c r="D205" s="68"/>
      <c r="E205" s="69"/>
      <c r="F205" s="37"/>
      <c r="G205" s="37"/>
      <c r="H205" s="70"/>
      <c r="I205" s="37"/>
      <c r="J205" s="232">
        <f>INPUT!C97</f>
        <v>0</v>
      </c>
      <c r="K205" s="37"/>
      <c r="M205" s="5"/>
    </row>
    <row r="206" spans="1:13">
      <c r="A206" s="32">
        <v>4</v>
      </c>
      <c r="C206" s="60" t="s">
        <v>379</v>
      </c>
      <c r="D206" s="66"/>
      <c r="E206" s="37"/>
      <c r="F206" s="37"/>
      <c r="G206" s="37"/>
      <c r="H206" s="70"/>
      <c r="I206" s="37"/>
      <c r="J206" s="593">
        <f>J203-J204-J205</f>
        <v>772979082</v>
      </c>
      <c r="K206" s="37"/>
      <c r="L206" s="5"/>
      <c r="M206" s="5"/>
    </row>
    <row r="207" spans="1:13">
      <c r="A207" s="32"/>
      <c r="C207" s="67"/>
      <c r="D207" s="66"/>
      <c r="E207" s="37"/>
      <c r="F207" s="37"/>
      <c r="G207" s="37"/>
      <c r="H207" s="70"/>
      <c r="I207" s="37"/>
      <c r="J207" s="67"/>
      <c r="K207" s="37"/>
      <c r="L207" s="5"/>
      <c r="M207" s="5"/>
    </row>
    <row r="208" spans="1:13">
      <c r="A208" s="32">
        <v>5</v>
      </c>
      <c r="C208" s="60" t="s">
        <v>380</v>
      </c>
      <c r="D208" s="71"/>
      <c r="E208" s="72"/>
      <c r="F208" s="72"/>
      <c r="G208" s="72"/>
      <c r="H208" s="73"/>
      <c r="I208" s="37" t="s">
        <v>78</v>
      </c>
      <c r="J208" s="62">
        <f>IF(J203&gt;0,J206/J203,0)</f>
        <v>1</v>
      </c>
      <c r="K208" s="37"/>
      <c r="L208" s="5"/>
      <c r="M208" s="5"/>
    </row>
    <row r="209" spans="1:13">
      <c r="A209" s="32"/>
      <c r="C209" s="67"/>
      <c r="D209" s="67"/>
      <c r="E209" s="67"/>
      <c r="F209" s="67"/>
      <c r="G209" s="67"/>
      <c r="H209" s="67"/>
      <c r="I209" s="67"/>
      <c r="J209" s="67"/>
      <c r="K209" s="37"/>
      <c r="L209" s="5"/>
      <c r="M209" s="5"/>
    </row>
    <row r="210" spans="1:13" ht="15.75">
      <c r="A210" s="32"/>
      <c r="C210" s="391" t="s">
        <v>75</v>
      </c>
      <c r="D210" s="67"/>
      <c r="E210" s="67"/>
      <c r="F210" s="67"/>
      <c r="G210" s="67"/>
      <c r="H210" s="67"/>
      <c r="I210" s="67"/>
      <c r="J210" s="67"/>
      <c r="K210" s="37"/>
      <c r="L210" s="5"/>
      <c r="M210" s="5"/>
    </row>
    <row r="211" spans="1:13">
      <c r="A211" s="32"/>
      <c r="C211" s="67"/>
      <c r="D211" s="67"/>
      <c r="E211" s="67"/>
      <c r="F211" s="67"/>
      <c r="G211" s="67"/>
      <c r="H211" s="67"/>
      <c r="I211" s="67"/>
      <c r="J211" s="67"/>
      <c r="K211" s="37"/>
      <c r="L211" s="5"/>
      <c r="M211" s="5"/>
    </row>
    <row r="212" spans="1:13">
      <c r="A212" s="32">
        <v>6</v>
      </c>
      <c r="C212" s="67" t="s">
        <v>76</v>
      </c>
      <c r="D212" s="67"/>
      <c r="E212" s="66"/>
      <c r="F212" s="66"/>
      <c r="G212" s="66"/>
      <c r="H212" s="74"/>
      <c r="I212" s="66"/>
      <c r="J212" s="593">
        <f>E134</f>
        <v>50347880</v>
      </c>
      <c r="K212" s="37"/>
      <c r="L212" s="5"/>
      <c r="M212" s="5"/>
    </row>
    <row r="213" spans="1:13" ht="15.75" thickBot="1">
      <c r="A213" s="32">
        <v>7</v>
      </c>
      <c r="C213" s="431" t="s">
        <v>436</v>
      </c>
      <c r="D213" s="68"/>
      <c r="E213" s="69"/>
      <c r="F213" s="69"/>
      <c r="G213" s="37"/>
      <c r="H213" s="37"/>
      <c r="I213" s="37"/>
      <c r="J213" s="224">
        <f>'P5 Schedule 1 Charges acct 561'!C39</f>
        <v>4614699</v>
      </c>
      <c r="K213" s="37"/>
      <c r="L213" s="5"/>
      <c r="M213" s="5"/>
    </row>
    <row r="214" spans="1:13">
      <c r="A214" s="32">
        <v>8</v>
      </c>
      <c r="C214" s="60" t="s">
        <v>180</v>
      </c>
      <c r="D214" s="71"/>
      <c r="E214" s="72"/>
      <c r="F214" s="72"/>
      <c r="G214" s="72"/>
      <c r="H214" s="73"/>
      <c r="I214" s="72"/>
      <c r="J214" s="593">
        <f>J212-J213</f>
        <v>45733181</v>
      </c>
      <c r="K214" s="67"/>
      <c r="M214" s="5"/>
    </row>
    <row r="215" spans="1:13">
      <c r="A215" s="32"/>
      <c r="C215" s="60"/>
      <c r="D215" s="66"/>
      <c r="E215" s="37"/>
      <c r="F215" s="37"/>
      <c r="G215" s="37"/>
      <c r="H215" s="37"/>
      <c r="I215" s="67"/>
      <c r="J215" s="67"/>
      <c r="K215" s="67"/>
      <c r="M215" s="5"/>
    </row>
    <row r="216" spans="1:13">
      <c r="A216" s="32">
        <v>9</v>
      </c>
      <c r="C216" s="60" t="s">
        <v>179</v>
      </c>
      <c r="D216" s="66"/>
      <c r="E216" s="37"/>
      <c r="F216" s="37"/>
      <c r="G216" s="37"/>
      <c r="H216" s="37"/>
      <c r="I216" s="37"/>
      <c r="J216" s="64">
        <f>IF(J212&gt;0,J214/J212,0)</f>
        <v>0.90834372768029159</v>
      </c>
      <c r="K216" s="67"/>
      <c r="M216" s="5"/>
    </row>
    <row r="217" spans="1:13">
      <c r="A217" s="32">
        <v>10</v>
      </c>
      <c r="C217" s="60" t="s">
        <v>381</v>
      </c>
      <c r="D217" s="66"/>
      <c r="E217" s="37"/>
      <c r="F217" s="37"/>
      <c r="G217" s="37"/>
      <c r="H217" s="37"/>
      <c r="I217" s="66" t="s">
        <v>19</v>
      </c>
      <c r="J217" s="75">
        <f>J208</f>
        <v>1</v>
      </c>
      <c r="K217" s="67"/>
      <c r="M217" s="5"/>
    </row>
    <row r="218" spans="1:13">
      <c r="A218" s="32">
        <v>11</v>
      </c>
      <c r="C218" s="60" t="s">
        <v>382</v>
      </c>
      <c r="D218" s="66"/>
      <c r="E218" s="66"/>
      <c r="F218" s="66"/>
      <c r="G218" s="66"/>
      <c r="H218" s="66"/>
      <c r="I218" s="66" t="s">
        <v>77</v>
      </c>
      <c r="J218" s="76">
        <f>J217*J216</f>
        <v>0.90834372768029159</v>
      </c>
      <c r="K218" s="67"/>
      <c r="M218" s="5"/>
    </row>
    <row r="219" spans="1:13">
      <c r="A219" s="32"/>
      <c r="D219" s="1"/>
      <c r="E219" s="5"/>
      <c r="F219" s="5"/>
      <c r="G219" s="5"/>
      <c r="H219" s="6"/>
      <c r="I219" s="5"/>
      <c r="M219" s="5"/>
    </row>
    <row r="220" spans="1:13" ht="15.75">
      <c r="A220" s="32" t="s">
        <v>12</v>
      </c>
      <c r="C220" s="13" t="s">
        <v>79</v>
      </c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ht="15.75" thickBot="1">
      <c r="A221" s="32" t="s">
        <v>12</v>
      </c>
      <c r="C221" s="3"/>
      <c r="D221" s="44" t="s">
        <v>80</v>
      </c>
      <c r="E221" s="45" t="s">
        <v>81</v>
      </c>
      <c r="F221" s="45" t="s">
        <v>19</v>
      </c>
      <c r="G221" s="5"/>
      <c r="H221" s="45" t="s">
        <v>82</v>
      </c>
      <c r="I221" s="5"/>
      <c r="J221" s="5"/>
      <c r="K221" s="5"/>
      <c r="L221" s="5"/>
      <c r="M221" s="5"/>
    </row>
    <row r="222" spans="1:13">
      <c r="A222" s="32">
        <v>12</v>
      </c>
      <c r="C222" s="3" t="s">
        <v>35</v>
      </c>
      <c r="D222" s="707" t="str">
        <f>'DE Ohio &amp; Kentucky'!D224</f>
        <v>354.20.b</v>
      </c>
      <c r="E222" s="366">
        <f>INPUT!C106</f>
        <v>2679205</v>
      </c>
      <c r="F222" s="83">
        <v>0</v>
      </c>
      <c r="G222" s="22"/>
      <c r="H222" s="5">
        <f>E222*F222</f>
        <v>0</v>
      </c>
      <c r="I222" s="5"/>
      <c r="J222" s="5"/>
      <c r="K222" s="5"/>
      <c r="L222" s="5"/>
      <c r="M222" s="5"/>
    </row>
    <row r="223" spans="1:13">
      <c r="A223" s="32">
        <v>13</v>
      </c>
      <c r="C223" s="3" t="s">
        <v>37</v>
      </c>
      <c r="D223" s="707" t="str">
        <f>'DE Ohio &amp; Kentucky'!D225</f>
        <v>354.21.b</v>
      </c>
      <c r="E223" s="366">
        <f>INPUT!C107</f>
        <v>7938688</v>
      </c>
      <c r="F223" s="22">
        <f>J208</f>
        <v>1</v>
      </c>
      <c r="G223" s="22"/>
      <c r="H223" s="5">
        <f>E223*F223</f>
        <v>7938688</v>
      </c>
      <c r="I223" s="5"/>
      <c r="J223" s="5"/>
      <c r="K223" s="5"/>
      <c r="L223" s="5"/>
      <c r="M223" s="1"/>
    </row>
    <row r="224" spans="1:13">
      <c r="A224" s="32">
        <v>14</v>
      </c>
      <c r="C224" s="3" t="s">
        <v>38</v>
      </c>
      <c r="D224" s="707" t="str">
        <f>'DE Ohio &amp; Kentucky'!D226</f>
        <v>354.23.b</v>
      </c>
      <c r="E224" s="366">
        <f>INPUT!C108</f>
        <v>27827368</v>
      </c>
      <c r="F224" s="83">
        <v>0</v>
      </c>
      <c r="G224" s="22"/>
      <c r="H224" s="5">
        <f>E224*F224</f>
        <v>0</v>
      </c>
      <c r="I224" s="5"/>
      <c r="J224" s="47" t="s">
        <v>84</v>
      </c>
      <c r="K224" s="5"/>
      <c r="L224" s="5"/>
      <c r="M224" s="5"/>
    </row>
    <row r="225" spans="1:13" ht="15.75" thickBot="1">
      <c r="A225" s="32">
        <v>15</v>
      </c>
      <c r="C225" s="3" t="s">
        <v>85</v>
      </c>
      <c r="D225" s="707" t="str">
        <f>'DE Ohio &amp; Kentucky'!D227</f>
        <v>354.24,25,26.b</v>
      </c>
      <c r="E225" s="232">
        <f>INPUT!C109</f>
        <v>12492652</v>
      </c>
      <c r="F225" s="83">
        <v>0</v>
      </c>
      <c r="G225" s="22"/>
      <c r="H225" s="44">
        <f>E225*F225</f>
        <v>0</v>
      </c>
      <c r="I225" s="5"/>
      <c r="J225" s="40" t="s">
        <v>86</v>
      </c>
      <c r="K225" s="5"/>
      <c r="L225" s="5"/>
      <c r="M225" s="5"/>
    </row>
    <row r="226" spans="1:13">
      <c r="A226" s="32">
        <v>16</v>
      </c>
      <c r="C226" s="3" t="s">
        <v>172</v>
      </c>
      <c r="D226" s="5"/>
      <c r="E226" s="225">
        <f>SUM(E222:E225)</f>
        <v>50937913</v>
      </c>
      <c r="F226" s="5"/>
      <c r="G226" s="5"/>
      <c r="H226" s="5">
        <f>SUM(H222:H225)</f>
        <v>7938688</v>
      </c>
      <c r="I226" s="4" t="s">
        <v>87</v>
      </c>
      <c r="J226" s="14">
        <f>IF(H226&gt;0,H226/E226,0)</f>
        <v>0.1558502799280371</v>
      </c>
      <c r="K226" s="6" t="s">
        <v>87</v>
      </c>
      <c r="L226" s="5" t="s">
        <v>169</v>
      </c>
      <c r="M226" s="5"/>
    </row>
    <row r="227" spans="1:13">
      <c r="A227" s="32"/>
      <c r="C227" s="3"/>
      <c r="D227" s="5"/>
      <c r="E227" s="5"/>
      <c r="F227" s="5"/>
      <c r="G227" s="5"/>
      <c r="H227" s="5"/>
      <c r="I227" s="5"/>
      <c r="J227" s="5"/>
      <c r="K227" s="5"/>
      <c r="L227" s="5"/>
      <c r="M227" s="5" t="s">
        <v>12</v>
      </c>
    </row>
    <row r="228" spans="1:13" ht="15.75">
      <c r="A228" s="32"/>
      <c r="C228" s="432" t="s">
        <v>437</v>
      </c>
      <c r="D228" s="5"/>
      <c r="E228" s="5"/>
      <c r="F228" s="5"/>
      <c r="G228" s="5"/>
      <c r="H228" s="6" t="s">
        <v>88</v>
      </c>
      <c r="I228" s="16" t="s">
        <v>12</v>
      </c>
      <c r="J228" s="18" t="str">
        <f>J224</f>
        <v>W&amp;S Allocator</v>
      </c>
      <c r="M228" s="5"/>
    </row>
    <row r="229" spans="1:13" ht="15.75" thickBot="1">
      <c r="A229" s="32"/>
      <c r="C229" s="3"/>
      <c r="D229" s="5"/>
      <c r="E229" s="592" t="s">
        <v>81</v>
      </c>
      <c r="F229" s="5"/>
      <c r="G229" s="5"/>
      <c r="H229" s="32" t="s">
        <v>91</v>
      </c>
      <c r="I229" s="34"/>
      <c r="J229" s="32" t="s">
        <v>92</v>
      </c>
      <c r="K229" s="5"/>
      <c r="L229" s="517" t="s">
        <v>93</v>
      </c>
      <c r="M229" s="5"/>
    </row>
    <row r="230" spans="1:13">
      <c r="A230" s="32">
        <v>17</v>
      </c>
      <c r="C230" s="3" t="s">
        <v>89</v>
      </c>
      <c r="D230" s="707" t="str">
        <f>'DE Ohio &amp; Kentucky'!D232</f>
        <v>200.3.c</v>
      </c>
      <c r="E230" s="366">
        <f>INPUT!C114</f>
        <v>2799484513</v>
      </c>
      <c r="F230" s="5"/>
      <c r="H230" s="19">
        <f>IF(E233&gt;0,E230/E233,0)</f>
        <v>0.65687961750766921</v>
      </c>
      <c r="I230" s="6" t="s">
        <v>95</v>
      </c>
      <c r="J230" s="19">
        <f>J226</f>
        <v>0.1558502799280371</v>
      </c>
      <c r="K230" s="16" t="s">
        <v>87</v>
      </c>
      <c r="L230" s="518">
        <f>J230*H230</f>
        <v>0.10237487226759219</v>
      </c>
      <c r="M230" s="5"/>
    </row>
    <row r="231" spans="1:13">
      <c r="A231" s="32">
        <v>18</v>
      </c>
      <c r="C231" s="3" t="s">
        <v>94</v>
      </c>
      <c r="D231" s="707" t="str">
        <f>'DE Ohio &amp; Kentucky'!D233</f>
        <v>201.3.d</v>
      </c>
      <c r="E231" s="366">
        <f>INPUT!C115</f>
        <v>1462307813</v>
      </c>
      <c r="F231" s="5"/>
      <c r="M231" s="5"/>
    </row>
    <row r="232" spans="1:13" ht="15.75" thickBot="1">
      <c r="A232" s="32">
        <v>19</v>
      </c>
      <c r="C232" s="54" t="s">
        <v>96</v>
      </c>
      <c r="D232" s="54" t="str">
        <f>'DE Ohio &amp; Kentucky'!D234</f>
        <v>201.3.e</v>
      </c>
      <c r="E232" s="232">
        <f>INPUT!C116</f>
        <v>0</v>
      </c>
      <c r="F232" s="5"/>
      <c r="G232" s="5"/>
      <c r="H232" s="5" t="s">
        <v>12</v>
      </c>
      <c r="I232" s="5"/>
      <c r="J232" s="5"/>
      <c r="K232" s="5"/>
      <c r="L232" s="5"/>
      <c r="M232" s="5"/>
    </row>
    <row r="233" spans="1:13">
      <c r="A233" s="32">
        <v>20</v>
      </c>
      <c r="C233" s="3" t="s">
        <v>151</v>
      </c>
      <c r="D233" s="5"/>
      <c r="E233" s="225">
        <f>E230+E231+E232</f>
        <v>4261792326</v>
      </c>
      <c r="F233" s="5"/>
      <c r="G233" s="5"/>
      <c r="H233" s="5"/>
      <c r="I233" s="5"/>
      <c r="J233" s="5"/>
      <c r="K233" s="5"/>
      <c r="L233" s="5"/>
      <c r="M233" s="5"/>
    </row>
    <row r="234" spans="1:13">
      <c r="A234" s="32"/>
      <c r="C234" s="3"/>
      <c r="D234" s="5"/>
      <c r="F234" s="5"/>
      <c r="G234" s="5"/>
      <c r="H234" s="5"/>
      <c r="I234" s="5"/>
      <c r="J234" s="5"/>
      <c r="K234" s="5"/>
      <c r="L234" s="5"/>
      <c r="M234" s="5"/>
    </row>
    <row r="235" spans="1:13" ht="16.5" thickBot="1">
      <c r="A235" s="32"/>
      <c r="B235" s="31"/>
      <c r="C235" s="390" t="s">
        <v>97</v>
      </c>
      <c r="D235" s="5"/>
      <c r="E235" s="5"/>
      <c r="F235" s="5"/>
      <c r="G235" s="5"/>
      <c r="H235" s="5"/>
      <c r="I235" s="5"/>
      <c r="J235" s="45" t="s">
        <v>81</v>
      </c>
      <c r="K235" s="5"/>
      <c r="L235" s="5"/>
      <c r="M235" s="5"/>
    </row>
    <row r="236" spans="1:13">
      <c r="A236" s="32">
        <v>21</v>
      </c>
      <c r="B236" s="31"/>
      <c r="C236" s="31"/>
      <c r="D236" s="707" t="str">
        <f>'DE Ohio &amp; Kentucky'!D238</f>
        <v>Long Term Interest (117, sum of 62.c through 67.c)</v>
      </c>
      <c r="E236" s="5"/>
      <c r="F236" s="5"/>
      <c r="G236" s="5"/>
      <c r="H236" s="5"/>
      <c r="I236" s="5"/>
      <c r="J236" s="590">
        <f>INPUT!C120</f>
        <v>76247720</v>
      </c>
      <c r="K236" s="5"/>
      <c r="L236" s="5"/>
      <c r="M236" s="5"/>
    </row>
    <row r="237" spans="1:13">
      <c r="A237" s="32"/>
      <c r="C237" s="3"/>
      <c r="D237" s="5"/>
      <c r="E237" s="5"/>
      <c r="F237" s="5"/>
      <c r="G237" s="5"/>
      <c r="H237" s="5"/>
      <c r="I237" s="5"/>
      <c r="J237" s="225"/>
      <c r="K237" s="5"/>
      <c r="L237" s="5"/>
      <c r="M237" s="5"/>
    </row>
    <row r="238" spans="1:13">
      <c r="A238" s="32">
        <v>22</v>
      </c>
      <c r="B238" s="31"/>
      <c r="C238" s="29"/>
      <c r="D238" s="707" t="str">
        <f>'DE Ohio &amp; Kentucky'!D240</f>
        <v>Preferred Dividends (118.29c) (positive number)</v>
      </c>
      <c r="E238" s="5"/>
      <c r="F238" s="5"/>
      <c r="G238" s="5"/>
      <c r="H238" s="5"/>
      <c r="I238" s="37"/>
      <c r="J238" s="589">
        <f>INPUT!C122</f>
        <v>0</v>
      </c>
      <c r="K238" s="5"/>
      <c r="L238" s="5"/>
      <c r="M238" s="5"/>
    </row>
    <row r="239" spans="1:13">
      <c r="A239" s="32"/>
      <c r="B239" s="31"/>
      <c r="C239" s="29"/>
      <c r="D239" s="5"/>
      <c r="E239" s="5"/>
      <c r="F239" s="5"/>
      <c r="G239" s="5"/>
      <c r="H239" s="5"/>
      <c r="I239" s="5"/>
      <c r="J239" s="225"/>
      <c r="K239" s="5"/>
      <c r="L239" s="5"/>
      <c r="M239" s="5"/>
    </row>
    <row r="240" spans="1:13">
      <c r="A240" s="32"/>
      <c r="B240" s="31"/>
      <c r="C240" s="29" t="s">
        <v>99</v>
      </c>
      <c r="D240" s="5"/>
      <c r="E240" s="5"/>
      <c r="F240" s="5"/>
      <c r="G240" s="5"/>
      <c r="H240" s="5"/>
      <c r="I240" s="5"/>
      <c r="J240" s="225"/>
      <c r="K240" s="5"/>
      <c r="L240" s="5"/>
      <c r="M240" s="5"/>
    </row>
    <row r="241" spans="1:13">
      <c r="A241" s="32">
        <v>23</v>
      </c>
      <c r="B241" s="31"/>
      <c r="C241" s="29"/>
      <c r="D241" s="707" t="str">
        <f>'DE Ohio &amp; Kentucky'!D243</f>
        <v>Proprietary Capital (112.16.c)</v>
      </c>
      <c r="E241" s="31"/>
      <c r="F241" s="5"/>
      <c r="G241" s="5"/>
      <c r="H241" s="5"/>
      <c r="I241" s="5"/>
      <c r="J241" s="366">
        <f>INPUT!C125</f>
        <v>2260299717</v>
      </c>
      <c r="K241" s="5"/>
      <c r="L241" s="5"/>
      <c r="M241" s="5"/>
    </row>
    <row r="242" spans="1:13">
      <c r="A242" s="32">
        <v>24</v>
      </c>
      <c r="B242" s="31"/>
      <c r="C242" s="29"/>
      <c r="D242" s="707" t="str">
        <f>'DE Ohio &amp; Kentucky'!D244</f>
        <v xml:space="preserve">Less Preferred Stock (line 28) </v>
      </c>
      <c r="E242" s="5"/>
      <c r="F242" s="5"/>
      <c r="G242" s="5"/>
      <c r="H242" s="5"/>
      <c r="I242" s="5"/>
      <c r="J242" s="366">
        <f>INPUT!C126</f>
        <v>0</v>
      </c>
      <c r="K242" s="5"/>
      <c r="L242" s="5"/>
      <c r="M242" s="5"/>
    </row>
    <row r="243" spans="1:13" ht="15.75" thickBot="1">
      <c r="A243" s="32">
        <v>25</v>
      </c>
      <c r="B243" s="31"/>
      <c r="C243" s="29"/>
      <c r="D243" s="707" t="str">
        <f>'DE Ohio &amp; Kentucky'!D245</f>
        <v>Less Account 216.1 (112.12.c)  (enter negative)</v>
      </c>
      <c r="E243" s="5"/>
      <c r="F243" s="5"/>
      <c r="G243" s="5"/>
      <c r="H243" s="5"/>
      <c r="I243" s="5"/>
      <c r="J243" s="232">
        <f>INPUT!C127</f>
        <v>-805252852</v>
      </c>
      <c r="K243" s="5"/>
      <c r="L243" s="5"/>
      <c r="M243" s="5"/>
    </row>
    <row r="244" spans="1:13">
      <c r="A244" s="32">
        <v>26</v>
      </c>
      <c r="B244" s="31"/>
      <c r="C244" s="31"/>
      <c r="D244" s="707" t="str">
        <f>'DE Ohio &amp; Kentucky'!D246</f>
        <v>Common Stock (sum lines 23-25)</v>
      </c>
      <c r="E244" s="31"/>
      <c r="F244" s="31"/>
      <c r="G244" s="31"/>
      <c r="H244" s="31"/>
      <c r="I244" s="31"/>
      <c r="J244" s="225">
        <f>J241+J242+J243</f>
        <v>1455046865</v>
      </c>
      <c r="K244" s="5"/>
      <c r="L244" s="5"/>
      <c r="M244" s="5"/>
    </row>
    <row r="245" spans="1:13">
      <c r="A245" s="32"/>
      <c r="C245" s="3"/>
      <c r="D245" s="5"/>
      <c r="E245" s="5"/>
      <c r="F245" s="5"/>
      <c r="G245" s="5"/>
      <c r="H245" s="6"/>
      <c r="I245" s="5"/>
      <c r="J245" s="5"/>
      <c r="K245" s="5"/>
      <c r="L245" s="5"/>
      <c r="M245" s="5"/>
    </row>
    <row r="246" spans="1:13" ht="15.75" thickBot="1">
      <c r="A246" s="32"/>
      <c r="C246" s="3"/>
      <c r="D246" s="58" t="s">
        <v>422</v>
      </c>
      <c r="E246" s="40" t="s">
        <v>81</v>
      </c>
      <c r="F246" s="40" t="s">
        <v>102</v>
      </c>
      <c r="G246" s="5"/>
      <c r="H246" s="40" t="s">
        <v>101</v>
      </c>
      <c r="I246" s="5"/>
      <c r="J246" s="40" t="s">
        <v>103</v>
      </c>
      <c r="K246" s="5"/>
      <c r="L246" s="5"/>
      <c r="M246" s="5"/>
    </row>
    <row r="247" spans="1:13">
      <c r="A247" s="32">
        <v>27</v>
      </c>
      <c r="C247" s="65" t="s">
        <v>209</v>
      </c>
      <c r="E247" s="366">
        <f>INPUT!C131</f>
        <v>1550000000</v>
      </c>
      <c r="F247" s="55">
        <f>IF($E$250&gt;0,E247/$E$250,0)</f>
        <v>0.51579894412062688</v>
      </c>
      <c r="G247" s="23"/>
      <c r="H247" s="23">
        <f>IF(E247&gt;0,J236/E247,0)</f>
        <v>4.9192077419354836E-2</v>
      </c>
      <c r="J247" s="23">
        <f>ROUND(H247*F247,4)</f>
        <v>2.5399999999999999E-2</v>
      </c>
      <c r="K247" s="24" t="s">
        <v>104</v>
      </c>
      <c r="M247" s="5"/>
    </row>
    <row r="248" spans="1:13">
      <c r="A248" s="32">
        <v>28</v>
      </c>
      <c r="C248" s="65" t="s">
        <v>210</v>
      </c>
      <c r="E248" s="366">
        <f>INPUT!C132</f>
        <v>0</v>
      </c>
      <c r="F248" s="55">
        <f>IF($E$250&gt;0,E248/$E$250,0)</f>
        <v>0</v>
      </c>
      <c r="G248" s="23"/>
      <c r="H248" s="23">
        <f>IF(E248&gt;0,J238/E248,0)</f>
        <v>0</v>
      </c>
      <c r="J248" s="23">
        <f>ROUND(H248*F248,4)</f>
        <v>0</v>
      </c>
      <c r="K248" s="5"/>
      <c r="M248" s="5"/>
    </row>
    <row r="249" spans="1:13" ht="16.5" thickBot="1">
      <c r="A249" s="32">
        <v>29</v>
      </c>
      <c r="C249" s="29" t="s">
        <v>105</v>
      </c>
      <c r="E249" s="226">
        <f>J244</f>
        <v>1455046865</v>
      </c>
      <c r="F249" s="55">
        <f>IF($E$250&gt;0,E249/$E$250,0)</f>
        <v>0.48420105587937312</v>
      </c>
      <c r="G249" s="23"/>
      <c r="H249" s="598">
        <f>ROE</f>
        <v>0.1138</v>
      </c>
      <c r="J249" s="61">
        <f>ROUND(H249*F249,4)</f>
        <v>5.5100000000000003E-2</v>
      </c>
      <c r="K249" s="5"/>
      <c r="M249" s="5"/>
    </row>
    <row r="250" spans="1:13">
      <c r="A250" s="32">
        <v>30</v>
      </c>
      <c r="C250" s="3" t="s">
        <v>171</v>
      </c>
      <c r="E250" s="225">
        <f>E249+E248+E247</f>
        <v>3005046865</v>
      </c>
      <c r="F250" s="5" t="s">
        <v>12</v>
      </c>
      <c r="G250" s="5"/>
      <c r="H250" s="5"/>
      <c r="I250" s="5"/>
      <c r="J250" s="23">
        <f>SUM(J247:J249)</f>
        <v>8.0500000000000002E-2</v>
      </c>
      <c r="K250" s="24" t="s">
        <v>106</v>
      </c>
      <c r="M250" s="5"/>
    </row>
    <row r="251" spans="1:13">
      <c r="F251" s="5"/>
      <c r="G251" s="5"/>
      <c r="H251" s="5"/>
      <c r="I251" s="5"/>
      <c r="M251" s="5"/>
    </row>
    <row r="252" spans="1:13">
      <c r="L252" s="5"/>
      <c r="M252" s="5"/>
    </row>
    <row r="253" spans="1:13" ht="15.75">
      <c r="A253" s="32"/>
      <c r="C253" s="390" t="s">
        <v>107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5"/>
    </row>
    <row r="254" spans="1:13" ht="15.75" thickBot="1">
      <c r="A254" s="32"/>
      <c r="C254" s="29"/>
      <c r="D254" s="29"/>
      <c r="E254" s="29"/>
      <c r="F254" s="29"/>
      <c r="G254" s="29"/>
      <c r="H254" s="29"/>
      <c r="I254" s="29"/>
      <c r="J254" s="40" t="s">
        <v>152</v>
      </c>
      <c r="K254" s="58"/>
    </row>
    <row r="255" spans="1:13">
      <c r="A255" s="32"/>
      <c r="C255" s="428" t="s">
        <v>438</v>
      </c>
      <c r="D255" s="31"/>
      <c r="E255" s="31" t="s">
        <v>108</v>
      </c>
      <c r="F255" s="31"/>
      <c r="G255" s="31"/>
      <c r="H255" s="35" t="s">
        <v>12</v>
      </c>
      <c r="I255" s="28"/>
      <c r="J255" s="238"/>
      <c r="K255" s="238"/>
    </row>
    <row r="256" spans="1:13">
      <c r="A256" s="32">
        <v>31</v>
      </c>
      <c r="C256" s="12" t="s">
        <v>149</v>
      </c>
      <c r="D256" s="31"/>
      <c r="E256" s="31"/>
      <c r="G256" s="31"/>
      <c r="I256" s="28"/>
      <c r="J256" s="493">
        <v>0</v>
      </c>
      <c r="K256" s="239"/>
    </row>
    <row r="257" spans="1:13" ht="15.75" thickBot="1">
      <c r="A257" s="32">
        <v>32</v>
      </c>
      <c r="C257" s="56" t="s">
        <v>410</v>
      </c>
      <c r="D257" s="53"/>
      <c r="E257" s="56"/>
      <c r="F257" s="52"/>
      <c r="G257" s="52"/>
      <c r="H257" s="52"/>
      <c r="I257" s="31"/>
      <c r="J257" s="494">
        <v>0</v>
      </c>
      <c r="K257" s="240"/>
    </row>
    <row r="258" spans="1:13">
      <c r="A258" s="32">
        <v>33</v>
      </c>
      <c r="C258" s="12" t="s">
        <v>109</v>
      </c>
      <c r="D258" s="1"/>
      <c r="F258" s="31"/>
      <c r="G258" s="31"/>
      <c r="H258" s="31"/>
      <c r="I258" s="31"/>
      <c r="J258" s="59">
        <f>J256-J257</f>
        <v>0</v>
      </c>
      <c r="K258" s="239"/>
    </row>
    <row r="259" spans="1:13">
      <c r="A259" s="32"/>
      <c r="C259" s="12" t="s">
        <v>12</v>
      </c>
      <c r="D259" s="1"/>
      <c r="F259" s="31"/>
      <c r="G259" s="31"/>
      <c r="H259" s="46"/>
      <c r="I259" s="31"/>
      <c r="J259" s="41" t="s">
        <v>12</v>
      </c>
      <c r="K259" s="238"/>
      <c r="L259" s="42"/>
      <c r="M259" s="5"/>
    </row>
    <row r="260" spans="1:13">
      <c r="A260" s="32">
        <v>34</v>
      </c>
      <c r="C260" s="428" t="s">
        <v>439</v>
      </c>
      <c r="D260" s="1"/>
      <c r="F260" s="31"/>
      <c r="G260" s="31"/>
      <c r="H260" s="57"/>
      <c r="I260" s="31"/>
      <c r="J260" s="115">
        <f>ROUND('P8 Rev Cred Support'!C23,0)</f>
        <v>175353</v>
      </c>
      <c r="K260" s="238"/>
      <c r="L260" s="42"/>
      <c r="M260" s="5"/>
    </row>
    <row r="261" spans="1:13">
      <c r="A261" s="32"/>
      <c r="D261" s="31"/>
      <c r="E261" s="31"/>
      <c r="F261" s="31"/>
      <c r="G261" s="31"/>
      <c r="H261" s="31"/>
      <c r="I261" s="31"/>
      <c r="J261" s="79"/>
      <c r="K261" s="238"/>
      <c r="L261" s="42"/>
      <c r="M261" s="5"/>
    </row>
    <row r="262" spans="1:13">
      <c r="A262" s="32">
        <v>35</v>
      </c>
      <c r="C262" s="428" t="s">
        <v>462</v>
      </c>
      <c r="D262" s="31"/>
      <c r="E262" s="31" t="s">
        <v>110</v>
      </c>
      <c r="F262" s="31"/>
      <c r="G262" s="31"/>
      <c r="H262" s="31"/>
      <c r="I262" s="31"/>
      <c r="J262" s="115">
        <f>'P8 Rev Cred Support'!C50</f>
        <v>710697</v>
      </c>
      <c r="L262" s="43"/>
      <c r="M262" s="5"/>
    </row>
    <row r="263" spans="1:13">
      <c r="A263" s="32"/>
      <c r="C263" s="39"/>
      <c r="D263" s="29"/>
      <c r="E263" s="30"/>
      <c r="F263" s="29"/>
      <c r="G263" s="29"/>
      <c r="H263" s="29"/>
      <c r="I263" s="31"/>
      <c r="K263" s="32"/>
      <c r="L263" s="92"/>
      <c r="M263" s="32"/>
    </row>
    <row r="264" spans="1:13" ht="18">
      <c r="A264" s="245"/>
      <c r="C264" s="29"/>
      <c r="D264" s="29"/>
      <c r="E264" s="30"/>
      <c r="F264" s="29"/>
      <c r="G264" s="29"/>
      <c r="H264" s="29"/>
      <c r="I264" s="31"/>
      <c r="J264" s="77" t="s">
        <v>365</v>
      </c>
      <c r="K264" s="91"/>
      <c r="M264" s="91"/>
    </row>
    <row r="265" spans="1:13">
      <c r="C265" s="29"/>
      <c r="D265" s="29"/>
      <c r="E265" s="30"/>
      <c r="F265" s="29"/>
      <c r="G265" s="29"/>
      <c r="H265" s="29"/>
      <c r="I265" s="31"/>
      <c r="J265" s="77" t="s">
        <v>568</v>
      </c>
      <c r="M265" s="77"/>
    </row>
    <row r="266" spans="1:13">
      <c r="C266" s="29"/>
      <c r="D266" s="29"/>
      <c r="E266" s="30"/>
      <c r="F266" s="29"/>
      <c r="G266" s="29"/>
      <c r="H266" s="29"/>
      <c r="I266" s="31"/>
      <c r="J266" s="77"/>
      <c r="M266" s="77"/>
    </row>
    <row r="267" spans="1:13">
      <c r="C267" s="29"/>
      <c r="D267" s="29"/>
      <c r="E267" s="30"/>
      <c r="F267" s="29"/>
      <c r="G267" s="29"/>
      <c r="H267" s="29"/>
      <c r="I267" s="31"/>
      <c r="M267" s="77"/>
    </row>
    <row r="268" spans="1:13">
      <c r="C268" s="29"/>
      <c r="D268" s="29"/>
      <c r="E268" s="30"/>
      <c r="F268" s="29"/>
      <c r="G268" s="29"/>
      <c r="H268" s="29"/>
      <c r="I268" s="31"/>
      <c r="K268" s="1"/>
      <c r="M268" s="77"/>
    </row>
    <row r="269" spans="1:13">
      <c r="C269" s="29"/>
      <c r="D269" s="29"/>
      <c r="E269" s="30"/>
      <c r="F269" s="29"/>
      <c r="G269" s="29"/>
      <c r="H269" s="29"/>
      <c r="I269" s="31"/>
      <c r="J269" s="77"/>
      <c r="K269" s="1"/>
      <c r="M269" s="77"/>
    </row>
    <row r="270" spans="1:13">
      <c r="C270" s="29" t="s">
        <v>11</v>
      </c>
      <c r="D270" s="29"/>
      <c r="E270" s="30"/>
      <c r="F270" s="29"/>
      <c r="G270" s="29"/>
      <c r="H270" s="29"/>
      <c r="I270" s="31"/>
      <c r="J270" s="92" t="str">
        <f>$J$7</f>
        <v>For the 12 months ended: 12/31/2016</v>
      </c>
      <c r="K270" s="1"/>
      <c r="M270" s="77"/>
    </row>
    <row r="271" spans="1:13">
      <c r="A271" s="275" t="str">
        <f>$A$8</f>
        <v>Rate Formula Template</v>
      </c>
      <c r="B271" s="117"/>
      <c r="C271" s="117"/>
      <c r="D271" s="270"/>
      <c r="E271" s="117"/>
      <c r="F271" s="270"/>
      <c r="G271" s="270"/>
      <c r="H271" s="270"/>
      <c r="I271" s="270"/>
      <c r="J271" s="117"/>
      <c r="K271" s="31"/>
      <c r="L271" s="117"/>
      <c r="M271" s="1"/>
    </row>
    <row r="272" spans="1:13">
      <c r="A272" s="278" t="s">
        <v>327</v>
      </c>
      <c r="B272" s="117"/>
      <c r="C272" s="270"/>
      <c r="D272" s="272"/>
      <c r="E272" s="117"/>
      <c r="F272" s="272"/>
      <c r="G272" s="272"/>
      <c r="H272" s="272"/>
      <c r="I272" s="270"/>
      <c r="J272" s="270"/>
      <c r="K272" s="31"/>
      <c r="L272" s="273"/>
      <c r="M272" s="1"/>
    </row>
    <row r="273" spans="1:13">
      <c r="A273" s="271"/>
      <c r="B273" s="117"/>
      <c r="C273" s="273"/>
      <c r="D273" s="273"/>
      <c r="E273" s="117"/>
      <c r="F273" s="273"/>
      <c r="G273" s="273"/>
      <c r="H273" s="273"/>
      <c r="I273" s="273"/>
      <c r="J273" s="273"/>
      <c r="K273" s="31"/>
      <c r="L273" s="273"/>
      <c r="M273" s="31"/>
    </row>
    <row r="274" spans="1:13" ht="15.75">
      <c r="A274" s="274" t="s">
        <v>215</v>
      </c>
      <c r="B274" s="117"/>
      <c r="C274" s="273"/>
      <c r="D274" s="273"/>
      <c r="E274" s="117"/>
      <c r="F274" s="273"/>
      <c r="G274" s="273"/>
      <c r="H274" s="273"/>
      <c r="I274" s="273"/>
      <c r="J274" s="273"/>
      <c r="K274" s="31"/>
      <c r="L274" s="273"/>
      <c r="M274" s="31"/>
    </row>
    <row r="275" spans="1:13">
      <c r="A275" s="32"/>
      <c r="B275" s="31"/>
      <c r="C275" s="39"/>
      <c r="D275" s="32"/>
      <c r="E275" s="5"/>
      <c r="F275" s="5"/>
      <c r="G275" s="5"/>
      <c r="H275" s="5"/>
      <c r="I275" s="31"/>
      <c r="J275" s="242"/>
      <c r="K275" s="31"/>
      <c r="L275" s="241"/>
      <c r="M275" s="31"/>
    </row>
    <row r="276" spans="1:13" ht="20.25">
      <c r="A276" s="32"/>
      <c r="B276" s="31"/>
      <c r="C276" s="29" t="s">
        <v>111</v>
      </c>
      <c r="D276" s="32"/>
      <c r="E276" s="5"/>
      <c r="F276" s="5"/>
      <c r="G276" s="5"/>
      <c r="H276" s="5"/>
      <c r="I276" s="31"/>
      <c r="J276" s="5"/>
      <c r="K276" s="31"/>
      <c r="L276" s="5"/>
      <c r="M276" s="243"/>
    </row>
    <row r="277" spans="1:13" ht="20.25">
      <c r="A277" s="32" t="s">
        <v>113</v>
      </c>
      <c r="B277" s="31"/>
      <c r="C277" s="29" t="s">
        <v>112</v>
      </c>
      <c r="D277" s="31"/>
      <c r="E277" s="5"/>
      <c r="F277" s="5"/>
      <c r="G277" s="5"/>
      <c r="H277" s="5"/>
      <c r="I277" s="31"/>
      <c r="J277" s="5"/>
      <c r="K277" s="31"/>
      <c r="L277" s="5"/>
      <c r="M277" s="243"/>
    </row>
    <row r="278" spans="1:13" ht="20.25">
      <c r="A278" s="288" t="s">
        <v>114</v>
      </c>
      <c r="B278" s="31"/>
      <c r="C278" s="29"/>
      <c r="D278" s="31"/>
      <c r="E278" s="5"/>
      <c r="F278" s="5"/>
      <c r="G278" s="5"/>
      <c r="H278" s="5"/>
      <c r="I278" s="31"/>
      <c r="J278" s="5"/>
      <c r="K278" s="31"/>
      <c r="L278" s="5"/>
      <c r="M278" s="243"/>
    </row>
    <row r="279" spans="1:13" ht="20.25">
      <c r="A279" s="806" t="s">
        <v>115</v>
      </c>
      <c r="B279" s="805"/>
      <c r="C279" s="879" t="s">
        <v>684</v>
      </c>
      <c r="D279" s="879"/>
      <c r="E279" s="880"/>
      <c r="F279" s="880"/>
      <c r="G279" s="880"/>
      <c r="H279" s="880"/>
      <c r="I279" s="879"/>
      <c r="J279" s="880"/>
      <c r="K279" s="879"/>
      <c r="L279" s="880"/>
      <c r="M279" s="244"/>
    </row>
    <row r="280" spans="1:13" s="868" customFormat="1" ht="20.45" customHeight="1">
      <c r="A280" s="806"/>
      <c r="B280" s="805"/>
      <c r="C280" s="879" t="s">
        <v>685</v>
      </c>
      <c r="D280" s="879"/>
      <c r="E280" s="880"/>
      <c r="F280" s="880"/>
      <c r="G280" s="880"/>
      <c r="H280" s="880"/>
      <c r="I280" s="879"/>
      <c r="J280" s="880"/>
      <c r="K280" s="879"/>
      <c r="L280" s="880"/>
      <c r="M280" s="810"/>
    </row>
    <row r="281" spans="1:13" s="868" customFormat="1" ht="20.45" customHeight="1">
      <c r="A281" s="806"/>
      <c r="B281" s="805"/>
      <c r="C281" s="879" t="s">
        <v>697</v>
      </c>
      <c r="D281" s="879"/>
      <c r="E281" s="880"/>
      <c r="F281" s="880"/>
      <c r="G281" s="880"/>
      <c r="H281" s="880"/>
      <c r="I281" s="879"/>
      <c r="J281" s="880"/>
      <c r="K281" s="879"/>
      <c r="L281" s="880"/>
      <c r="M281" s="810"/>
    </row>
    <row r="282" spans="1:13" ht="20.25">
      <c r="A282" s="809" t="s">
        <v>116</v>
      </c>
      <c r="B282" s="823"/>
      <c r="C282" s="875" t="s">
        <v>687</v>
      </c>
      <c r="D282" s="823"/>
      <c r="E282" s="37"/>
      <c r="F282" s="37"/>
      <c r="G282" s="37"/>
      <c r="H282" s="37"/>
      <c r="I282" s="60"/>
      <c r="J282" s="37"/>
      <c r="K282" s="60"/>
      <c r="L282" s="37"/>
      <c r="M282" s="244"/>
    </row>
    <row r="283" spans="1:13" s="804" customFormat="1" ht="20.25">
      <c r="A283" s="809"/>
      <c r="B283" s="823"/>
      <c r="C283" s="874" t="s">
        <v>688</v>
      </c>
      <c r="D283" s="823"/>
      <c r="E283" s="807"/>
      <c r="F283" s="807"/>
      <c r="G283" s="807"/>
      <c r="H283" s="807"/>
      <c r="I283" s="808"/>
      <c r="J283" s="807"/>
      <c r="K283" s="808"/>
      <c r="L283" s="807"/>
      <c r="M283" s="810"/>
    </row>
    <row r="284" spans="1:13" s="804" customFormat="1" ht="20.25">
      <c r="A284" s="809"/>
      <c r="B284" s="823"/>
      <c r="C284" s="875" t="s">
        <v>698</v>
      </c>
      <c r="D284" s="823"/>
      <c r="E284" s="807"/>
      <c r="F284" s="807"/>
      <c r="G284" s="807"/>
      <c r="H284" s="807"/>
      <c r="I284" s="808"/>
      <c r="J284" s="807"/>
      <c r="K284" s="808"/>
      <c r="L284" s="807"/>
      <c r="M284" s="810"/>
    </row>
    <row r="285" spans="1:13" ht="20.25">
      <c r="A285" s="809" t="s">
        <v>117</v>
      </c>
      <c r="B285" s="823"/>
      <c r="C285" s="837" t="s">
        <v>360</v>
      </c>
      <c r="D285" s="823"/>
      <c r="E285" s="60"/>
      <c r="F285" s="60"/>
      <c r="G285" s="60"/>
      <c r="H285" s="60"/>
      <c r="I285" s="60"/>
      <c r="J285" s="37"/>
      <c r="K285" s="60"/>
      <c r="L285" s="60"/>
      <c r="M285" s="244"/>
    </row>
    <row r="286" spans="1:13" s="804" customFormat="1" ht="20.25">
      <c r="A286" s="809" t="s">
        <v>118</v>
      </c>
      <c r="B286" s="823"/>
      <c r="C286" s="837" t="s">
        <v>360</v>
      </c>
      <c r="D286" s="823"/>
      <c r="E286" s="808"/>
      <c r="F286" s="808"/>
      <c r="G286" s="808"/>
      <c r="H286" s="808"/>
      <c r="I286" s="808"/>
      <c r="J286" s="807"/>
      <c r="K286" s="808"/>
      <c r="L286" s="808"/>
      <c r="M286" s="810"/>
    </row>
    <row r="287" spans="1:13" s="804" customFormat="1" ht="20.25">
      <c r="A287" s="809" t="s">
        <v>119</v>
      </c>
      <c r="B287" s="823"/>
      <c r="C287" s="823" t="s">
        <v>469</v>
      </c>
      <c r="D287" s="823"/>
      <c r="E287" s="808"/>
      <c r="F287" s="808"/>
      <c r="G287" s="808"/>
      <c r="H287" s="808"/>
      <c r="I287" s="808"/>
      <c r="J287" s="807"/>
      <c r="K287" s="808"/>
      <c r="L287" s="808"/>
      <c r="M287" s="810"/>
    </row>
    <row r="288" spans="1:13" ht="20.25">
      <c r="A288" s="809"/>
      <c r="B288" s="823"/>
      <c r="C288" s="823" t="s">
        <v>536</v>
      </c>
      <c r="D288" s="823"/>
      <c r="E288" s="60"/>
      <c r="F288" s="60"/>
      <c r="G288" s="60"/>
      <c r="H288" s="60"/>
      <c r="I288" s="60"/>
      <c r="J288" s="37"/>
      <c r="K288" s="60"/>
      <c r="L288" s="60"/>
      <c r="M288" s="244"/>
    </row>
    <row r="289" spans="1:13" ht="20.25">
      <c r="A289" s="806" t="s">
        <v>120</v>
      </c>
      <c r="B289" s="805"/>
      <c r="C289" s="823" t="s">
        <v>264</v>
      </c>
      <c r="D289" s="823"/>
      <c r="E289" s="60"/>
      <c r="F289" s="60"/>
      <c r="G289" s="60"/>
      <c r="H289" s="60"/>
      <c r="I289" s="60"/>
      <c r="J289" s="37"/>
      <c r="K289" s="60"/>
      <c r="L289" s="60"/>
      <c r="M289" s="244"/>
    </row>
    <row r="290" spans="1:13" ht="20.25">
      <c r="A290" s="806"/>
      <c r="B290" s="805"/>
      <c r="C290" s="823" t="s">
        <v>265</v>
      </c>
      <c r="D290" s="823"/>
      <c r="E290" s="60"/>
      <c r="F290" s="60"/>
      <c r="G290" s="60"/>
      <c r="H290" s="60"/>
      <c r="I290" s="60"/>
      <c r="J290" s="37"/>
      <c r="K290" s="60"/>
      <c r="L290" s="60"/>
      <c r="M290" s="244"/>
    </row>
    <row r="291" spans="1:13" ht="20.25">
      <c r="A291" s="806"/>
      <c r="B291" s="805"/>
      <c r="C291" s="823" t="s">
        <v>243</v>
      </c>
      <c r="D291" s="823"/>
      <c r="E291" s="60"/>
      <c r="F291" s="60"/>
      <c r="G291" s="60"/>
      <c r="H291" s="60"/>
      <c r="I291" s="60"/>
      <c r="J291" s="60"/>
      <c r="K291" s="60"/>
      <c r="L291" s="60"/>
      <c r="M291" s="244"/>
    </row>
    <row r="292" spans="1:13" ht="20.25">
      <c r="A292" s="806" t="s">
        <v>121</v>
      </c>
      <c r="B292" s="805"/>
      <c r="C292" s="823" t="s">
        <v>122</v>
      </c>
      <c r="D292" s="823"/>
      <c r="E292" s="60"/>
      <c r="F292" s="60"/>
      <c r="G292" s="60"/>
      <c r="H292" s="60"/>
      <c r="I292" s="60"/>
      <c r="J292" s="60"/>
      <c r="K292" s="60"/>
      <c r="L292" s="60"/>
      <c r="M292" s="244"/>
    </row>
    <row r="293" spans="1:13" ht="20.25">
      <c r="A293" s="806" t="s">
        <v>123</v>
      </c>
      <c r="B293" s="805"/>
      <c r="C293" s="823" t="s">
        <v>124</v>
      </c>
      <c r="D293" s="823"/>
      <c r="E293" s="60"/>
      <c r="F293" s="60"/>
      <c r="G293" s="60"/>
      <c r="H293" s="60"/>
      <c r="I293" s="60"/>
      <c r="J293" s="60"/>
      <c r="K293" s="60"/>
      <c r="L293" s="60"/>
      <c r="M293" s="244"/>
    </row>
    <row r="294" spans="1:13" ht="20.25">
      <c r="A294" s="806"/>
      <c r="B294" s="805"/>
      <c r="C294" s="823" t="s">
        <v>368</v>
      </c>
      <c r="D294" s="823"/>
      <c r="E294" s="60"/>
      <c r="F294" s="60"/>
      <c r="G294" s="60"/>
      <c r="H294" s="60"/>
      <c r="I294" s="60"/>
      <c r="J294" s="60"/>
      <c r="K294" s="60"/>
      <c r="L294" s="60"/>
      <c r="M294" s="244"/>
    </row>
    <row r="295" spans="1:13" ht="20.25">
      <c r="A295" s="806" t="s">
        <v>125</v>
      </c>
      <c r="B295" s="805"/>
      <c r="C295" s="823" t="s">
        <v>393</v>
      </c>
      <c r="D295" s="823"/>
      <c r="E295" s="60"/>
      <c r="F295" s="60"/>
      <c r="G295" s="60"/>
      <c r="H295" s="60"/>
      <c r="I295" s="60"/>
      <c r="J295" s="60"/>
      <c r="K295" s="60"/>
      <c r="L295" s="60"/>
      <c r="M295" s="244"/>
    </row>
    <row r="296" spans="1:13" ht="20.25">
      <c r="A296" s="806"/>
      <c r="B296" s="805"/>
      <c r="C296" s="839" t="s">
        <v>394</v>
      </c>
      <c r="D296" s="823"/>
      <c r="E296" s="60"/>
      <c r="F296" s="60"/>
      <c r="G296" s="60"/>
      <c r="H296" s="60"/>
      <c r="I296" s="60"/>
      <c r="J296" s="60"/>
      <c r="K296" s="60"/>
      <c r="L296" s="60"/>
      <c r="M296" s="244"/>
    </row>
    <row r="297" spans="1:13" ht="20.25">
      <c r="A297" s="806" t="s">
        <v>126</v>
      </c>
      <c r="B297" s="805"/>
      <c r="C297" s="823" t="s">
        <v>395</v>
      </c>
      <c r="D297" s="823"/>
      <c r="E297" s="60"/>
      <c r="F297" s="60"/>
      <c r="G297" s="60"/>
      <c r="H297" s="60"/>
      <c r="I297" s="60"/>
      <c r="J297" s="60"/>
      <c r="K297" s="60"/>
      <c r="L297" s="60"/>
      <c r="M297" s="244"/>
    </row>
    <row r="298" spans="1:13" ht="20.25">
      <c r="A298" s="806"/>
      <c r="B298" s="805"/>
      <c r="C298" s="823" t="s">
        <v>396</v>
      </c>
      <c r="D298" s="823"/>
      <c r="E298" s="60"/>
      <c r="F298" s="60"/>
      <c r="G298" s="60"/>
      <c r="H298" s="60"/>
      <c r="I298" s="60"/>
      <c r="J298" s="60"/>
      <c r="K298" s="60"/>
      <c r="L298" s="60"/>
      <c r="M298" s="244"/>
    </row>
    <row r="299" spans="1:13" ht="20.25">
      <c r="A299" s="806" t="s">
        <v>127</v>
      </c>
      <c r="B299" s="805"/>
      <c r="C299" s="823" t="s">
        <v>690</v>
      </c>
      <c r="D299" s="823"/>
      <c r="E299" s="60"/>
      <c r="F299" s="60"/>
      <c r="G299" s="60"/>
      <c r="H299" s="60"/>
      <c r="I299" s="60"/>
      <c r="J299" s="60"/>
      <c r="K299" s="60"/>
      <c r="L299" s="60"/>
      <c r="M299" s="244"/>
    </row>
    <row r="300" spans="1:13" ht="20.25">
      <c r="A300" s="806"/>
      <c r="B300" s="805"/>
      <c r="C300" s="823" t="s">
        <v>397</v>
      </c>
      <c r="D300" s="823"/>
      <c r="E300" s="60"/>
      <c r="F300" s="60"/>
      <c r="G300" s="60"/>
      <c r="H300" s="60"/>
      <c r="I300" s="60"/>
      <c r="J300" s="60"/>
      <c r="K300" s="60"/>
      <c r="L300" s="60"/>
      <c r="M300" s="244"/>
    </row>
    <row r="301" spans="1:13" ht="20.25">
      <c r="A301" s="806"/>
      <c r="B301" s="805"/>
      <c r="C301" s="823" t="s">
        <v>398</v>
      </c>
      <c r="D301" s="823"/>
      <c r="E301" s="60"/>
      <c r="F301" s="60"/>
      <c r="G301" s="60"/>
      <c r="H301" s="60"/>
      <c r="I301" s="60"/>
      <c r="J301" s="60"/>
      <c r="K301" s="60"/>
      <c r="L301" s="60"/>
      <c r="M301" s="244"/>
    </row>
    <row r="302" spans="1:13" ht="20.25">
      <c r="A302" s="806"/>
      <c r="B302" s="805"/>
      <c r="C302" s="823" t="s">
        <v>399</v>
      </c>
      <c r="D302" s="823"/>
      <c r="E302" s="60"/>
      <c r="F302" s="60"/>
      <c r="G302" s="60"/>
      <c r="H302" s="60"/>
      <c r="I302" s="60"/>
      <c r="J302" s="60"/>
      <c r="K302" s="60"/>
      <c r="L302" s="60"/>
      <c r="M302" s="244"/>
    </row>
    <row r="303" spans="1:13" ht="20.25">
      <c r="A303" s="806"/>
      <c r="B303" s="805"/>
      <c r="C303" s="823" t="s">
        <v>400</v>
      </c>
      <c r="D303" s="823"/>
      <c r="E303" s="60"/>
      <c r="F303" s="60"/>
      <c r="G303" s="60"/>
      <c r="H303" s="60"/>
      <c r="I303" s="60"/>
      <c r="J303" s="60"/>
      <c r="K303" s="60"/>
      <c r="L303" s="60"/>
      <c r="M303" s="244"/>
    </row>
    <row r="304" spans="1:13" ht="20.25">
      <c r="A304" s="32"/>
      <c r="B304" s="31"/>
      <c r="C304" s="816"/>
      <c r="D304" s="60"/>
      <c r="E304" s="60"/>
      <c r="F304" s="60"/>
      <c r="G304" s="60"/>
      <c r="H304" s="60"/>
      <c r="I304" s="60"/>
      <c r="J304" s="60"/>
      <c r="K304" s="60"/>
      <c r="L304" s="60"/>
      <c r="M304" s="244"/>
    </row>
    <row r="305" spans="1:13" ht="20.25">
      <c r="A305" s="32" t="s">
        <v>12</v>
      </c>
      <c r="B305" s="31"/>
      <c r="C305" s="60" t="s">
        <v>165</v>
      </c>
      <c r="D305" s="60" t="s">
        <v>155</v>
      </c>
      <c r="E305" s="606">
        <f>INPUT!C87</f>
        <v>0.35</v>
      </c>
      <c r="F305" s="60"/>
      <c r="G305" s="60"/>
      <c r="H305" s="60"/>
      <c r="I305" s="60"/>
      <c r="J305" s="60"/>
      <c r="K305" s="60"/>
      <c r="L305" s="60"/>
      <c r="M305" s="244"/>
    </row>
    <row r="306" spans="1:13" ht="20.25">
      <c r="A306" s="32"/>
      <c r="B306" s="31"/>
      <c r="C306" s="60"/>
      <c r="D306" s="60" t="s">
        <v>156</v>
      </c>
      <c r="E306" s="413">
        <f>INPUT!C88</f>
        <v>0</v>
      </c>
      <c r="F306" s="60" t="s">
        <v>157</v>
      </c>
      <c r="G306" s="60"/>
      <c r="H306" s="60"/>
      <c r="I306" s="60"/>
      <c r="J306" s="60"/>
      <c r="K306" s="60"/>
      <c r="L306" s="60"/>
      <c r="M306" s="244"/>
    </row>
    <row r="307" spans="1:13" ht="20.25">
      <c r="A307" s="32"/>
      <c r="B307" s="31"/>
      <c r="C307" s="60"/>
      <c r="D307" s="60" t="s">
        <v>158</v>
      </c>
      <c r="E307" s="412">
        <v>0</v>
      </c>
      <c r="F307" s="60" t="s">
        <v>159</v>
      </c>
      <c r="G307" s="60"/>
      <c r="H307" s="60"/>
      <c r="I307" s="60"/>
      <c r="J307" s="60"/>
      <c r="K307" s="60"/>
      <c r="L307" s="60"/>
      <c r="M307" s="244"/>
    </row>
    <row r="308" spans="1:13" ht="20.25">
      <c r="A308" s="32" t="s">
        <v>128</v>
      </c>
      <c r="B308" s="31"/>
      <c r="C308" s="60" t="s">
        <v>5</v>
      </c>
      <c r="D308" s="60"/>
      <c r="E308" s="60"/>
      <c r="F308" s="60"/>
      <c r="G308" s="60"/>
      <c r="H308" s="60"/>
      <c r="I308" s="60"/>
      <c r="J308" s="60"/>
      <c r="K308" s="60"/>
      <c r="L308" s="60"/>
      <c r="M308" s="244"/>
    </row>
    <row r="309" spans="1:13" ht="20.25">
      <c r="A309" s="32" t="s">
        <v>129</v>
      </c>
      <c r="B309" s="31"/>
      <c r="C309" s="823" t="s">
        <v>5</v>
      </c>
      <c r="D309" s="60"/>
      <c r="E309" s="60"/>
      <c r="F309" s="60"/>
      <c r="G309" s="60"/>
      <c r="H309" s="60"/>
      <c r="I309" s="60"/>
      <c r="J309" s="60"/>
      <c r="K309" s="60"/>
      <c r="L309" s="60"/>
      <c r="M309" s="244"/>
    </row>
    <row r="310" spans="1:13" ht="20.25">
      <c r="A310" s="32"/>
      <c r="B310" s="31"/>
      <c r="C310" s="823" t="s">
        <v>130</v>
      </c>
      <c r="D310" s="60"/>
      <c r="E310" s="60"/>
      <c r="F310" s="60"/>
      <c r="G310" s="60"/>
      <c r="H310" s="60"/>
      <c r="I310" s="60"/>
      <c r="J310" s="60"/>
      <c r="K310" s="60"/>
      <c r="L310" s="60"/>
      <c r="M310" s="244"/>
    </row>
    <row r="311" spans="1:13" ht="20.25">
      <c r="B311" s="31"/>
      <c r="C311" s="823" t="s">
        <v>535</v>
      </c>
      <c r="D311" s="60"/>
      <c r="E311" s="60"/>
      <c r="F311" s="60"/>
      <c r="G311" s="60"/>
      <c r="H311" s="60"/>
      <c r="I311" s="60"/>
      <c r="J311" s="60"/>
      <c r="K311" s="60"/>
      <c r="L311" s="60"/>
      <c r="M311" s="244"/>
    </row>
    <row r="312" spans="1:13" ht="20.25">
      <c r="A312" s="32" t="s">
        <v>131</v>
      </c>
      <c r="B312" s="31"/>
      <c r="C312" s="823" t="s">
        <v>173</v>
      </c>
      <c r="D312" s="60"/>
      <c r="E312" s="60"/>
      <c r="F312" s="60"/>
      <c r="G312" s="60"/>
      <c r="H312" s="60"/>
      <c r="I312" s="60"/>
      <c r="J312" s="60"/>
      <c r="K312" s="60"/>
      <c r="L312" s="60"/>
      <c r="M312" s="244"/>
    </row>
    <row r="313" spans="1:13" ht="20.25">
      <c r="A313" s="32"/>
      <c r="B313" s="31"/>
      <c r="C313" s="823" t="s">
        <v>369</v>
      </c>
      <c r="D313" s="60"/>
      <c r="E313" s="60"/>
      <c r="F313" s="60"/>
      <c r="G313" s="60"/>
      <c r="H313" s="60"/>
      <c r="I313" s="60"/>
      <c r="J313" s="60"/>
      <c r="K313" s="60"/>
      <c r="L313" s="60"/>
      <c r="M313" s="244"/>
    </row>
    <row r="314" spans="1:13" ht="20.25">
      <c r="A314" s="32"/>
      <c r="B314" s="31"/>
      <c r="C314" s="823" t="s">
        <v>370</v>
      </c>
      <c r="D314" s="60"/>
      <c r="E314" s="60"/>
      <c r="F314" s="60"/>
      <c r="G314" s="60"/>
      <c r="H314" s="60"/>
      <c r="I314" s="60"/>
      <c r="J314" s="60"/>
      <c r="K314" s="60"/>
      <c r="L314" s="60"/>
      <c r="M314" s="244"/>
    </row>
    <row r="315" spans="1:13" ht="20.25">
      <c r="A315" s="32" t="s">
        <v>132</v>
      </c>
      <c r="B315" s="31"/>
      <c r="C315" s="823" t="s">
        <v>562</v>
      </c>
      <c r="D315" s="60"/>
      <c r="E315" s="60"/>
      <c r="F315" s="60"/>
      <c r="G315" s="60"/>
      <c r="H315" s="60"/>
      <c r="I315" s="60"/>
      <c r="J315" s="60"/>
      <c r="K315" s="60"/>
      <c r="L315" s="60"/>
      <c r="M315" s="244"/>
    </row>
    <row r="316" spans="1:13" ht="20.25">
      <c r="A316" s="32" t="s">
        <v>133</v>
      </c>
      <c r="B316" s="31"/>
      <c r="C316" s="823" t="s">
        <v>557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244"/>
    </row>
    <row r="317" spans="1:13" ht="20.25">
      <c r="A317" s="32"/>
      <c r="B317" s="31"/>
      <c r="C317" s="823" t="s">
        <v>558</v>
      </c>
      <c r="D317" s="60"/>
      <c r="E317" s="60"/>
      <c r="F317" s="60"/>
      <c r="G317" s="60"/>
      <c r="H317" s="60"/>
      <c r="I317" s="60"/>
      <c r="J317" s="60"/>
      <c r="K317" s="60"/>
      <c r="L317" s="60"/>
      <c r="M317" s="244"/>
    </row>
    <row r="318" spans="1:13" ht="20.25">
      <c r="A318" s="32" t="s">
        <v>134</v>
      </c>
      <c r="B318" s="31"/>
      <c r="C318" s="823" t="s">
        <v>421</v>
      </c>
      <c r="D318" s="60"/>
      <c r="E318" s="60"/>
      <c r="F318" s="60"/>
      <c r="G318" s="60"/>
      <c r="H318" s="60"/>
      <c r="I318" s="60"/>
      <c r="J318" s="60"/>
      <c r="K318" s="60"/>
      <c r="L318" s="60"/>
      <c r="M318" s="244"/>
    </row>
    <row r="319" spans="1:13" ht="20.25">
      <c r="A319" s="32"/>
      <c r="B319" s="31"/>
      <c r="C319" s="823" t="s">
        <v>371</v>
      </c>
      <c r="D319" s="60"/>
      <c r="E319" s="60"/>
      <c r="F319" s="60"/>
      <c r="G319" s="60"/>
      <c r="H319" s="60"/>
      <c r="I319" s="60"/>
      <c r="J319" s="60"/>
      <c r="K319" s="60"/>
      <c r="L319" s="60"/>
      <c r="M319" s="244"/>
    </row>
    <row r="320" spans="1:13">
      <c r="A320" s="32" t="s">
        <v>135</v>
      </c>
      <c r="B320" s="31"/>
      <c r="C320" s="823" t="s">
        <v>141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</row>
    <row r="321" spans="1:13">
      <c r="A321" s="32" t="s">
        <v>177</v>
      </c>
      <c r="C321" s="824" t="s">
        <v>360</v>
      </c>
      <c r="D321" s="66"/>
      <c r="E321" s="66"/>
      <c r="F321" s="66"/>
      <c r="G321" s="66"/>
      <c r="H321" s="66"/>
      <c r="I321" s="66"/>
      <c r="J321" s="66"/>
      <c r="K321" s="66"/>
      <c r="L321" s="66"/>
      <c r="M321" s="66"/>
    </row>
    <row r="322" spans="1:13">
      <c r="A322" s="374" t="s">
        <v>178</v>
      </c>
      <c r="C322" s="825" t="s">
        <v>763</v>
      </c>
      <c r="D322" s="246"/>
      <c r="E322" s="66"/>
      <c r="F322" s="66"/>
      <c r="G322" s="66"/>
      <c r="H322" s="66"/>
      <c r="I322" s="66"/>
      <c r="J322" s="66"/>
      <c r="K322" s="66"/>
      <c r="L322" s="66"/>
      <c r="M322" s="66"/>
    </row>
    <row r="323" spans="1:13">
      <c r="C323" s="825" t="s">
        <v>372</v>
      </c>
      <c r="D323" s="66"/>
      <c r="E323" s="66"/>
      <c r="F323" s="66"/>
      <c r="G323" s="66"/>
      <c r="H323" s="66"/>
      <c r="I323" s="66"/>
      <c r="J323" s="66"/>
      <c r="K323" s="66"/>
      <c r="L323" s="66"/>
      <c r="M323" s="247"/>
    </row>
    <row r="324" spans="1:13">
      <c r="C324" s="825" t="s">
        <v>460</v>
      </c>
      <c r="D324" s="66"/>
      <c r="E324" s="246"/>
      <c r="F324" s="66"/>
      <c r="G324" s="66"/>
      <c r="H324" s="66"/>
      <c r="I324" s="66"/>
      <c r="J324" s="66"/>
      <c r="K324" s="66"/>
      <c r="L324" s="66"/>
      <c r="M324" s="247"/>
    </row>
    <row r="325" spans="1:13">
      <c r="C325" s="825" t="s">
        <v>423</v>
      </c>
      <c r="D325" s="66"/>
      <c r="E325" s="246"/>
      <c r="F325" s="66"/>
      <c r="G325" s="66"/>
      <c r="H325" s="66"/>
      <c r="I325" s="66"/>
      <c r="J325" s="66"/>
      <c r="K325" s="66"/>
      <c r="L325" s="66"/>
      <c r="M325" s="247"/>
    </row>
    <row r="326" spans="1:13" ht="18">
      <c r="A326" s="245"/>
      <c r="C326" s="29"/>
      <c r="D326" s="29"/>
      <c r="E326" s="30"/>
      <c r="F326" s="29"/>
      <c r="G326" s="29"/>
      <c r="H326" s="29"/>
      <c r="I326" s="31"/>
      <c r="J326" s="77" t="s">
        <v>365</v>
      </c>
      <c r="K326" s="91"/>
      <c r="M326" s="91"/>
    </row>
    <row r="327" spans="1:13">
      <c r="C327" s="29"/>
      <c r="D327" s="29"/>
      <c r="E327" s="30"/>
      <c r="F327" s="29"/>
      <c r="G327" s="29"/>
      <c r="H327" s="29"/>
      <c r="I327" s="31"/>
      <c r="J327" s="77" t="s">
        <v>564</v>
      </c>
      <c r="M327" s="77"/>
    </row>
    <row r="328" spans="1:13">
      <c r="C328" s="29"/>
      <c r="D328" s="29"/>
      <c r="E328" s="30"/>
      <c r="F328" s="29"/>
      <c r="G328" s="29"/>
      <c r="H328" s="29"/>
      <c r="I328" s="31"/>
      <c r="J328" s="77"/>
      <c r="M328" s="77"/>
    </row>
    <row r="329" spans="1:13">
      <c r="C329" s="29"/>
      <c r="D329" s="29"/>
      <c r="E329" s="30"/>
      <c r="F329" s="29"/>
      <c r="G329" s="29"/>
      <c r="H329" s="29"/>
      <c r="I329" s="31"/>
      <c r="M329" s="77"/>
    </row>
    <row r="330" spans="1:13">
      <c r="C330" s="29"/>
      <c r="D330" s="29"/>
      <c r="E330" s="30"/>
      <c r="F330" s="29"/>
      <c r="G330" s="29"/>
      <c r="H330" s="29"/>
      <c r="I330" s="31"/>
      <c r="K330" s="1"/>
      <c r="M330" s="77"/>
    </row>
    <row r="331" spans="1:13">
      <c r="C331" s="29"/>
      <c r="D331" s="29"/>
      <c r="E331" s="30"/>
      <c r="F331" s="29"/>
      <c r="G331" s="29"/>
      <c r="H331" s="29"/>
      <c r="I331" s="31"/>
      <c r="J331" s="77"/>
      <c r="K331" s="1"/>
      <c r="M331" s="77"/>
    </row>
    <row r="332" spans="1:13">
      <c r="C332" s="29" t="s">
        <v>11</v>
      </c>
      <c r="D332" s="29"/>
      <c r="E332" s="30"/>
      <c r="F332" s="29"/>
      <c r="G332" s="29"/>
      <c r="H332" s="29"/>
      <c r="I332" s="31"/>
      <c r="J332" s="92" t="str">
        <f>$J$7</f>
        <v>For the 12 months ended: 12/31/2016</v>
      </c>
      <c r="K332" s="1"/>
      <c r="M332" s="77"/>
    </row>
    <row r="333" spans="1:13">
      <c r="A333" s="275" t="str">
        <f>$A$8</f>
        <v>Rate Formula Template</v>
      </c>
      <c r="B333" s="117"/>
      <c r="C333" s="117"/>
      <c r="D333" s="270"/>
      <c r="E333" s="117"/>
      <c r="F333" s="270"/>
      <c r="G333" s="270"/>
      <c r="H333" s="270"/>
      <c r="I333" s="270"/>
      <c r="J333" s="117"/>
      <c r="K333" s="31"/>
      <c r="L333" s="117"/>
      <c r="M333" s="1"/>
    </row>
    <row r="334" spans="1:13">
      <c r="A334" s="278" t="s">
        <v>327</v>
      </c>
      <c r="B334" s="117"/>
      <c r="C334" s="270"/>
      <c r="D334" s="272"/>
      <c r="E334" s="117"/>
      <c r="F334" s="272"/>
      <c r="G334" s="272"/>
      <c r="H334" s="272"/>
      <c r="I334" s="270"/>
      <c r="J334" s="270"/>
      <c r="K334" s="31"/>
      <c r="L334" s="273"/>
      <c r="M334" s="1"/>
    </row>
    <row r="335" spans="1:13">
      <c r="A335" s="271"/>
      <c r="B335" s="117"/>
      <c r="C335" s="273"/>
      <c r="D335" s="273"/>
      <c r="E335" s="117"/>
      <c r="F335" s="273"/>
      <c r="G335" s="273"/>
      <c r="H335" s="273"/>
      <c r="I335" s="273"/>
      <c r="J335" s="273"/>
      <c r="K335" s="31"/>
      <c r="L335" s="273"/>
      <c r="M335" s="31"/>
    </row>
    <row r="336" spans="1:13" ht="15.75">
      <c r="A336" s="274" t="s">
        <v>215</v>
      </c>
      <c r="B336" s="117"/>
      <c r="C336" s="273"/>
      <c r="D336" s="273"/>
      <c r="E336" s="117"/>
      <c r="F336" s="273"/>
      <c r="G336" s="273"/>
      <c r="H336" s="273"/>
      <c r="I336" s="273"/>
      <c r="J336" s="273"/>
      <c r="K336" s="31"/>
      <c r="L336" s="273"/>
      <c r="M336" s="31"/>
    </row>
    <row r="337" spans="1:13">
      <c r="A337" s="32"/>
      <c r="B337" s="31"/>
      <c r="C337" s="39"/>
      <c r="D337" s="32"/>
      <c r="E337" s="5"/>
      <c r="F337" s="5"/>
      <c r="G337" s="5"/>
      <c r="H337" s="5"/>
      <c r="I337" s="31"/>
      <c r="J337" s="242"/>
      <c r="K337" s="31"/>
      <c r="L337" s="241"/>
      <c r="M337" s="31"/>
    </row>
    <row r="338" spans="1:13" ht="20.25">
      <c r="A338" s="32"/>
      <c r="B338" s="31"/>
      <c r="C338" s="29" t="s">
        <v>111</v>
      </c>
      <c r="D338" s="32"/>
      <c r="E338" s="5"/>
      <c r="F338" s="5"/>
      <c r="G338" s="5"/>
      <c r="H338" s="5"/>
      <c r="I338" s="31"/>
      <c r="J338" s="5"/>
      <c r="K338" s="31"/>
      <c r="L338" s="5"/>
      <c r="M338" s="243"/>
    </row>
    <row r="339" spans="1:13" ht="20.25">
      <c r="A339" s="32" t="s">
        <v>113</v>
      </c>
      <c r="B339" s="31"/>
      <c r="C339" s="29" t="s">
        <v>112</v>
      </c>
      <c r="D339" s="31"/>
      <c r="E339" s="5"/>
      <c r="F339" s="5"/>
      <c r="G339" s="5"/>
      <c r="H339" s="5"/>
      <c r="I339" s="31"/>
      <c r="J339" s="5"/>
      <c r="K339" s="31"/>
      <c r="L339" s="5"/>
      <c r="M339" s="243"/>
    </row>
    <row r="340" spans="1:13" ht="20.25">
      <c r="A340" s="288" t="s">
        <v>114</v>
      </c>
      <c r="B340" s="31"/>
      <c r="C340" s="29"/>
      <c r="D340" s="31"/>
      <c r="E340" s="5"/>
      <c r="F340" s="5"/>
      <c r="G340" s="5"/>
      <c r="H340" s="5"/>
      <c r="I340" s="31"/>
      <c r="J340" s="5"/>
      <c r="K340" s="31"/>
      <c r="L340" s="5"/>
      <c r="M340" s="243"/>
    </row>
    <row r="341" spans="1:13">
      <c r="A341" s="374" t="s">
        <v>203</v>
      </c>
      <c r="C341" s="838" t="s">
        <v>559</v>
      </c>
      <c r="D341" s="1"/>
      <c r="E341" s="1"/>
      <c r="F341" s="1"/>
      <c r="G341" s="1"/>
      <c r="H341" s="1"/>
      <c r="I341" s="1"/>
      <c r="J341" s="1"/>
      <c r="K341" s="1"/>
      <c r="L341" s="1"/>
      <c r="M341" s="248"/>
    </row>
    <row r="342" spans="1:13">
      <c r="A342" s="374"/>
      <c r="C342" s="838" t="s">
        <v>560</v>
      </c>
      <c r="D342" s="1"/>
      <c r="E342" s="1"/>
      <c r="F342" s="1"/>
      <c r="G342" s="1"/>
      <c r="H342" s="1"/>
      <c r="I342" s="1"/>
      <c r="J342" s="1"/>
      <c r="K342" s="1"/>
      <c r="L342" s="1"/>
      <c r="M342" s="248"/>
    </row>
    <row r="343" spans="1:13">
      <c r="A343" s="374"/>
      <c r="C343" s="838" t="s">
        <v>561</v>
      </c>
      <c r="D343" s="1"/>
      <c r="E343" s="1"/>
      <c r="F343" s="1"/>
      <c r="G343" s="1"/>
      <c r="H343" s="1"/>
      <c r="I343" s="1"/>
      <c r="J343" s="1"/>
      <c r="K343" s="1"/>
      <c r="L343" s="1"/>
      <c r="M343" s="248"/>
    </row>
    <row r="344" spans="1:13">
      <c r="A344" s="374" t="s">
        <v>6</v>
      </c>
      <c r="C344" s="834" t="s">
        <v>401</v>
      </c>
      <c r="D344" s="1"/>
      <c r="E344" s="1"/>
      <c r="F344" s="1"/>
      <c r="G344" s="1"/>
      <c r="H344" s="1"/>
      <c r="I344" s="1"/>
      <c r="J344" s="1"/>
      <c r="K344" s="1"/>
      <c r="L344" s="1"/>
      <c r="M344" s="248"/>
    </row>
    <row r="345" spans="1:13">
      <c r="A345" s="374" t="s">
        <v>459</v>
      </c>
      <c r="C345" s="837" t="s">
        <v>360</v>
      </c>
      <c r="D345" s="1"/>
      <c r="E345" s="1"/>
      <c r="F345" s="1"/>
      <c r="G345" s="1"/>
      <c r="H345" s="1"/>
      <c r="I345" s="1"/>
      <c r="J345" s="1"/>
      <c r="K345" s="1"/>
      <c r="L345" s="1"/>
      <c r="M345" s="248"/>
    </row>
    <row r="346" spans="1:13">
      <c r="A346" s="374" t="s">
        <v>633</v>
      </c>
      <c r="C346" s="836" t="s">
        <v>758</v>
      </c>
      <c r="D346" s="1"/>
      <c r="E346" s="1"/>
      <c r="F346" s="1"/>
      <c r="G346" s="1"/>
      <c r="H346" s="1"/>
      <c r="I346" s="1"/>
      <c r="J346" s="1"/>
      <c r="K346" s="1"/>
      <c r="L346" s="1"/>
      <c r="M346" s="248"/>
    </row>
    <row r="347" spans="1:13">
      <c r="C347" s="836" t="s">
        <v>759</v>
      </c>
      <c r="D347" s="1"/>
      <c r="E347" s="1"/>
      <c r="F347" s="1"/>
      <c r="G347" s="1"/>
      <c r="H347" s="1"/>
      <c r="I347" s="1"/>
      <c r="J347" s="1"/>
      <c r="K347" s="1"/>
      <c r="L347" s="1"/>
      <c r="M347" s="248"/>
    </row>
    <row r="348" spans="1:13" s="839" customFormat="1">
      <c r="A348" s="755" t="s">
        <v>634</v>
      </c>
      <c r="C348" s="839" t="s">
        <v>764</v>
      </c>
      <c r="D348" s="838"/>
      <c r="E348" s="838"/>
      <c r="F348" s="838"/>
      <c r="G348" s="838"/>
      <c r="H348" s="838"/>
      <c r="I348" s="838"/>
      <c r="J348" s="838"/>
      <c r="K348" s="838"/>
      <c r="L348" s="838"/>
      <c r="M348" s="247"/>
    </row>
    <row r="349" spans="1:13" s="839" customFormat="1">
      <c r="A349" s="755"/>
      <c r="C349" s="839" t="s">
        <v>765</v>
      </c>
      <c r="M349" s="971"/>
    </row>
    <row r="350" spans="1:13" s="874" customFormat="1">
      <c r="M350" s="80"/>
    </row>
    <row r="351" spans="1:13" ht="18">
      <c r="C351" s="12" t="s">
        <v>538</v>
      </c>
      <c r="M351" s="80"/>
    </row>
    <row r="352" spans="1:13" ht="18">
      <c r="C352" s="12" t="s">
        <v>537</v>
      </c>
      <c r="M352" s="80"/>
    </row>
    <row r="353" spans="3:13">
      <c r="M353" s="80"/>
    </row>
    <row r="354" spans="3:13">
      <c r="M354" s="80"/>
    </row>
    <row r="355" spans="3:13">
      <c r="M355" s="80"/>
    </row>
    <row r="356" spans="3:13">
      <c r="M356" s="80"/>
    </row>
    <row r="357" spans="3:13">
      <c r="C357" s="65"/>
      <c r="M357" s="80"/>
    </row>
    <row r="358" spans="3:13">
      <c r="C358" s="65"/>
      <c r="M358" s="80"/>
    </row>
    <row r="359" spans="3:13">
      <c r="C359" s="65"/>
      <c r="M359" s="80"/>
    </row>
    <row r="360" spans="3:13">
      <c r="C360" s="65"/>
      <c r="M360" s="80"/>
    </row>
    <row r="361" spans="3:13">
      <c r="C361" s="65"/>
      <c r="M361" s="80"/>
    </row>
    <row r="362" spans="3:13">
      <c r="C362" s="65"/>
      <c r="M362" s="80"/>
    </row>
    <row r="363" spans="3:13">
      <c r="M363" s="80"/>
    </row>
    <row r="364" spans="3:13">
      <c r="M364" s="80"/>
    </row>
    <row r="365" spans="3:13">
      <c r="M365" s="80"/>
    </row>
    <row r="366" spans="3:13">
      <c r="M366" s="80"/>
    </row>
    <row r="367" spans="3:13">
      <c r="M367" s="80"/>
    </row>
    <row r="368" spans="3:13">
      <c r="M368" s="80"/>
    </row>
    <row r="369" spans="13:13">
      <c r="M369" s="80"/>
    </row>
    <row r="370" spans="13:13">
      <c r="M370" s="80"/>
    </row>
    <row r="371" spans="13:13">
      <c r="M371" s="80"/>
    </row>
    <row r="372" spans="13:13">
      <c r="M372" s="80"/>
    </row>
    <row r="373" spans="13:13">
      <c r="M373" s="80"/>
    </row>
    <row r="374" spans="13:13">
      <c r="M374" s="80"/>
    </row>
    <row r="375" spans="13:13">
      <c r="M375" s="80"/>
    </row>
    <row r="376" spans="13:13">
      <c r="M376" s="80"/>
    </row>
    <row r="377" spans="13:13">
      <c r="M377" s="80"/>
    </row>
    <row r="378" spans="13:13">
      <c r="M378" s="80"/>
    </row>
    <row r="379" spans="13:13">
      <c r="M379" s="80"/>
    </row>
    <row r="380" spans="13:13">
      <c r="M380" s="80"/>
    </row>
    <row r="381" spans="13:13">
      <c r="M381" s="80"/>
    </row>
    <row r="382" spans="13:13">
      <c r="M382" s="80"/>
    </row>
    <row r="383" spans="13:13">
      <c r="M383" s="80"/>
    </row>
    <row r="384" spans="13:13">
      <c r="M384" s="80"/>
    </row>
    <row r="385" spans="3:13">
      <c r="M385" s="80"/>
    </row>
    <row r="386" spans="3:13">
      <c r="M386" s="80"/>
    </row>
    <row r="387" spans="3:13">
      <c r="M387" s="80"/>
    </row>
    <row r="388" spans="3:13">
      <c r="M388" s="80"/>
    </row>
    <row r="389" spans="3:13">
      <c r="M389" s="80"/>
    </row>
    <row r="390" spans="3:13">
      <c r="M390" s="80"/>
    </row>
    <row r="391" spans="3:13">
      <c r="M391" s="80"/>
    </row>
    <row r="392" spans="3:13">
      <c r="M392" s="80"/>
    </row>
    <row r="393" spans="3:13">
      <c r="M393" s="80"/>
    </row>
    <row r="394" spans="3:13">
      <c r="M394" s="80"/>
    </row>
    <row r="395" spans="3:13">
      <c r="M395" s="80"/>
    </row>
    <row r="396" spans="3:13"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</row>
    <row r="397" spans="3:13"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</row>
    <row r="398" spans="3:13"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</row>
    <row r="399" spans="3:13"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</row>
    <row r="400" spans="3:13"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</row>
    <row r="401" spans="3:13"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</row>
    <row r="402" spans="3:13"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</row>
    <row r="403" spans="3:13"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</row>
    <row r="404" spans="3:13"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</row>
    <row r="405" spans="3:13"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</row>
    <row r="406" spans="3:13"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</row>
    <row r="407" spans="3:13"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</row>
    <row r="408" spans="3:13"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</row>
    <row r="409" spans="3:13"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</row>
    <row r="410" spans="3:13"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</row>
    <row r="411" spans="3:13"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</row>
    <row r="412" spans="3:13"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</row>
    <row r="413" spans="3:13"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</row>
    <row r="414" spans="3:13"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</row>
    <row r="415" spans="3:13"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</row>
    <row r="416" spans="3:13"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</row>
    <row r="417" spans="3:13"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</row>
    <row r="418" spans="3:13"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</row>
    <row r="419" spans="3:13"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</row>
    <row r="420" spans="3:13"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</row>
    <row r="421" spans="3:13"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</row>
    <row r="422" spans="3:13"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</row>
    <row r="423" spans="3:13"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</row>
    <row r="424" spans="3:13"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</row>
    <row r="425" spans="3:13"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</row>
    <row r="426" spans="3:13"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</row>
    <row r="427" spans="3:13"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</row>
    <row r="428" spans="3:13"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</row>
    <row r="429" spans="3:13"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</row>
    <row r="430" spans="3:13"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</row>
    <row r="431" spans="3:13"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</row>
    <row r="432" spans="3:13"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</row>
    <row r="433" spans="3:13"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</row>
    <row r="434" spans="3:13"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</row>
    <row r="435" spans="3:13"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</row>
    <row r="436" spans="3:13"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</row>
    <row r="437" spans="3:13"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</row>
    <row r="438" spans="3:13"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</row>
    <row r="439" spans="3:13"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</row>
    <row r="440" spans="3:13"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</row>
    <row r="441" spans="3:13"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</row>
    <row r="442" spans="3:13"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</row>
    <row r="443" spans="3:13"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</row>
    <row r="444" spans="3:13"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</row>
    <row r="445" spans="3:13"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</row>
    <row r="446" spans="3:13"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</row>
    <row r="447" spans="3:13"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</row>
    <row r="448" spans="3:13"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</row>
    <row r="449" spans="3:13"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</row>
    <row r="450" spans="3:13"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</row>
    <row r="451" spans="3:13"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</row>
    <row r="452" spans="3:13"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</row>
    <row r="453" spans="3:13"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</row>
    <row r="454" spans="3:13"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</row>
    <row r="455" spans="3:13"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</row>
    <row r="456" spans="3:13"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</row>
    <row r="457" spans="3:13"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</row>
    <row r="458" spans="3:13"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</row>
    <row r="459" spans="3:13"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</row>
    <row r="460" spans="3:13"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</row>
    <row r="461" spans="3:13"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</row>
    <row r="462" spans="3:13"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</row>
    <row r="463" spans="3:13"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</row>
    <row r="464" spans="3:13"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</row>
    <row r="465" spans="3:13"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</row>
    <row r="466" spans="3:13"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</row>
    <row r="467" spans="3:13"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</row>
    <row r="468" spans="3:13"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</row>
    <row r="469" spans="3:13"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</row>
    <row r="470" spans="3:13"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</row>
    <row r="471" spans="3:13"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</row>
    <row r="472" spans="3:13"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</row>
    <row r="473" spans="3:13"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</row>
    <row r="474" spans="3:13"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</row>
    <row r="475" spans="3:13"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</row>
    <row r="476" spans="3:13"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</row>
    <row r="477" spans="3:13"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</row>
    <row r="478" spans="3:13"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</row>
    <row r="479" spans="3:13"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</row>
    <row r="480" spans="3:13"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</row>
    <row r="481" spans="3:13"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</row>
    <row r="482" spans="3:13"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</row>
    <row r="483" spans="3:13"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</row>
    <row r="484" spans="3:13"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</row>
    <row r="485" spans="3:13"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</row>
    <row r="486" spans="3:13"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</row>
    <row r="487" spans="3:13"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</row>
    <row r="488" spans="3:13"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</row>
    <row r="489" spans="3:13"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</row>
    <row r="490" spans="3:13"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</row>
    <row r="491" spans="3:13"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</row>
    <row r="492" spans="3:13"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</row>
    <row r="493" spans="3:13"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</row>
    <row r="494" spans="3:13"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</row>
    <row r="495" spans="3:13"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</row>
    <row r="496" spans="3:13"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</row>
    <row r="497" spans="3:13"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</row>
    <row r="498" spans="3:13"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</row>
    <row r="499" spans="3:13"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</row>
    <row r="500" spans="3:13"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</row>
    <row r="501" spans="3:13"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</row>
    <row r="502" spans="3:13"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</row>
    <row r="503" spans="3:13"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</row>
    <row r="504" spans="3:13"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</row>
    <row r="505" spans="3:13"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</row>
    <row r="506" spans="3:13"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</row>
    <row r="507" spans="3:13"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</row>
    <row r="508" spans="3:13"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</row>
    <row r="509" spans="3:13"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</row>
    <row r="510" spans="3:13"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</row>
    <row r="511" spans="3:13"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</row>
    <row r="512" spans="3:13"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</row>
    <row r="513" spans="3:13"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</row>
    <row r="514" spans="3:13"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</row>
    <row r="515" spans="3:13"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</row>
    <row r="516" spans="3:13"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</row>
    <row r="517" spans="3:13"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</row>
    <row r="518" spans="3:13"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</row>
    <row r="519" spans="3:13"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</row>
    <row r="520" spans="3:13"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</row>
    <row r="521" spans="3:13"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</row>
    <row r="522" spans="3:13"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</row>
    <row r="523" spans="3:13"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</row>
    <row r="524" spans="3:13"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</row>
    <row r="525" spans="3:13"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</row>
    <row r="526" spans="3:13"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</row>
    <row r="527" spans="3:13"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</row>
    <row r="528" spans="3:13"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</row>
    <row r="529" spans="3:13"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</row>
    <row r="530" spans="3:13"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</row>
    <row r="531" spans="3:13"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</row>
    <row r="532" spans="3:13"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</row>
    <row r="533" spans="3:13"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</row>
    <row r="534" spans="3:13"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</row>
    <row r="535" spans="3:13"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</row>
    <row r="536" spans="3:13"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</row>
    <row r="537" spans="3:13"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</row>
    <row r="538" spans="3:13"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</row>
    <row r="539" spans="3:13"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</row>
    <row r="540" spans="3:13"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</row>
    <row r="541" spans="3:13"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</row>
    <row r="542" spans="3:13"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</row>
    <row r="543" spans="3:13"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</row>
    <row r="544" spans="3:13"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</row>
    <row r="545" spans="3:13"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</row>
    <row r="546" spans="3:13"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</row>
    <row r="547" spans="3:13"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</row>
    <row r="548" spans="3:13"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</row>
    <row r="549" spans="3:13"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</row>
    <row r="550" spans="3:13"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</row>
    <row r="551" spans="3:13"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</row>
    <row r="552" spans="3:13"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</row>
    <row r="553" spans="3:13"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</row>
    <row r="554" spans="3:13"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</row>
    <row r="555" spans="3:13"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</row>
    <row r="556" spans="3:13"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</row>
    <row r="557" spans="3:13"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</row>
    <row r="558" spans="3:13"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</row>
    <row r="559" spans="3:13"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</row>
    <row r="560" spans="3:13"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</row>
    <row r="561" spans="3:13"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</row>
    <row r="562" spans="3:13"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</row>
    <row r="563" spans="3:13"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</row>
    <row r="564" spans="3:13"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</row>
    <row r="565" spans="3:13"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</row>
    <row r="566" spans="3:13"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</row>
    <row r="567" spans="3:13"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</row>
    <row r="568" spans="3:13"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</row>
    <row r="569" spans="3:13"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</row>
    <row r="570" spans="3:13"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</row>
    <row r="571" spans="3:13"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</row>
    <row r="572" spans="3:13"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</row>
    <row r="573" spans="3:13"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</row>
    <row r="574" spans="3:13"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</row>
    <row r="575" spans="3:13"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</row>
    <row r="576" spans="3:13"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</row>
    <row r="577" spans="3:13"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</row>
    <row r="578" spans="3:13"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</row>
    <row r="579" spans="3:13"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</row>
    <row r="580" spans="3:13"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</row>
    <row r="581" spans="3:13"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</row>
  </sheetData>
  <phoneticPr fontId="0" type="noConversion"/>
  <printOptions horizontalCentered="1"/>
  <pageMargins left="0.75" right="0.75" top="0.75" bottom="0.5" header="0.25" footer="0.25"/>
  <pageSetup scale="44" orientation="portrait" blackAndWhite="1" r:id="rId1"/>
  <headerFooter alignWithMargins="0"/>
  <rowBreaks count="5" manualBreakCount="5">
    <brk id="56" max="11" man="1"/>
    <brk id="116" max="11" man="1"/>
    <brk id="187" max="11" man="1"/>
    <brk id="263" max="11" man="1"/>
    <brk id="325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R352"/>
  <sheetViews>
    <sheetView topLeftCell="A319" zoomScale="81" zoomScaleNormal="81" zoomScaleSheetLayoutView="75" workbookViewId="0">
      <selection activeCell="A326" sqref="A326:L352"/>
    </sheetView>
  </sheetViews>
  <sheetFormatPr defaultColWidth="8.77734375" defaultRowHeight="15"/>
  <cols>
    <col min="1" max="1" width="7.44140625" style="12" customWidth="1"/>
    <col min="2" max="2" width="1.44140625" style="12" customWidth="1"/>
    <col min="3" max="3" width="62.77734375" style="12" customWidth="1"/>
    <col min="4" max="4" width="23" style="12" customWidth="1"/>
    <col min="5" max="5" width="15.5546875" style="12" customWidth="1"/>
    <col min="6" max="6" width="5.77734375" style="12" customWidth="1"/>
    <col min="7" max="7" width="5.6640625" style="12" customWidth="1"/>
    <col min="8" max="8" width="10.6640625" style="12" customWidth="1"/>
    <col min="9" max="9" width="5.77734375" style="12" customWidth="1"/>
    <col min="10" max="10" width="16.33203125" style="12" customWidth="1"/>
    <col min="11" max="11" width="3.44140625" style="12" customWidth="1"/>
    <col min="12" max="12" width="14" style="12" customWidth="1"/>
    <col min="13" max="13" width="1.88671875" style="12" customWidth="1"/>
    <col min="14" max="15" width="9.77734375" style="12" customWidth="1"/>
    <col min="16" max="16384" width="8.77734375" style="12"/>
  </cols>
  <sheetData>
    <row r="1" spans="1:13" ht="18">
      <c r="A1" s="245"/>
      <c r="C1" s="29"/>
      <c r="D1" s="29"/>
      <c r="E1" s="30"/>
      <c r="F1" s="29"/>
      <c r="G1" s="29"/>
      <c r="H1" s="29"/>
      <c r="I1" s="31"/>
      <c r="J1" s="77" t="s">
        <v>365</v>
      </c>
      <c r="K1" s="91"/>
      <c r="M1" s="91"/>
    </row>
    <row r="2" spans="1:13">
      <c r="C2" s="29"/>
      <c r="D2" s="29"/>
      <c r="E2" s="30"/>
      <c r="F2" s="29"/>
      <c r="G2" s="29"/>
      <c r="H2" s="29"/>
      <c r="I2" s="31"/>
      <c r="J2" s="77" t="s">
        <v>565</v>
      </c>
      <c r="M2" s="77"/>
    </row>
    <row r="3" spans="1:13">
      <c r="C3" s="29"/>
      <c r="D3" s="29"/>
      <c r="E3" s="30"/>
      <c r="F3" s="29"/>
      <c r="G3" s="29"/>
      <c r="H3" s="29"/>
      <c r="I3" s="31"/>
      <c r="K3" s="1"/>
      <c r="M3" s="77"/>
    </row>
    <row r="4" spans="1:13">
      <c r="C4" s="29"/>
      <c r="D4" s="29"/>
      <c r="E4" s="30"/>
      <c r="F4" s="29"/>
      <c r="G4" s="29"/>
      <c r="H4" s="29"/>
      <c r="I4" s="31"/>
      <c r="K4" s="1"/>
      <c r="M4" s="77"/>
    </row>
    <row r="5" spans="1:13">
      <c r="C5" s="29"/>
      <c r="D5" s="29"/>
      <c r="E5" s="30"/>
      <c r="F5" s="29"/>
      <c r="G5" s="29"/>
      <c r="H5" s="29"/>
      <c r="I5" s="31"/>
      <c r="K5" s="1"/>
      <c r="M5" s="77"/>
    </row>
    <row r="6" spans="1:13">
      <c r="C6" s="29"/>
      <c r="D6" s="29"/>
      <c r="E6" s="30"/>
      <c r="F6" s="29"/>
      <c r="G6" s="29"/>
      <c r="H6" s="29"/>
      <c r="I6" s="31"/>
      <c r="J6" s="1"/>
      <c r="K6" s="1"/>
      <c r="M6" s="1"/>
    </row>
    <row r="7" spans="1:13">
      <c r="C7" s="29" t="s">
        <v>11</v>
      </c>
      <c r="D7" s="29"/>
      <c r="E7" s="30"/>
      <c r="F7" s="29"/>
      <c r="G7" s="29"/>
      <c r="H7" s="29"/>
      <c r="I7" s="31"/>
      <c r="J7" s="294" t="str">
        <f>'DE Ohio &amp; Kentucky'!J7</f>
        <v>For the 12 months ended: 12/31/2016</v>
      </c>
      <c r="K7" s="1"/>
      <c r="M7" s="1"/>
    </row>
    <row r="8" spans="1:13">
      <c r="A8" s="303" t="str">
        <f>'DE Ohio &amp; Kentucky'!A8</f>
        <v>Rate Formula Template</v>
      </c>
      <c r="B8" s="277"/>
      <c r="C8" s="277"/>
      <c r="D8" s="275"/>
      <c r="E8" s="277"/>
      <c r="F8" s="275"/>
      <c r="G8" s="275"/>
      <c r="H8" s="275"/>
      <c r="I8" s="275"/>
      <c r="J8" s="277"/>
      <c r="K8" s="1"/>
      <c r="L8" s="277"/>
      <c r="M8" s="1"/>
    </row>
    <row r="9" spans="1:13">
      <c r="A9" s="278" t="s">
        <v>327</v>
      </c>
      <c r="B9" s="277"/>
      <c r="C9" s="275"/>
      <c r="D9" s="278"/>
      <c r="E9" s="277"/>
      <c r="F9" s="278"/>
      <c r="G9" s="278"/>
      <c r="H9" s="278"/>
      <c r="I9" s="275"/>
      <c r="J9" s="275"/>
      <c r="K9" s="1"/>
      <c r="L9" s="271"/>
      <c r="M9" s="1"/>
    </row>
    <row r="10" spans="1:13">
      <c r="A10" s="271"/>
      <c r="B10" s="277"/>
      <c r="C10" s="271"/>
      <c r="D10" s="271"/>
      <c r="E10" s="277"/>
      <c r="F10" s="271"/>
      <c r="G10" s="271"/>
      <c r="H10" s="271"/>
      <c r="I10" s="271"/>
      <c r="J10" s="271"/>
      <c r="K10" s="1"/>
      <c r="L10" s="271"/>
      <c r="M10" s="1"/>
    </row>
    <row r="11" spans="1:13" ht="15.75">
      <c r="A11" s="487" t="s">
        <v>216</v>
      </c>
      <c r="B11" s="488"/>
      <c r="C11" s="489"/>
      <c r="D11" s="489"/>
      <c r="E11" s="488"/>
      <c r="F11" s="489"/>
      <c r="G11" s="489"/>
      <c r="H11" s="489"/>
      <c r="I11" s="489"/>
      <c r="J11" s="489"/>
      <c r="K11" s="1"/>
      <c r="L11" s="271"/>
      <c r="M11" s="1"/>
    </row>
    <row r="12" spans="1:13">
      <c r="A12" s="32"/>
      <c r="C12" s="1"/>
      <c r="D12" s="1"/>
      <c r="E12" s="21"/>
      <c r="F12" s="1"/>
      <c r="G12" s="1"/>
      <c r="H12" s="1"/>
      <c r="I12" s="1"/>
      <c r="J12" s="1"/>
      <c r="K12" s="1"/>
      <c r="L12" s="1"/>
      <c r="M12" s="1"/>
    </row>
    <row r="13" spans="1:13">
      <c r="A13" s="32" t="s">
        <v>13</v>
      </c>
      <c r="C13" s="1"/>
      <c r="D13" s="1"/>
      <c r="E13" s="21"/>
      <c r="F13" s="1"/>
      <c r="G13" s="1"/>
      <c r="H13" s="1"/>
      <c r="I13" s="1"/>
      <c r="J13" s="32" t="s">
        <v>14</v>
      </c>
      <c r="K13" s="1"/>
      <c r="L13" s="1"/>
      <c r="M13" s="1"/>
    </row>
    <row r="14" spans="1:13">
      <c r="A14" s="288" t="s">
        <v>15</v>
      </c>
      <c r="B14" s="234"/>
      <c r="C14" s="287"/>
      <c r="D14" s="287"/>
      <c r="E14" s="287"/>
      <c r="F14" s="287"/>
      <c r="G14" s="287"/>
      <c r="H14" s="287"/>
      <c r="I14" s="287"/>
      <c r="J14" s="288" t="s">
        <v>16</v>
      </c>
      <c r="K14" s="1"/>
      <c r="L14" s="1"/>
      <c r="M14" s="1"/>
    </row>
    <row r="15" spans="1:13">
      <c r="A15" s="32">
        <v>1</v>
      </c>
      <c r="C15" s="1" t="s">
        <v>402</v>
      </c>
      <c r="D15" s="1"/>
      <c r="E15" s="2"/>
      <c r="F15" s="1"/>
      <c r="G15" s="1"/>
      <c r="H15" s="1"/>
      <c r="I15" s="1"/>
      <c r="J15" s="36">
        <f>J184</f>
        <v>5153503.3229740225</v>
      </c>
      <c r="K15" s="1"/>
      <c r="L15" s="1"/>
      <c r="M15" s="1"/>
    </row>
    <row r="16" spans="1:13">
      <c r="A16" s="32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</row>
    <row r="17" spans="1:13">
      <c r="A17" s="32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</row>
    <row r="18" spans="1:13" ht="15.75" thickBot="1">
      <c r="A18" s="32" t="s">
        <v>12</v>
      </c>
      <c r="C18" s="429" t="s">
        <v>441</v>
      </c>
      <c r="E18" s="40" t="s">
        <v>17</v>
      </c>
      <c r="F18" s="5"/>
      <c r="G18" s="49" t="s">
        <v>18</v>
      </c>
      <c r="H18" s="49"/>
      <c r="I18" s="1"/>
      <c r="J18" s="2"/>
      <c r="K18" s="1"/>
      <c r="L18" s="1"/>
      <c r="M18" s="1"/>
    </row>
    <row r="19" spans="1:13">
      <c r="A19" s="32">
        <v>2</v>
      </c>
      <c r="C19" s="3" t="s">
        <v>425</v>
      </c>
      <c r="D19" s="5" t="str">
        <f>'DE Ohio &amp; Kentucky'!D19</f>
        <v>(page 4, line 34)</v>
      </c>
      <c r="E19" s="364">
        <f>J260</f>
        <v>19964</v>
      </c>
      <c r="F19" s="364"/>
      <c r="G19" s="364" t="s">
        <v>19</v>
      </c>
      <c r="H19" s="19">
        <f>J$208</f>
        <v>0.70390552598171197</v>
      </c>
      <c r="I19" s="364"/>
      <c r="J19" s="364">
        <f t="shared" ref="J19:J24" si="0">H19*E19</f>
        <v>14052.769920698898</v>
      </c>
      <c r="K19" s="1"/>
      <c r="L19" s="1"/>
      <c r="M19" s="1"/>
    </row>
    <row r="20" spans="1:13">
      <c r="A20" s="32">
        <v>3</v>
      </c>
      <c r="C20" s="3" t="s">
        <v>461</v>
      </c>
      <c r="D20" s="707" t="str">
        <f>'DE Ohio &amp; Kentucky'!D20</f>
        <v>(page 4, line 35)</v>
      </c>
      <c r="E20" s="223">
        <f>J262</f>
        <v>37595</v>
      </c>
      <c r="F20" s="364"/>
      <c r="G20" s="364" t="str">
        <f>G$19</f>
        <v>TP</v>
      </c>
      <c r="H20" s="19">
        <f>J$208</f>
        <v>0.70390552598171197</v>
      </c>
      <c r="I20" s="364"/>
      <c r="J20" s="223">
        <f t="shared" si="0"/>
        <v>26463.328249282462</v>
      </c>
      <c r="K20" s="1"/>
      <c r="L20" s="1"/>
      <c r="M20" s="1"/>
    </row>
    <row r="21" spans="1:13">
      <c r="A21" s="32" t="s">
        <v>356</v>
      </c>
      <c r="C21" s="38" t="s">
        <v>426</v>
      </c>
      <c r="D21" s="5"/>
      <c r="E21" s="366">
        <v>0</v>
      </c>
      <c r="F21" s="364"/>
      <c r="G21" s="364" t="str">
        <f>G$19</f>
        <v>TP</v>
      </c>
      <c r="H21" s="19">
        <f>J$208</f>
        <v>0.70390552598171197</v>
      </c>
      <c r="I21" s="364"/>
      <c r="J21" s="223">
        <f t="shared" si="0"/>
        <v>0</v>
      </c>
      <c r="K21" s="1"/>
      <c r="L21" s="1"/>
      <c r="M21" s="1"/>
    </row>
    <row r="22" spans="1:13">
      <c r="A22" s="32" t="s">
        <v>357</v>
      </c>
      <c r="C22" s="38" t="s">
        <v>556</v>
      </c>
      <c r="D22" s="5"/>
      <c r="E22" s="366">
        <v>0</v>
      </c>
      <c r="F22" s="364"/>
      <c r="G22" s="364" t="str">
        <f>G$19</f>
        <v>TP</v>
      </c>
      <c r="H22" s="19">
        <f>J$208</f>
        <v>0.70390552598171197</v>
      </c>
      <c r="I22" s="364"/>
      <c r="J22" s="223">
        <f t="shared" si="0"/>
        <v>0</v>
      </c>
      <c r="K22" s="1"/>
      <c r="L22" s="1"/>
      <c r="M22" s="1"/>
    </row>
    <row r="23" spans="1:13">
      <c r="A23" s="32" t="s">
        <v>175</v>
      </c>
      <c r="C23" s="38" t="s">
        <v>551</v>
      </c>
      <c r="D23" s="5"/>
      <c r="E23" s="223">
        <f>'Appx C - DEK(MTEP)'!X88</f>
        <v>0</v>
      </c>
      <c r="F23" s="364"/>
      <c r="G23" s="364"/>
      <c r="H23" s="508">
        <v>1</v>
      </c>
      <c r="I23" s="364"/>
      <c r="J23" s="223">
        <f t="shared" si="0"/>
        <v>0</v>
      </c>
      <c r="K23" s="1"/>
      <c r="L23" s="1"/>
      <c r="M23" s="1"/>
    </row>
    <row r="24" spans="1:13">
      <c r="A24" s="32" t="s">
        <v>358</v>
      </c>
      <c r="C24" s="451" t="s">
        <v>552</v>
      </c>
      <c r="D24" s="5"/>
      <c r="E24" s="285">
        <v>0</v>
      </c>
      <c r="F24" s="364"/>
      <c r="G24" s="364"/>
      <c r="H24" s="508">
        <v>1</v>
      </c>
      <c r="I24" s="364"/>
      <c r="J24" s="424">
        <f t="shared" si="0"/>
        <v>0</v>
      </c>
      <c r="K24" s="1"/>
      <c r="L24" s="1"/>
      <c r="M24" s="1"/>
    </row>
    <row r="25" spans="1:13">
      <c r="A25" s="32">
        <v>6</v>
      </c>
      <c r="C25" s="3" t="s">
        <v>631</v>
      </c>
      <c r="D25" s="1"/>
      <c r="E25" s="17" t="s">
        <v>12</v>
      </c>
      <c r="F25" s="5"/>
      <c r="G25" s="5"/>
      <c r="H25" s="19"/>
      <c r="I25" s="5"/>
      <c r="J25" s="364">
        <f>SUM(J19:J24)</f>
        <v>40516.098169981356</v>
      </c>
      <c r="K25" s="1"/>
      <c r="L25" s="1"/>
      <c r="M25" s="1"/>
    </row>
    <row r="26" spans="1:13">
      <c r="A26" s="32"/>
      <c r="D26" s="1"/>
      <c r="E26" s="5" t="s">
        <v>12</v>
      </c>
      <c r="F26" s="1"/>
      <c r="G26" s="1"/>
      <c r="H26" s="19"/>
      <c r="I26" s="1"/>
      <c r="K26" s="1"/>
      <c r="L26" s="1"/>
      <c r="M26" s="1"/>
    </row>
    <row r="27" spans="1:13">
      <c r="A27" s="32"/>
      <c r="C27" s="3"/>
      <c r="D27" s="1"/>
      <c r="J27" s="5"/>
      <c r="K27" s="1"/>
      <c r="L27" s="1"/>
      <c r="M27" s="1"/>
    </row>
    <row r="28" spans="1:13" ht="15.75" thickBot="1">
      <c r="A28" s="32">
        <v>7</v>
      </c>
      <c r="C28" s="3" t="s">
        <v>20</v>
      </c>
      <c r="D28" s="707" t="str">
        <f>'DE Ohio &amp; Kentucky'!D30</f>
        <v>(line 1 minus line 6)</v>
      </c>
      <c r="E28" s="17" t="s">
        <v>12</v>
      </c>
      <c r="F28" s="5"/>
      <c r="G28" s="5"/>
      <c r="H28" s="5"/>
      <c r="I28" s="5"/>
      <c r="J28" s="50">
        <f>J15-J25</f>
        <v>5112987.224804041</v>
      </c>
      <c r="K28" s="1"/>
      <c r="L28" s="1"/>
      <c r="M28" s="1"/>
    </row>
    <row r="29" spans="1:13" ht="15.75" thickTop="1">
      <c r="A29" s="32"/>
      <c r="D29" s="1"/>
      <c r="E29" s="17"/>
      <c r="F29" s="5"/>
      <c r="G29" s="5"/>
      <c r="H29" s="5"/>
      <c r="I29" s="5"/>
      <c r="K29" s="1"/>
      <c r="L29" s="1"/>
      <c r="M29" s="1"/>
    </row>
    <row r="30" spans="1:13">
      <c r="A30" s="32"/>
      <c r="D30" s="5"/>
      <c r="J30" s="5"/>
      <c r="K30" s="1"/>
      <c r="L30" s="1"/>
      <c r="M30" s="1"/>
    </row>
    <row r="31" spans="1:13">
      <c r="A31" s="32"/>
      <c r="C31" s="3" t="s">
        <v>374</v>
      </c>
      <c r="D31" s="1"/>
      <c r="E31" s="2"/>
      <c r="F31" s="1"/>
      <c r="G31" s="1"/>
      <c r="H31" s="1"/>
      <c r="I31" s="1"/>
      <c r="J31" s="2"/>
      <c r="K31" s="1"/>
      <c r="L31" s="1"/>
      <c r="M31" s="1"/>
    </row>
    <row r="32" spans="1:13">
      <c r="A32" s="32">
        <v>8</v>
      </c>
      <c r="C32" s="426" t="s">
        <v>430</v>
      </c>
      <c r="E32" s="2"/>
      <c r="F32" s="1"/>
      <c r="G32" s="1"/>
      <c r="H32" s="60"/>
      <c r="I32" s="1"/>
      <c r="J32" s="229">
        <f>MAX(PeakKW_DEK)</f>
        <v>847000</v>
      </c>
      <c r="K32" s="1"/>
      <c r="L32" s="1"/>
      <c r="M32" s="1"/>
    </row>
    <row r="33" spans="1:13">
      <c r="A33" s="32">
        <v>9</v>
      </c>
      <c r="C33" s="427" t="s">
        <v>431</v>
      </c>
      <c r="E33" s="37"/>
      <c r="F33" s="37"/>
      <c r="G33" s="37"/>
      <c r="H33" s="37"/>
      <c r="I33" s="5"/>
      <c r="J33" s="229">
        <f>'P10 Partner KW'!O16</f>
        <v>710083</v>
      </c>
      <c r="K33" s="1"/>
      <c r="L33" s="1"/>
      <c r="M33" s="1"/>
    </row>
    <row r="34" spans="1:13">
      <c r="A34" s="32"/>
      <c r="C34" s="3"/>
      <c r="D34" s="1"/>
      <c r="E34" s="1"/>
      <c r="F34" s="1"/>
      <c r="G34" s="1"/>
      <c r="H34" s="1"/>
      <c r="I34" s="1"/>
      <c r="J34" s="230"/>
      <c r="K34" s="1"/>
      <c r="L34" s="1"/>
      <c r="M34" s="1"/>
    </row>
    <row r="35" spans="1:13">
      <c r="A35" s="32">
        <v>10</v>
      </c>
      <c r="C35" s="3" t="s">
        <v>360</v>
      </c>
      <c r="D35" s="1"/>
      <c r="E35" s="36"/>
      <c r="F35" s="36"/>
      <c r="G35" s="36"/>
      <c r="H35" s="36"/>
      <c r="I35" s="36"/>
      <c r="J35" s="36"/>
      <c r="K35" s="1"/>
      <c r="L35" s="1"/>
      <c r="M35" s="1"/>
    </row>
    <row r="36" spans="1:13">
      <c r="A36" s="32">
        <v>11</v>
      </c>
      <c r="C36" s="3" t="s">
        <v>360</v>
      </c>
      <c r="D36" s="1"/>
      <c r="E36" s="36"/>
      <c r="F36" s="36"/>
      <c r="G36" s="36"/>
      <c r="H36" s="36"/>
      <c r="I36" s="36"/>
      <c r="J36" s="36"/>
      <c r="K36" s="1"/>
      <c r="L36" s="1"/>
      <c r="M36" s="1"/>
    </row>
    <row r="37" spans="1:13">
      <c r="A37" s="32">
        <v>12</v>
      </c>
      <c r="C37" s="3" t="s">
        <v>360</v>
      </c>
      <c r="D37" s="1"/>
      <c r="E37" s="36"/>
      <c r="F37" s="36"/>
      <c r="G37" s="36"/>
      <c r="H37" s="36"/>
      <c r="I37" s="36"/>
      <c r="J37" s="36"/>
      <c r="K37" s="1"/>
      <c r="L37" s="1"/>
      <c r="M37" s="1"/>
    </row>
    <row r="38" spans="1:13">
      <c r="A38" s="32">
        <v>13</v>
      </c>
      <c r="C38" s="3" t="s">
        <v>360</v>
      </c>
      <c r="D38" s="1"/>
      <c r="E38" s="36"/>
      <c r="F38" s="36"/>
      <c r="G38" s="36"/>
      <c r="H38" s="36"/>
      <c r="I38" s="36"/>
      <c r="J38" s="36"/>
      <c r="K38" s="1"/>
      <c r="L38" s="1"/>
      <c r="M38" s="1"/>
    </row>
    <row r="39" spans="1:13">
      <c r="A39" s="32">
        <v>14</v>
      </c>
      <c r="C39" s="3" t="s">
        <v>360</v>
      </c>
      <c r="D39" s="1"/>
      <c r="E39" s="36"/>
      <c r="F39" s="36"/>
      <c r="G39" s="36"/>
      <c r="H39" s="36"/>
      <c r="I39" s="36"/>
      <c r="J39" s="36"/>
      <c r="K39" s="1"/>
      <c r="L39" s="1"/>
      <c r="M39" s="1"/>
    </row>
    <row r="40" spans="1:13">
      <c r="A40" s="32"/>
      <c r="C40" s="3"/>
      <c r="D40" s="1"/>
      <c r="E40" s="36"/>
      <c r="F40" s="36"/>
      <c r="G40" s="36"/>
      <c r="H40" s="36"/>
      <c r="I40" s="36"/>
      <c r="J40" s="36"/>
      <c r="K40" s="1"/>
      <c r="L40" s="1"/>
      <c r="M40" s="1"/>
    </row>
    <row r="41" spans="1:13">
      <c r="A41" s="233">
        <v>15</v>
      </c>
      <c r="C41" s="3" t="s">
        <v>330</v>
      </c>
      <c r="D41" s="707" t="str">
        <f>'DE Ohio &amp; Kentucky'!D43</f>
        <v>(line 7 / line 8)</v>
      </c>
      <c r="E41" s="25">
        <f>IF(J32&gt;0,J28/J32,9)</f>
        <v>6.0365846809965067</v>
      </c>
      <c r="F41" s="36"/>
      <c r="G41" s="36"/>
      <c r="H41" s="36"/>
      <c r="I41" s="36"/>
      <c r="J41" s="364"/>
      <c r="K41" s="1"/>
      <c r="L41" s="1"/>
      <c r="M41" s="1"/>
    </row>
    <row r="42" spans="1:13">
      <c r="A42" s="233"/>
      <c r="C42" s="3"/>
      <c r="D42" s="1"/>
      <c r="E42" s="25"/>
      <c r="F42" s="36"/>
      <c r="G42" s="36"/>
      <c r="H42" s="36"/>
      <c r="I42" s="36"/>
      <c r="J42" s="364"/>
      <c r="K42" s="1"/>
      <c r="L42" s="1"/>
      <c r="M42" s="1"/>
    </row>
    <row r="43" spans="1:13">
      <c r="A43" s="233">
        <v>16</v>
      </c>
      <c r="C43" s="3" t="s">
        <v>473</v>
      </c>
      <c r="D43" s="707" t="str">
        <f>'DE Ohio &amp; Kentucky'!D45</f>
        <v>(line 7 / line 9)</v>
      </c>
      <c r="E43" s="25">
        <f>IF(J33&gt;0,J28/J33,9)</f>
        <v>7.2005487031854596</v>
      </c>
      <c r="F43" s="36"/>
      <c r="G43" s="36"/>
      <c r="H43" s="36"/>
      <c r="I43" s="36"/>
      <c r="J43" s="364"/>
      <c r="K43" s="1"/>
      <c r="L43" s="1"/>
      <c r="M43" s="1"/>
    </row>
    <row r="44" spans="1:13">
      <c r="A44" s="233"/>
      <c r="C44" s="3"/>
      <c r="D44" s="1"/>
      <c r="E44" s="25"/>
      <c r="F44" s="36"/>
      <c r="G44" s="36"/>
      <c r="H44" s="36"/>
      <c r="I44" s="36"/>
      <c r="J44" s="364"/>
      <c r="K44" s="1"/>
      <c r="L44" s="1"/>
      <c r="M44" s="1"/>
    </row>
    <row r="45" spans="1:13">
      <c r="A45" s="233">
        <v>17</v>
      </c>
      <c r="C45" s="3" t="s">
        <v>475</v>
      </c>
      <c r="D45" s="707" t="str">
        <f>'DE Ohio &amp; Kentucky'!D47</f>
        <v>(line 15 / 12)</v>
      </c>
      <c r="E45" s="25">
        <f>ROUND(E41/12,9)</f>
        <v>0.50304872300000003</v>
      </c>
      <c r="F45" s="36"/>
      <c r="G45" s="36"/>
      <c r="H45" s="36"/>
      <c r="I45" s="36"/>
      <c r="J45" s="364"/>
      <c r="K45" s="1"/>
      <c r="L45" s="1"/>
      <c r="M45" s="1"/>
    </row>
    <row r="46" spans="1:13">
      <c r="A46" s="233"/>
      <c r="C46" s="3"/>
      <c r="D46" s="1"/>
      <c r="E46" s="25"/>
      <c r="F46" s="36"/>
      <c r="G46" s="36"/>
      <c r="H46" s="36"/>
      <c r="I46" s="36"/>
      <c r="J46" s="364"/>
      <c r="K46" s="1"/>
      <c r="L46" s="1"/>
      <c r="M46" s="1"/>
    </row>
    <row r="47" spans="1:13">
      <c r="A47" s="233" t="s">
        <v>472</v>
      </c>
      <c r="C47" s="3" t="s">
        <v>477</v>
      </c>
      <c r="D47" s="707" t="str">
        <f>'DE Ohio &amp; Kentucky'!D49</f>
        <v>(line 16 / 12)</v>
      </c>
      <c r="E47" s="25">
        <f>ROUND($E$43/12,9)</f>
        <v>0.60004572499999997</v>
      </c>
      <c r="F47" s="36"/>
      <c r="G47" s="36"/>
      <c r="H47" s="36"/>
      <c r="I47" s="36"/>
      <c r="J47" s="364"/>
      <c r="K47" s="1"/>
      <c r="L47" s="1"/>
      <c r="M47" s="1"/>
    </row>
    <row r="48" spans="1:13">
      <c r="A48" s="233"/>
      <c r="C48" s="3"/>
      <c r="D48" s="1"/>
      <c r="E48" s="25"/>
      <c r="F48" s="36"/>
      <c r="G48" s="36"/>
      <c r="H48" s="36"/>
      <c r="I48" s="36"/>
      <c r="J48" s="364"/>
      <c r="K48" s="1"/>
      <c r="L48" s="1"/>
      <c r="M48" s="1"/>
    </row>
    <row r="49" spans="1:13">
      <c r="A49" s="233"/>
      <c r="C49" s="3"/>
      <c r="D49" s="1"/>
      <c r="E49" s="449" t="s">
        <v>485</v>
      </c>
      <c r="F49" s="210"/>
      <c r="G49" s="210"/>
      <c r="I49" s="36"/>
      <c r="J49" s="449" t="s">
        <v>486</v>
      </c>
      <c r="K49" s="1"/>
      <c r="L49" s="1"/>
      <c r="M49" s="1"/>
    </row>
    <row r="50" spans="1:13">
      <c r="A50" s="233"/>
      <c r="C50" s="3"/>
      <c r="D50" s="1"/>
      <c r="E50" s="449"/>
      <c r="F50" s="210"/>
      <c r="G50" s="210"/>
      <c r="I50" s="36"/>
      <c r="J50" s="449"/>
      <c r="K50" s="1"/>
      <c r="L50" s="1"/>
      <c r="M50" s="1"/>
    </row>
    <row r="51" spans="1:13">
      <c r="A51" s="233">
        <v>18</v>
      </c>
      <c r="C51" s="3" t="s">
        <v>479</v>
      </c>
      <c r="D51" s="707" t="str">
        <f>'DE Ohio &amp; Kentucky'!D53</f>
        <v>(line 16 / 52; line 16 / 52)</v>
      </c>
      <c r="E51" s="25">
        <f>ROUND($E$43/52,9)</f>
        <v>0.13847208999999999</v>
      </c>
      <c r="F51" s="36"/>
      <c r="G51" s="36"/>
      <c r="H51" s="36"/>
      <c r="I51" s="36"/>
      <c r="J51" s="364"/>
      <c r="K51" s="1"/>
      <c r="L51" s="1"/>
      <c r="M51" s="1"/>
    </row>
    <row r="52" spans="1:13">
      <c r="A52" s="233"/>
      <c r="C52" s="3"/>
      <c r="D52" s="1"/>
      <c r="E52" s="25"/>
      <c r="F52" s="36"/>
      <c r="G52" s="36"/>
      <c r="H52" s="36"/>
      <c r="I52" s="36"/>
      <c r="J52" s="364"/>
      <c r="K52" s="1"/>
      <c r="L52" s="1"/>
      <c r="M52" s="1"/>
    </row>
    <row r="53" spans="1:13">
      <c r="A53" s="233">
        <v>19</v>
      </c>
      <c r="C53" s="3" t="s">
        <v>480</v>
      </c>
      <c r="D53" s="707" t="str">
        <f>'DE Ohio &amp; Kentucky'!D55</f>
        <v>(line 16 / 260; line 16 / 365)</v>
      </c>
      <c r="E53" s="25">
        <f>ROUND($E$43/260,9)</f>
        <v>2.7694417999999998E-2</v>
      </c>
      <c r="F53" s="36" t="s">
        <v>487</v>
      </c>
      <c r="G53" s="36"/>
      <c r="H53" s="36"/>
      <c r="I53" s="36"/>
      <c r="J53" s="25">
        <f>ROUND($E$43/365,9)</f>
        <v>1.9727531E-2</v>
      </c>
      <c r="K53" s="1"/>
      <c r="L53" s="1"/>
      <c r="M53" s="1"/>
    </row>
    <row r="54" spans="1:13">
      <c r="A54" s="233"/>
      <c r="C54" s="3"/>
      <c r="D54" s="1"/>
      <c r="E54" s="25"/>
      <c r="F54" s="36"/>
      <c r="G54" s="36"/>
      <c r="H54" s="36"/>
      <c r="I54" s="36"/>
      <c r="J54" s="25"/>
      <c r="K54" s="1"/>
      <c r="L54" s="1"/>
      <c r="M54" s="1"/>
    </row>
    <row r="55" spans="1:13" ht="30">
      <c r="A55" s="233">
        <v>20</v>
      </c>
      <c r="C55" s="3" t="s">
        <v>481</v>
      </c>
      <c r="D55" s="448" t="str">
        <f>'DE Ohio &amp; Kentucky'!D57</f>
        <v>(line 16 / 4,160; line 16 / 8,760 * 1000)</v>
      </c>
      <c r="E55" s="25">
        <f>ROUND(($J$28/$J$33)/4160,4)</f>
        <v>1.6999999999999999E-3</v>
      </c>
      <c r="F55" s="36" t="s">
        <v>488</v>
      </c>
      <c r="G55" s="36"/>
      <c r="H55" s="36"/>
      <c r="I55" s="36"/>
      <c r="J55" s="25">
        <f>ROUND(($J$28/$J$33)/8760*1000,4)</f>
        <v>0.82199999999999995</v>
      </c>
      <c r="K55" s="1"/>
      <c r="L55" s="1"/>
      <c r="M55" s="1"/>
    </row>
    <row r="56" spans="1:13">
      <c r="C56" s="29"/>
      <c r="D56" s="29"/>
      <c r="E56" s="30"/>
      <c r="F56" s="29"/>
      <c r="G56" s="29"/>
      <c r="H56" s="29"/>
      <c r="I56" s="31"/>
      <c r="K56" s="32"/>
      <c r="L56" s="92"/>
      <c r="M56" s="32"/>
    </row>
    <row r="57" spans="1:13" ht="18">
      <c r="A57" s="245"/>
      <c r="B57" s="67"/>
      <c r="C57" s="29"/>
      <c r="D57" s="29"/>
      <c r="E57" s="30"/>
      <c r="F57" s="29"/>
      <c r="G57" s="29"/>
      <c r="H57" s="29"/>
      <c r="I57" s="31"/>
      <c r="J57" s="77" t="s">
        <v>365</v>
      </c>
      <c r="K57" s="91"/>
      <c r="M57" s="91"/>
    </row>
    <row r="58" spans="1:13">
      <c r="C58" s="29"/>
      <c r="D58" s="29"/>
      <c r="E58" s="30"/>
      <c r="F58" s="29"/>
      <c r="G58" s="29"/>
      <c r="H58" s="29"/>
      <c r="I58" s="31"/>
      <c r="J58" s="77" t="s">
        <v>566</v>
      </c>
      <c r="M58" s="77"/>
    </row>
    <row r="59" spans="1:13">
      <c r="C59" s="29"/>
      <c r="D59" s="29"/>
      <c r="E59" s="30"/>
      <c r="F59" s="29"/>
      <c r="G59" s="29"/>
      <c r="H59" s="29"/>
      <c r="I59" s="31"/>
      <c r="K59" s="1"/>
      <c r="M59" s="77"/>
    </row>
    <row r="60" spans="1:13">
      <c r="C60" s="29"/>
      <c r="D60" s="29"/>
      <c r="E60" s="30"/>
      <c r="F60" s="29"/>
      <c r="G60" s="29"/>
      <c r="H60" s="29"/>
      <c r="I60" s="31"/>
      <c r="K60" s="1"/>
      <c r="M60" s="77"/>
    </row>
    <row r="61" spans="1:13">
      <c r="C61" s="29"/>
      <c r="D61" s="29"/>
      <c r="E61" s="30"/>
      <c r="F61" s="29"/>
      <c r="G61" s="29"/>
      <c r="H61" s="29"/>
      <c r="I61" s="31"/>
      <c r="K61" s="1"/>
      <c r="M61" s="77"/>
    </row>
    <row r="62" spans="1:13">
      <c r="C62" s="29"/>
      <c r="D62" s="29"/>
      <c r="E62" s="30"/>
      <c r="F62" s="29"/>
      <c r="G62" s="29"/>
      <c r="H62" s="29"/>
      <c r="I62" s="31"/>
      <c r="J62" s="77"/>
      <c r="K62" s="1"/>
      <c r="M62" s="77"/>
    </row>
    <row r="63" spans="1:13">
      <c r="C63" s="29" t="s">
        <v>11</v>
      </c>
      <c r="D63" s="29"/>
      <c r="E63" s="30"/>
      <c r="F63" s="29"/>
      <c r="G63" s="29"/>
      <c r="H63" s="29"/>
      <c r="I63" s="31"/>
      <c r="J63" s="92" t="str">
        <f>J7</f>
        <v>For the 12 months ended: 12/31/2016</v>
      </c>
      <c r="K63" s="5"/>
      <c r="M63" s="77"/>
    </row>
    <row r="64" spans="1:13">
      <c r="A64" s="275" t="str">
        <f>A8</f>
        <v>Rate Formula Template</v>
      </c>
      <c r="B64" s="277"/>
      <c r="C64" s="277"/>
      <c r="D64" s="275"/>
      <c r="E64" s="277"/>
      <c r="F64" s="275"/>
      <c r="G64" s="275"/>
      <c r="H64" s="275"/>
      <c r="I64" s="275"/>
      <c r="J64" s="277"/>
      <c r="K64" s="5"/>
      <c r="L64" s="277"/>
      <c r="M64" s="1"/>
    </row>
    <row r="65" spans="1:13">
      <c r="A65" s="278" t="s">
        <v>327</v>
      </c>
      <c r="B65" s="277"/>
      <c r="C65" s="275"/>
      <c r="D65" s="278"/>
      <c r="E65" s="277"/>
      <c r="F65" s="278"/>
      <c r="G65" s="278"/>
      <c r="H65" s="278"/>
      <c r="I65" s="275"/>
      <c r="J65" s="275"/>
      <c r="K65" s="5"/>
      <c r="L65" s="271"/>
      <c r="M65" s="1"/>
    </row>
    <row r="66" spans="1:13">
      <c r="A66" s="271"/>
      <c r="B66" s="277"/>
      <c r="C66" s="271"/>
      <c r="D66" s="271"/>
      <c r="E66" s="277"/>
      <c r="F66" s="271"/>
      <c r="G66" s="271"/>
      <c r="H66" s="271"/>
      <c r="I66" s="271"/>
      <c r="J66" s="271"/>
      <c r="K66" s="5"/>
      <c r="L66" s="271"/>
      <c r="M66" s="1"/>
    </row>
    <row r="67" spans="1:13" ht="15.75">
      <c r="A67" s="274" t="s">
        <v>216</v>
      </c>
      <c r="B67" s="277"/>
      <c r="C67" s="271"/>
      <c r="D67" s="271"/>
      <c r="E67" s="277"/>
      <c r="F67" s="271"/>
      <c r="G67" s="271"/>
      <c r="H67" s="271"/>
      <c r="I67" s="271"/>
      <c r="J67" s="271"/>
      <c r="K67" s="5"/>
      <c r="L67" s="271"/>
      <c r="M67" s="5"/>
    </row>
    <row r="68" spans="1:13">
      <c r="B68" s="277"/>
      <c r="C68" s="271"/>
      <c r="D68" s="271"/>
      <c r="E68" s="277"/>
      <c r="F68" s="271"/>
      <c r="G68" s="271"/>
      <c r="H68" s="271"/>
      <c r="I68" s="271"/>
      <c r="J68" s="271"/>
      <c r="K68" s="5"/>
      <c r="L68" s="271"/>
      <c r="M68" s="5"/>
    </row>
    <row r="69" spans="1:13">
      <c r="C69" s="4" t="s">
        <v>24</v>
      </c>
      <c r="D69" s="4" t="s">
        <v>25</v>
      </c>
      <c r="E69" s="4" t="s">
        <v>26</v>
      </c>
      <c r="F69" s="5" t="s">
        <v>12</v>
      </c>
      <c r="G69" s="5"/>
      <c r="H69" s="7" t="s">
        <v>27</v>
      </c>
      <c r="I69" s="5"/>
      <c r="J69" s="8" t="s">
        <v>28</v>
      </c>
      <c r="K69" s="5"/>
      <c r="L69" s="4"/>
      <c r="M69" s="5"/>
    </row>
    <row r="70" spans="1:13" ht="15.75">
      <c r="A70" s="33" t="s">
        <v>13</v>
      </c>
      <c r="B70" s="379"/>
      <c r="C70" s="13"/>
      <c r="D70" s="26" t="s">
        <v>29</v>
      </c>
      <c r="E70" s="434"/>
      <c r="F70" s="434"/>
      <c r="G70" s="434"/>
      <c r="H70" s="33"/>
      <c r="I70" s="434"/>
      <c r="J70" s="33" t="s">
        <v>30</v>
      </c>
      <c r="K70" s="5"/>
      <c r="L70" s="4"/>
      <c r="M70" s="5"/>
    </row>
    <row r="71" spans="1:13" ht="16.5" thickBot="1">
      <c r="A71" s="298" t="s">
        <v>15</v>
      </c>
      <c r="B71" s="379"/>
      <c r="C71" s="289" t="s">
        <v>331</v>
      </c>
      <c r="D71" s="436" t="s">
        <v>31</v>
      </c>
      <c r="E71" s="437" t="s">
        <v>32</v>
      </c>
      <c r="F71" s="10"/>
      <c r="G71" s="438" t="s">
        <v>18</v>
      </c>
      <c r="H71" s="438"/>
      <c r="I71" s="10"/>
      <c r="J71" s="435" t="s">
        <v>420</v>
      </c>
      <c r="K71" s="5"/>
      <c r="L71" s="4"/>
      <c r="M71" s="1"/>
    </row>
    <row r="72" spans="1:13">
      <c r="D72" s="5"/>
      <c r="E72" s="5"/>
      <c r="F72" s="5"/>
      <c r="G72" s="5"/>
      <c r="H72" s="5"/>
      <c r="I72" s="5"/>
      <c r="J72" s="5"/>
      <c r="K72" s="5"/>
      <c r="L72" s="5"/>
      <c r="M72" s="1"/>
    </row>
    <row r="73" spans="1:13">
      <c r="A73" s="32"/>
      <c r="C73" s="3"/>
      <c r="D73" s="5"/>
      <c r="E73" s="5"/>
      <c r="F73" s="5"/>
      <c r="G73" s="5"/>
      <c r="H73" s="5"/>
      <c r="I73" s="5"/>
      <c r="J73" s="5"/>
      <c r="K73" s="5"/>
      <c r="L73" s="5"/>
      <c r="M73" s="1"/>
    </row>
    <row r="74" spans="1:13">
      <c r="A74" s="32"/>
      <c r="C74" s="763" t="s">
        <v>34</v>
      </c>
      <c r="D74" s="5"/>
      <c r="E74" s="5"/>
      <c r="F74" s="5"/>
      <c r="G74" s="5"/>
      <c r="H74" s="5"/>
      <c r="I74" s="5"/>
      <c r="J74" s="5"/>
      <c r="K74" s="5"/>
      <c r="L74" s="5"/>
      <c r="M74" s="1"/>
    </row>
    <row r="75" spans="1:13">
      <c r="A75" s="32">
        <v>1</v>
      </c>
      <c r="C75" s="763" t="s">
        <v>35</v>
      </c>
      <c r="D75" s="930" t="str">
        <f>'DE Ohio &amp; Kentucky'!D77</f>
        <v>205.46.g</v>
      </c>
      <c r="E75" s="492">
        <f>INPUT!D9</f>
        <v>1039170801</v>
      </c>
      <c r="F75" s="5"/>
      <c r="G75" s="5" t="s">
        <v>36</v>
      </c>
      <c r="H75" s="14" t="s">
        <v>12</v>
      </c>
      <c r="I75" s="5"/>
      <c r="J75" s="225" t="s">
        <v>12</v>
      </c>
      <c r="K75" s="5"/>
      <c r="L75" s="5"/>
      <c r="M75" s="1"/>
    </row>
    <row r="76" spans="1:13">
      <c r="A76" s="32">
        <v>2</v>
      </c>
      <c r="C76" s="763" t="s">
        <v>37</v>
      </c>
      <c r="D76" s="930" t="str">
        <f>'DE Ohio &amp; Kentucky'!D78</f>
        <v>207.58.g</v>
      </c>
      <c r="E76" s="366">
        <f>INPUT!D10</f>
        <v>55492167</v>
      </c>
      <c r="F76" s="5"/>
      <c r="G76" s="5" t="s">
        <v>19</v>
      </c>
      <c r="H76" s="14">
        <f>J208</f>
        <v>0.70390552598171197</v>
      </c>
      <c r="I76" s="5"/>
      <c r="J76" s="84">
        <f>ROUND(H76*E76,0)</f>
        <v>39061243</v>
      </c>
      <c r="K76" s="5"/>
      <c r="L76" s="5"/>
      <c r="M76" s="1"/>
    </row>
    <row r="77" spans="1:13">
      <c r="A77" s="32">
        <v>3</v>
      </c>
      <c r="C77" s="763" t="s">
        <v>38</v>
      </c>
      <c r="D77" s="930" t="str">
        <f>'DE Ohio &amp; Kentucky'!D79</f>
        <v>207.75.g</v>
      </c>
      <c r="E77" s="366">
        <f>INPUT!D11</f>
        <v>426635808</v>
      </c>
      <c r="F77" s="5"/>
      <c r="G77" s="5" t="s">
        <v>36</v>
      </c>
      <c r="H77" s="14" t="s">
        <v>12</v>
      </c>
      <c r="I77" s="5"/>
      <c r="J77" s="225" t="s">
        <v>12</v>
      </c>
      <c r="K77" s="5"/>
      <c r="L77" s="5"/>
      <c r="M77" s="1"/>
    </row>
    <row r="78" spans="1:13">
      <c r="A78" s="32">
        <v>4</v>
      </c>
      <c r="C78" s="763" t="s">
        <v>39</v>
      </c>
      <c r="D78" s="930" t="str">
        <f>'DE Ohio &amp; Kentucky'!D80</f>
        <v>205.5.g &amp; 207.99.g</v>
      </c>
      <c r="E78" s="366">
        <f>INPUT!D12</f>
        <v>20215272</v>
      </c>
      <c r="F78" s="5"/>
      <c r="G78" s="5" t="s">
        <v>40</v>
      </c>
      <c r="H78" s="14">
        <f>J226</f>
        <v>3.7046775065328233E-2</v>
      </c>
      <c r="I78" s="5"/>
      <c r="J78" s="225">
        <f>ROUND(H78*E78,0)</f>
        <v>748911</v>
      </c>
      <c r="K78" s="5"/>
      <c r="L78" s="5"/>
      <c r="M78" s="5"/>
    </row>
    <row r="79" spans="1:13" ht="15.75" thickBot="1">
      <c r="A79" s="32">
        <v>5</v>
      </c>
      <c r="C79" s="763" t="s">
        <v>41</v>
      </c>
      <c r="D79" s="930" t="str">
        <f>'DE Ohio &amp; Kentucky'!D81</f>
        <v>356.1</v>
      </c>
      <c r="E79" s="490">
        <f>INPUT!D13</f>
        <v>30902234</v>
      </c>
      <c r="F79" s="5"/>
      <c r="G79" s="5" t="s">
        <v>93</v>
      </c>
      <c r="H79" s="14">
        <f>L230</f>
        <v>2.9743041533906927E-2</v>
      </c>
      <c r="I79" s="5"/>
      <c r="J79" s="226">
        <f>ROUND(H79*E79,0)</f>
        <v>919126</v>
      </c>
      <c r="K79" s="5"/>
      <c r="L79" s="5"/>
      <c r="M79" s="5"/>
    </row>
    <row r="80" spans="1:13">
      <c r="A80" s="32">
        <v>6</v>
      </c>
      <c r="C80" s="765" t="s">
        <v>43</v>
      </c>
      <c r="D80" s="5"/>
      <c r="E80" s="593">
        <f>SUM(E75:E79)</f>
        <v>1572416282</v>
      </c>
      <c r="F80" s="5"/>
      <c r="G80" s="5" t="s">
        <v>44</v>
      </c>
      <c r="H80" s="439">
        <f>IF(J80&gt;0,J80/E80,0)</f>
        <v>2.5902351982895581E-2</v>
      </c>
      <c r="I80" s="5"/>
      <c r="J80" s="84">
        <f>SUM(J75:J79)</f>
        <v>40729280</v>
      </c>
      <c r="K80" s="5"/>
      <c r="L80" s="18"/>
      <c r="M80" s="1"/>
    </row>
    <row r="81" spans="1:13">
      <c r="C81" s="763"/>
      <c r="D81" s="5"/>
      <c r="E81" s="223"/>
      <c r="F81" s="5"/>
      <c r="G81" s="5"/>
      <c r="H81" s="18"/>
      <c r="I81" s="5"/>
      <c r="J81" s="225"/>
      <c r="K81" s="5"/>
      <c r="L81" s="18"/>
      <c r="M81" s="1"/>
    </row>
    <row r="82" spans="1:13">
      <c r="C82" s="763" t="s">
        <v>45</v>
      </c>
      <c r="D82" s="5"/>
      <c r="E82" s="223"/>
      <c r="F82" s="5"/>
      <c r="G82" s="5"/>
      <c r="H82" s="5"/>
      <c r="I82" s="5"/>
      <c r="J82" s="225"/>
      <c r="K82" s="5"/>
      <c r="L82" s="5"/>
      <c r="M82" s="1"/>
    </row>
    <row r="83" spans="1:13">
      <c r="A83" s="32">
        <v>7</v>
      </c>
      <c r="C83" s="763" t="s">
        <v>35</v>
      </c>
      <c r="D83" s="707" t="str">
        <f>'DE Ohio &amp; Kentucky'!D85</f>
        <v>219.20-24.c</v>
      </c>
      <c r="E83" s="492">
        <f>INPUT!D17</f>
        <v>623282995</v>
      </c>
      <c r="F83" s="5"/>
      <c r="G83" s="5" t="str">
        <f t="shared" ref="G83:H87" si="1">G75</f>
        <v>NA</v>
      </c>
      <c r="H83" s="14" t="str">
        <f t="shared" si="1"/>
        <v xml:space="preserve"> </v>
      </c>
      <c r="I83" s="5"/>
      <c r="J83" s="225" t="s">
        <v>12</v>
      </c>
      <c r="K83" s="5"/>
      <c r="L83" s="5"/>
      <c r="M83" s="1"/>
    </row>
    <row r="84" spans="1:13">
      <c r="A84" s="32">
        <v>8</v>
      </c>
      <c r="C84" s="763" t="s">
        <v>37</v>
      </c>
      <c r="D84" s="707" t="str">
        <f>'DE Ohio &amp; Kentucky'!D86</f>
        <v>219.25.c</v>
      </c>
      <c r="E84" s="366">
        <f>INPUT!D18</f>
        <v>18578748</v>
      </c>
      <c r="F84" s="5"/>
      <c r="G84" s="5" t="str">
        <f t="shared" si="1"/>
        <v>TP</v>
      </c>
      <c r="H84" s="14">
        <f t="shared" si="1"/>
        <v>0.70390552598171197</v>
      </c>
      <c r="I84" s="5"/>
      <c r="J84" s="84">
        <f>ROUND(H84*E84,0)</f>
        <v>13077683</v>
      </c>
      <c r="K84" s="5"/>
      <c r="L84" s="5"/>
      <c r="M84" s="1"/>
    </row>
    <row r="85" spans="1:13">
      <c r="A85" s="32">
        <v>9</v>
      </c>
      <c r="C85" s="763" t="s">
        <v>38</v>
      </c>
      <c r="D85" s="707" t="str">
        <f>'DE Ohio &amp; Kentucky'!D87</f>
        <v>219.26.c</v>
      </c>
      <c r="E85" s="366">
        <f>INPUT!D19</f>
        <v>154986633</v>
      </c>
      <c r="F85" s="5"/>
      <c r="G85" s="5" t="str">
        <f t="shared" si="1"/>
        <v>NA</v>
      </c>
      <c r="H85" s="14" t="str">
        <f t="shared" si="1"/>
        <v xml:space="preserve"> </v>
      </c>
      <c r="I85" s="5"/>
      <c r="J85" s="225" t="s">
        <v>12</v>
      </c>
      <c r="K85" s="5"/>
      <c r="L85" s="5"/>
      <c r="M85" s="1"/>
    </row>
    <row r="86" spans="1:13">
      <c r="A86" s="32">
        <v>10</v>
      </c>
      <c r="C86" s="763" t="s">
        <v>39</v>
      </c>
      <c r="D86" s="707" t="str">
        <f>'DE Ohio &amp; Kentucky'!D88</f>
        <v xml:space="preserve">219.28.c </v>
      </c>
      <c r="E86" s="366">
        <f>INPUT!D20</f>
        <v>10842854</v>
      </c>
      <c r="F86" s="5"/>
      <c r="G86" s="5" t="str">
        <f t="shared" si="1"/>
        <v>W/S</v>
      </c>
      <c r="H86" s="14">
        <f t="shared" si="1"/>
        <v>3.7046775065328233E-2</v>
      </c>
      <c r="I86" s="5"/>
      <c r="J86" s="225">
        <f>ROUND(H86*E86,0)</f>
        <v>401693</v>
      </c>
      <c r="K86" s="5"/>
      <c r="L86" s="5"/>
      <c r="M86" s="1"/>
    </row>
    <row r="87" spans="1:13" ht="15.75" thickBot="1">
      <c r="A87" s="32">
        <v>11</v>
      </c>
      <c r="C87" s="763" t="s">
        <v>41</v>
      </c>
      <c r="D87" s="707" t="str">
        <f>'DE Ohio &amp; Kentucky'!D89</f>
        <v>356.1</v>
      </c>
      <c r="E87" s="490">
        <f>INPUT!D21</f>
        <v>26606122</v>
      </c>
      <c r="F87" s="5"/>
      <c r="G87" s="5" t="str">
        <f t="shared" si="1"/>
        <v>CE</v>
      </c>
      <c r="H87" s="14">
        <f t="shared" si="1"/>
        <v>2.9743041533906927E-2</v>
      </c>
      <c r="I87" s="5"/>
      <c r="J87" s="226">
        <f>ROUND(H87*E87,0)</f>
        <v>791347</v>
      </c>
      <c r="K87" s="5"/>
      <c r="L87" s="5"/>
      <c r="M87" s="1"/>
    </row>
    <row r="88" spans="1:13">
      <c r="A88" s="32">
        <v>12</v>
      </c>
      <c r="C88" s="763" t="s">
        <v>46</v>
      </c>
      <c r="D88" s="5"/>
      <c r="E88" s="593">
        <f>SUM(E83:E87)</f>
        <v>834297352</v>
      </c>
      <c r="F88" s="5"/>
      <c r="G88" s="5"/>
      <c r="H88" s="5"/>
      <c r="I88" s="5"/>
      <c r="J88" s="84">
        <f>SUM(J83:J87)</f>
        <v>14270723</v>
      </c>
      <c r="K88" s="5"/>
      <c r="L88" s="5"/>
      <c r="M88" s="1"/>
    </row>
    <row r="89" spans="1:13">
      <c r="A89" s="32"/>
      <c r="C89" s="762"/>
      <c r="D89" s="5" t="s">
        <v>12</v>
      </c>
      <c r="E89" s="223"/>
      <c r="F89" s="5"/>
      <c r="G89" s="5"/>
      <c r="H89" s="18"/>
      <c r="I89" s="5"/>
      <c r="J89" s="225"/>
      <c r="K89" s="5"/>
      <c r="L89" s="18"/>
      <c r="M89" s="1"/>
    </row>
    <row r="90" spans="1:13">
      <c r="A90" s="32"/>
      <c r="C90" s="763" t="s">
        <v>47</v>
      </c>
      <c r="D90" s="5"/>
      <c r="E90" s="223"/>
      <c r="F90" s="5"/>
      <c r="G90" s="5"/>
      <c r="H90" s="5"/>
      <c r="I90" s="5"/>
      <c r="J90" s="225"/>
      <c r="K90" s="5"/>
      <c r="L90" s="5"/>
      <c r="M90" s="1"/>
    </row>
    <row r="91" spans="1:13">
      <c r="A91" s="32">
        <v>13</v>
      </c>
      <c r="C91" s="763" t="s">
        <v>35</v>
      </c>
      <c r="D91" s="707" t="str">
        <f>'DE Ohio &amp; Kentucky'!D93</f>
        <v xml:space="preserve"> (line 1 - line 7)</v>
      </c>
      <c r="E91" s="84">
        <f>E75-E83</f>
        <v>415887806</v>
      </c>
      <c r="F91" s="5"/>
      <c r="G91" s="5"/>
      <c r="H91" s="18"/>
      <c r="I91" s="5"/>
      <c r="J91" s="225" t="s">
        <v>12</v>
      </c>
      <c r="K91" s="5"/>
      <c r="L91" s="18"/>
      <c r="M91" s="1"/>
    </row>
    <row r="92" spans="1:13">
      <c r="A92" s="32">
        <v>14</v>
      </c>
      <c r="C92" s="763" t="s">
        <v>37</v>
      </c>
      <c r="D92" s="707" t="str">
        <f>'DE Ohio &amp; Kentucky'!D94</f>
        <v xml:space="preserve"> (line 2 - line 8)</v>
      </c>
      <c r="E92" s="223">
        <f>E76-E84</f>
        <v>36913419</v>
      </c>
      <c r="F92" s="5"/>
      <c r="G92" s="5"/>
      <c r="H92" s="14"/>
      <c r="I92" s="5"/>
      <c r="J92" s="84">
        <f>J76-J84</f>
        <v>25983560</v>
      </c>
      <c r="K92" s="5"/>
      <c r="L92" s="18"/>
      <c r="M92" s="1"/>
    </row>
    <row r="93" spans="1:13">
      <c r="A93" s="32">
        <v>15</v>
      </c>
      <c r="C93" s="763" t="s">
        <v>38</v>
      </c>
      <c r="D93" s="707" t="str">
        <f>'DE Ohio &amp; Kentucky'!D95</f>
        <v xml:space="preserve"> (line 3 - line 9)</v>
      </c>
      <c r="E93" s="223">
        <f>E77-E85</f>
        <v>271649175</v>
      </c>
      <c r="F93" s="5"/>
      <c r="G93" s="5"/>
      <c r="H93" s="18"/>
      <c r="I93" s="5"/>
      <c r="J93" s="225" t="s">
        <v>12</v>
      </c>
      <c r="K93" s="5"/>
      <c r="L93" s="18"/>
      <c r="M93" s="1"/>
    </row>
    <row r="94" spans="1:13">
      <c r="A94" s="32">
        <v>16</v>
      </c>
      <c r="C94" s="763" t="s">
        <v>39</v>
      </c>
      <c r="D94" s="707" t="str">
        <f>'DE Ohio &amp; Kentucky'!D96</f>
        <v xml:space="preserve"> (line 4 - line 10)</v>
      </c>
      <c r="E94" s="223">
        <f>E78-E86</f>
        <v>9372418</v>
      </c>
      <c r="F94" s="5"/>
      <c r="G94" s="5"/>
      <c r="H94" s="18"/>
      <c r="I94" s="5"/>
      <c r="J94" s="225">
        <f>J78-J86</f>
        <v>347218</v>
      </c>
      <c r="K94" s="5"/>
      <c r="L94" s="18"/>
      <c r="M94" s="1"/>
    </row>
    <row r="95" spans="1:13" ht="15.75" thickBot="1">
      <c r="A95" s="32">
        <v>17</v>
      </c>
      <c r="C95" s="763" t="s">
        <v>41</v>
      </c>
      <c r="D95" s="707" t="str">
        <f>'DE Ohio &amp; Kentucky'!D97</f>
        <v xml:space="preserve"> (line 5 - line 11)</v>
      </c>
      <c r="E95" s="224">
        <f>E79-E87</f>
        <v>4296112</v>
      </c>
      <c r="F95" s="5"/>
      <c r="G95" s="5"/>
      <c r="H95" s="18"/>
      <c r="I95" s="5"/>
      <c r="J95" s="226">
        <f>J79-J87</f>
        <v>127779</v>
      </c>
      <c r="K95" s="5"/>
      <c r="L95" s="18"/>
      <c r="M95" s="1"/>
    </row>
    <row r="96" spans="1:13">
      <c r="A96" s="32">
        <v>18</v>
      </c>
      <c r="C96" s="763" t="s">
        <v>51</v>
      </c>
      <c r="D96" s="5"/>
      <c r="E96" s="84">
        <f>SUM(E91:E95)</f>
        <v>738118930</v>
      </c>
      <c r="F96" s="5"/>
      <c r="G96" s="5" t="s">
        <v>52</v>
      </c>
      <c r="H96" s="18">
        <f>IF(J96&gt;0,J96/E96,0)</f>
        <v>3.5845926617814827E-2</v>
      </c>
      <c r="I96" s="5"/>
      <c r="J96" s="84">
        <f>SUM(J91:J95)</f>
        <v>26458557</v>
      </c>
      <c r="K96" s="5"/>
      <c r="L96" s="5"/>
      <c r="M96" s="1"/>
    </row>
    <row r="97" spans="1:13">
      <c r="A97" s="32"/>
      <c r="C97" s="762"/>
      <c r="D97" s="5"/>
      <c r="E97" s="223"/>
      <c r="F97" s="5"/>
      <c r="I97" s="5"/>
      <c r="J97" s="225"/>
      <c r="K97" s="5"/>
      <c r="L97" s="18"/>
      <c r="M97" s="1"/>
    </row>
    <row r="98" spans="1:13">
      <c r="A98" s="32"/>
      <c r="C98" s="766" t="s">
        <v>451</v>
      </c>
      <c r="D98" s="5"/>
      <c r="E98" s="223"/>
      <c r="F98" s="5"/>
      <c r="G98" s="5"/>
      <c r="H98" s="5"/>
      <c r="I98" s="5"/>
      <c r="J98" s="225"/>
      <c r="K98" s="5"/>
      <c r="L98" s="5"/>
      <c r="M98" s="1"/>
    </row>
    <row r="99" spans="1:13">
      <c r="A99" s="32">
        <v>19</v>
      </c>
      <c r="C99" s="763" t="s">
        <v>142</v>
      </c>
      <c r="D99" s="707" t="str">
        <f>'DE Ohio &amp; Kentucky'!D101</f>
        <v>273.8.k</v>
      </c>
      <c r="E99" s="492">
        <f>INPUT!D33</f>
        <v>-190426</v>
      </c>
      <c r="F99" s="37"/>
      <c r="G99" s="37" t="str">
        <f>G83</f>
        <v>NA</v>
      </c>
      <c r="H99" s="81" t="s">
        <v>176</v>
      </c>
      <c r="I99" s="5"/>
      <c r="J99" s="84">
        <v>0</v>
      </c>
      <c r="K99" s="5"/>
      <c r="L99" s="18"/>
      <c r="M99" s="1"/>
    </row>
    <row r="100" spans="1:13">
      <c r="A100" s="32">
        <v>20</v>
      </c>
      <c r="C100" s="763" t="s">
        <v>143</v>
      </c>
      <c r="D100" s="707" t="str">
        <f>'DE Ohio &amp; Kentucky'!D102</f>
        <v>275.2.k</v>
      </c>
      <c r="E100" s="601">
        <f>INPUT!D34</f>
        <v>-242121000</v>
      </c>
      <c r="F100" s="5"/>
      <c r="G100" s="5" t="s">
        <v>54</v>
      </c>
      <c r="H100" s="14">
        <f>H96</f>
        <v>3.5845926617814827E-2</v>
      </c>
      <c r="I100" s="5"/>
      <c r="J100" s="225">
        <f>ROUND(H100*E100,0)</f>
        <v>-8679052</v>
      </c>
      <c r="K100" s="5"/>
      <c r="L100" s="18"/>
      <c r="M100" s="1"/>
    </row>
    <row r="101" spans="1:13">
      <c r="A101" s="32">
        <v>21</v>
      </c>
      <c r="C101" s="763" t="s">
        <v>144</v>
      </c>
      <c r="D101" s="707" t="str">
        <f>'DE Ohio &amp; Kentucky'!D103</f>
        <v>277.9.k</v>
      </c>
      <c r="E101" s="601">
        <f>INPUT!D35</f>
        <v>-19340308</v>
      </c>
      <c r="F101" s="5"/>
      <c r="G101" s="5" t="s">
        <v>54</v>
      </c>
      <c r="H101" s="14">
        <f>H100</f>
        <v>3.5845926617814827E-2</v>
      </c>
      <c r="I101" s="5"/>
      <c r="J101" s="225">
        <f>ROUND(H101*E101,0)</f>
        <v>-693271</v>
      </c>
      <c r="K101" s="5"/>
      <c r="L101" s="18"/>
      <c r="M101" s="1"/>
    </row>
    <row r="102" spans="1:13">
      <c r="A102" s="32">
        <v>22</v>
      </c>
      <c r="C102" s="763" t="s">
        <v>146</v>
      </c>
      <c r="D102" s="707" t="str">
        <f>'DE Ohio &amp; Kentucky'!D104</f>
        <v>234.8.c</v>
      </c>
      <c r="E102" s="601">
        <f>INPUT!D36</f>
        <v>27093793</v>
      </c>
      <c r="F102" s="5"/>
      <c r="G102" s="5" t="str">
        <f>G101</f>
        <v>NP</v>
      </c>
      <c r="H102" s="14">
        <f>H101</f>
        <v>3.5845926617814827E-2</v>
      </c>
      <c r="I102" s="5"/>
      <c r="J102" s="225">
        <f>ROUND(H102*E102,0)</f>
        <v>971202</v>
      </c>
      <c r="K102" s="5"/>
      <c r="L102" s="18"/>
      <c r="M102" s="1"/>
    </row>
    <row r="103" spans="1:13" ht="15.75" thickBot="1">
      <c r="A103" s="32">
        <v>23</v>
      </c>
      <c r="C103" s="764" t="s">
        <v>145</v>
      </c>
      <c r="D103" s="707" t="str">
        <f>'DE Ohio &amp; Kentucky'!D105</f>
        <v>267.8.h</v>
      </c>
      <c r="E103" s="602">
        <f>INPUT!D37</f>
        <v>0</v>
      </c>
      <c r="F103" s="5"/>
      <c r="G103" s="5" t="s">
        <v>54</v>
      </c>
      <c r="H103" s="14">
        <f>H101</f>
        <v>3.5845926617814827E-2</v>
      </c>
      <c r="I103" s="5"/>
      <c r="J103" s="226">
        <f>ROUND(H103*E103,0)</f>
        <v>0</v>
      </c>
      <c r="K103" s="5"/>
      <c r="L103" s="18"/>
      <c r="M103" s="1"/>
    </row>
    <row r="104" spans="1:13">
      <c r="A104" s="32">
        <v>24</v>
      </c>
      <c r="C104" s="763" t="s">
        <v>705</v>
      </c>
      <c r="D104" s="707"/>
      <c r="E104" s="593">
        <f>SUM(E99:E103)</f>
        <v>-234557941</v>
      </c>
      <c r="F104" s="5"/>
      <c r="G104" s="5"/>
      <c r="H104" s="5"/>
      <c r="I104" s="5"/>
      <c r="J104" s="84">
        <f>SUM(J99:J103)</f>
        <v>-8401121</v>
      </c>
      <c r="K104" s="5"/>
      <c r="L104" s="5"/>
      <c r="M104" s="1"/>
    </row>
    <row r="105" spans="1:13">
      <c r="A105" s="32"/>
      <c r="C105" s="762"/>
      <c r="D105" s="5"/>
      <c r="E105" s="223"/>
      <c r="F105" s="5"/>
      <c r="G105" s="5"/>
      <c r="H105" s="18"/>
      <c r="I105" s="5"/>
      <c r="J105" s="225"/>
      <c r="K105" s="5"/>
      <c r="L105" s="18"/>
      <c r="M105" s="1"/>
    </row>
    <row r="106" spans="1:13">
      <c r="A106" s="32">
        <v>25</v>
      </c>
      <c r="C106" s="766" t="s">
        <v>432</v>
      </c>
      <c r="D106" s="707" t="str">
        <f>'DE Ohio &amp; Kentucky'!D108</f>
        <v xml:space="preserve">214.x.d  </v>
      </c>
      <c r="E106" s="492">
        <f>INPUT!D40</f>
        <v>0</v>
      </c>
      <c r="F106" s="5"/>
      <c r="G106" s="37" t="s">
        <v>12</v>
      </c>
      <c r="H106" s="491">
        <v>1</v>
      </c>
      <c r="I106" s="5"/>
      <c r="J106" s="84">
        <f>ROUND(H106*E106,0)</f>
        <v>0</v>
      </c>
      <c r="K106" s="5"/>
      <c r="L106" s="5"/>
      <c r="M106" s="1"/>
    </row>
    <row r="107" spans="1:13">
      <c r="A107" s="32"/>
      <c r="C107" s="763"/>
      <c r="D107" s="5"/>
      <c r="E107" s="223"/>
      <c r="F107" s="5"/>
      <c r="G107" s="5"/>
      <c r="H107" s="5"/>
      <c r="I107" s="5"/>
      <c r="J107" s="225"/>
      <c r="K107" s="5"/>
      <c r="L107" s="5"/>
      <c r="M107" s="1"/>
    </row>
    <row r="108" spans="1:13">
      <c r="A108" s="32"/>
      <c r="C108" s="767" t="s">
        <v>452</v>
      </c>
      <c r="D108" s="5" t="s">
        <v>12</v>
      </c>
      <c r="E108" s="223"/>
      <c r="F108" s="5"/>
      <c r="G108" s="5"/>
      <c r="H108" s="5"/>
      <c r="I108" s="5"/>
      <c r="J108" s="225"/>
      <c r="K108" s="5"/>
      <c r="L108" s="5"/>
      <c r="M108" s="1"/>
    </row>
    <row r="109" spans="1:13">
      <c r="A109" s="32">
        <v>26</v>
      </c>
      <c r="C109" s="763" t="s">
        <v>170</v>
      </c>
      <c r="D109" s="707" t="str">
        <f>'DE Ohio &amp; Kentucky'!D111</f>
        <v>calculated</v>
      </c>
      <c r="E109" s="593">
        <f>ROUND(E149/8,0)</f>
        <v>2660362</v>
      </c>
      <c r="F109" s="5"/>
      <c r="G109" s="5"/>
      <c r="H109" s="18"/>
      <c r="I109" s="5"/>
      <c r="J109" s="225">
        <f>ROUND(J149/8,0)</f>
        <v>228556</v>
      </c>
      <c r="K109" s="1"/>
      <c r="L109" s="18"/>
      <c r="M109" s="1"/>
    </row>
    <row r="110" spans="1:13">
      <c r="A110" s="32">
        <v>27</v>
      </c>
      <c r="C110" s="767" t="s">
        <v>453</v>
      </c>
      <c r="D110" s="707" t="str">
        <f>'DE Ohio &amp; Kentucky'!D112</f>
        <v>227.8.c &amp; 227.16.c</v>
      </c>
      <c r="E110" s="366">
        <f>INPUT!D44</f>
        <v>4448</v>
      </c>
      <c r="F110" s="5"/>
      <c r="G110" s="5" t="s">
        <v>55</v>
      </c>
      <c r="H110" s="14">
        <f>J218</f>
        <v>0.67983496724036341</v>
      </c>
      <c r="I110" s="5"/>
      <c r="J110" s="225">
        <f>ROUND(H110*E110,0)</f>
        <v>3024</v>
      </c>
      <c r="K110" s="5" t="s">
        <v>12</v>
      </c>
      <c r="L110" s="18"/>
      <c r="M110" s="1"/>
    </row>
    <row r="111" spans="1:13" ht="15.75" thickBot="1">
      <c r="A111" s="32">
        <v>28</v>
      </c>
      <c r="C111" s="763" t="s">
        <v>148</v>
      </c>
      <c r="D111" s="707" t="str">
        <f>'DE Ohio &amp; Kentucky'!D113</f>
        <v>111.57.c</v>
      </c>
      <c r="E111" s="490">
        <f>INPUT!D45</f>
        <v>491138</v>
      </c>
      <c r="F111" s="5"/>
      <c r="G111" s="5" t="s">
        <v>56</v>
      </c>
      <c r="H111" s="14">
        <f>H80</f>
        <v>2.5902351982895581E-2</v>
      </c>
      <c r="I111" s="5"/>
      <c r="J111" s="226">
        <f>ROUND(H111*E111,0)</f>
        <v>12722</v>
      </c>
      <c r="K111" s="5"/>
      <c r="L111" s="18"/>
      <c r="M111" s="1"/>
    </row>
    <row r="112" spans="1:13">
      <c r="A112" s="32">
        <v>29</v>
      </c>
      <c r="C112" s="763" t="s">
        <v>57</v>
      </c>
      <c r="D112" s="1"/>
      <c r="E112" s="364">
        <f>E109+E110+E111</f>
        <v>3155948</v>
      </c>
      <c r="F112" s="1"/>
      <c r="G112" s="1"/>
      <c r="H112" s="1"/>
      <c r="I112" s="1"/>
      <c r="J112" s="364">
        <f>J109+J110+J111</f>
        <v>244302</v>
      </c>
      <c r="K112" s="1"/>
      <c r="L112" s="1"/>
      <c r="M112" s="1"/>
    </row>
    <row r="113" spans="1:13" ht="15.75" thickBot="1">
      <c r="C113" s="762"/>
      <c r="D113" s="5"/>
      <c r="E113" s="226"/>
      <c r="F113" s="5"/>
      <c r="G113" s="5"/>
      <c r="H113" s="5"/>
      <c r="I113" s="5"/>
      <c r="J113" s="226"/>
      <c r="K113" s="5"/>
      <c r="L113" s="5"/>
      <c r="M113" s="1"/>
    </row>
    <row r="114" spans="1:13" ht="15.75" thickBot="1">
      <c r="A114" s="32">
        <v>30</v>
      </c>
      <c r="C114" s="763" t="s">
        <v>147</v>
      </c>
      <c r="D114" s="5"/>
      <c r="E114" s="365">
        <f>E112+E106+E104+E96</f>
        <v>506716937</v>
      </c>
      <c r="F114" s="5"/>
      <c r="G114" s="5"/>
      <c r="H114" s="18"/>
      <c r="I114" s="5"/>
      <c r="J114" s="365">
        <f>J112+J106+J104+J96</f>
        <v>18301738</v>
      </c>
      <c r="K114" s="5"/>
      <c r="L114" s="18"/>
      <c r="M114" s="5"/>
    </row>
    <row r="115" spans="1:13" ht="15.75" thickTop="1">
      <c r="A115" s="32"/>
      <c r="C115" s="3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>
      <c r="A116" s="32"/>
      <c r="C116" s="29"/>
      <c r="D116" s="29"/>
      <c r="E116" s="30"/>
      <c r="F116" s="29"/>
      <c r="G116" s="29"/>
      <c r="H116" s="29"/>
      <c r="I116" s="31"/>
      <c r="K116" s="32"/>
      <c r="L116" s="92"/>
      <c r="M116" s="32"/>
    </row>
    <row r="117" spans="1:13" ht="18">
      <c r="A117" s="245"/>
      <c r="C117" s="29"/>
      <c r="D117" s="29"/>
      <c r="E117" s="30"/>
      <c r="F117" s="29"/>
      <c r="G117" s="29"/>
      <c r="H117" s="29"/>
      <c r="I117" s="31"/>
      <c r="J117" s="77" t="s">
        <v>365</v>
      </c>
      <c r="K117" s="91"/>
      <c r="M117" s="91"/>
    </row>
    <row r="118" spans="1:13">
      <c r="C118" s="29"/>
      <c r="D118" s="29"/>
      <c r="E118" s="30"/>
      <c r="F118" s="29"/>
      <c r="G118" s="29"/>
      <c r="H118" s="29"/>
      <c r="I118" s="31"/>
      <c r="J118" s="77" t="s">
        <v>567</v>
      </c>
      <c r="M118" s="77"/>
    </row>
    <row r="119" spans="1:13">
      <c r="C119" s="29"/>
      <c r="D119" s="29"/>
      <c r="E119" s="30"/>
      <c r="F119" s="29"/>
      <c r="G119" s="29"/>
      <c r="H119" s="29"/>
      <c r="I119" s="31"/>
      <c r="J119" s="77"/>
      <c r="M119" s="77"/>
    </row>
    <row r="120" spans="1:13">
      <c r="C120" s="29"/>
      <c r="D120" s="29"/>
      <c r="E120" s="30"/>
      <c r="F120" s="29"/>
      <c r="G120" s="29"/>
      <c r="H120" s="29"/>
      <c r="I120" s="31"/>
      <c r="M120" s="77"/>
    </row>
    <row r="121" spans="1:13">
      <c r="C121" s="29"/>
      <c r="D121" s="29"/>
      <c r="E121" s="30"/>
      <c r="F121" s="29"/>
      <c r="G121" s="29"/>
      <c r="H121" s="29"/>
      <c r="I121" s="31"/>
      <c r="K121" s="1"/>
      <c r="M121" s="77"/>
    </row>
    <row r="122" spans="1:13">
      <c r="C122" s="29"/>
      <c r="D122" s="29"/>
      <c r="E122" s="30"/>
      <c r="F122" s="29"/>
      <c r="G122" s="29"/>
      <c r="H122" s="29"/>
      <c r="I122" s="31"/>
      <c r="J122" s="77"/>
      <c r="K122" s="1"/>
      <c r="M122" s="77"/>
    </row>
    <row r="123" spans="1:13">
      <c r="C123" s="29" t="s">
        <v>11</v>
      </c>
      <c r="D123" s="29"/>
      <c r="E123" s="30"/>
      <c r="F123" s="29"/>
      <c r="G123" s="29"/>
      <c r="H123" s="29"/>
      <c r="I123" s="31"/>
      <c r="J123" s="92" t="str">
        <f>J7</f>
        <v>For the 12 months ended: 12/31/2016</v>
      </c>
      <c r="K123" s="1"/>
      <c r="M123" s="77"/>
    </row>
    <row r="124" spans="1:13">
      <c r="A124" s="275" t="str">
        <f>A8</f>
        <v>Rate Formula Template</v>
      </c>
      <c r="B124" s="277"/>
      <c r="C124" s="277"/>
      <c r="D124" s="275"/>
      <c r="E124" s="277"/>
      <c r="F124" s="275"/>
      <c r="G124" s="275"/>
      <c r="H124" s="275"/>
      <c r="I124" s="275"/>
      <c r="J124" s="277"/>
      <c r="K124" s="5"/>
      <c r="L124" s="277"/>
      <c r="M124" s="1"/>
    </row>
    <row r="125" spans="1:13">
      <c r="A125" s="278" t="s">
        <v>327</v>
      </c>
      <c r="B125" s="277"/>
      <c r="C125" s="275"/>
      <c r="D125" s="278"/>
      <c r="E125" s="277"/>
      <c r="F125" s="278"/>
      <c r="G125" s="278"/>
      <c r="H125" s="278"/>
      <c r="I125" s="275"/>
      <c r="J125" s="275"/>
      <c r="K125" s="5"/>
      <c r="L125" s="271"/>
      <c r="M125" s="1"/>
    </row>
    <row r="126" spans="1:13">
      <c r="A126" s="271"/>
      <c r="B126" s="277"/>
      <c r="C126" s="271"/>
      <c r="D126" s="271"/>
      <c r="E126" s="277"/>
      <c r="F126" s="271"/>
      <c r="G126" s="271"/>
      <c r="H126" s="271"/>
      <c r="I126" s="271"/>
      <c r="J126" s="271"/>
      <c r="K126" s="5"/>
      <c r="L126" s="271"/>
      <c r="M126" s="1"/>
    </row>
    <row r="127" spans="1:13" ht="15.75">
      <c r="A127" s="274" t="s">
        <v>216</v>
      </c>
      <c r="B127" s="277"/>
      <c r="C127" s="271"/>
      <c r="D127" s="271"/>
      <c r="E127" s="277"/>
      <c r="F127" s="271"/>
      <c r="G127" s="271"/>
      <c r="H127" s="271"/>
      <c r="I127" s="271"/>
      <c r="J127" s="271"/>
      <c r="K127" s="5"/>
      <c r="L127" s="271"/>
      <c r="M127" s="5"/>
    </row>
    <row r="128" spans="1:13">
      <c r="A128" s="32"/>
      <c r="K128" s="5"/>
      <c r="L128" s="5"/>
      <c r="M128" s="5"/>
    </row>
    <row r="129" spans="1:13" ht="15.75">
      <c r="A129" s="32"/>
      <c r="C129" s="4" t="s">
        <v>24</v>
      </c>
      <c r="D129" s="4" t="s">
        <v>25</v>
      </c>
      <c r="E129" s="4" t="s">
        <v>26</v>
      </c>
      <c r="F129" s="5" t="s">
        <v>12</v>
      </c>
      <c r="G129" s="5"/>
      <c r="H129" s="7" t="s">
        <v>27</v>
      </c>
      <c r="I129" s="5"/>
      <c r="J129" s="8" t="s">
        <v>28</v>
      </c>
      <c r="K129" s="5"/>
      <c r="L129" s="33"/>
      <c r="M129" s="31"/>
    </row>
    <row r="130" spans="1:13" ht="15.75">
      <c r="A130" s="58" t="s">
        <v>13</v>
      </c>
      <c r="C130" s="3"/>
      <c r="D130" s="6" t="s">
        <v>29</v>
      </c>
      <c r="E130" s="5"/>
      <c r="F130" s="5"/>
      <c r="G130" s="5"/>
      <c r="H130" s="32"/>
      <c r="I130" s="5"/>
      <c r="J130" s="32" t="s">
        <v>30</v>
      </c>
      <c r="K130" s="5"/>
      <c r="L130" s="33"/>
      <c r="M130" s="5"/>
    </row>
    <row r="131" spans="1:13" ht="15.75">
      <c r="A131" s="288" t="s">
        <v>15</v>
      </c>
      <c r="B131" s="290"/>
      <c r="C131" s="293"/>
      <c r="D131" s="403" t="s">
        <v>31</v>
      </c>
      <c r="E131" s="404" t="s">
        <v>32</v>
      </c>
      <c r="F131" s="405"/>
      <c r="G131" s="406" t="s">
        <v>18</v>
      </c>
      <c r="H131" s="292"/>
      <c r="I131" s="405"/>
      <c r="J131" s="291" t="s">
        <v>420</v>
      </c>
      <c r="K131" s="5"/>
      <c r="L131" s="33"/>
      <c r="M131" s="51"/>
    </row>
    <row r="132" spans="1:13" ht="15.75">
      <c r="C132" s="3"/>
      <c r="D132" s="5"/>
      <c r="E132" s="9"/>
      <c r="F132" s="10"/>
      <c r="G132" s="11"/>
      <c r="I132" s="10"/>
      <c r="J132" s="9"/>
      <c r="K132" s="5"/>
      <c r="L132" s="5"/>
      <c r="M132" s="5"/>
    </row>
    <row r="133" spans="1:13">
      <c r="A133" s="32"/>
      <c r="C133" s="793" t="s">
        <v>58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>
      <c r="A134" s="32">
        <v>1</v>
      </c>
      <c r="C134" s="793" t="s">
        <v>59</v>
      </c>
      <c r="D134" s="707" t="str">
        <f>'DE Ohio &amp; Kentucky'!D136</f>
        <v>321.112.b</v>
      </c>
      <c r="E134" s="593">
        <f>INPUT!D51</f>
        <v>19417545</v>
      </c>
      <c r="F134" s="5"/>
      <c r="G134" s="5" t="s">
        <v>55</v>
      </c>
      <c r="H134" s="14">
        <f>J218</f>
        <v>0.67983496724036341</v>
      </c>
      <c r="I134" s="5"/>
      <c r="J134" s="364">
        <f>ROUND(H134*E134,0)</f>
        <v>13200726</v>
      </c>
      <c r="K134" s="1"/>
      <c r="L134" s="5"/>
      <c r="M134" s="5"/>
    </row>
    <row r="135" spans="1:13">
      <c r="A135" s="233" t="s">
        <v>3</v>
      </c>
      <c r="B135" s="67"/>
      <c r="C135" s="800" t="s">
        <v>442</v>
      </c>
      <c r="D135" s="707" t="str">
        <f>'DE Ohio &amp; Kentucky'!D137</f>
        <v>321.88.b, 92.b; 322.121.b</v>
      </c>
      <c r="E135" s="366">
        <f>INPUT!D52</f>
        <v>1460340</v>
      </c>
      <c r="F135" s="37"/>
      <c r="G135" s="37"/>
      <c r="H135" s="64">
        <v>1</v>
      </c>
      <c r="I135" s="37"/>
      <c r="J135" s="225">
        <f>ROUND(H135*E135,0)</f>
        <v>1460340</v>
      </c>
      <c r="K135" s="1"/>
      <c r="L135" s="5"/>
      <c r="M135" s="5"/>
    </row>
    <row r="136" spans="1:13">
      <c r="A136" s="233" t="s">
        <v>296</v>
      </c>
      <c r="B136" s="67"/>
      <c r="C136" s="798" t="s">
        <v>760</v>
      </c>
      <c r="D136" s="707" t="str">
        <f>'DE Ohio &amp; Kentucky'!D138</f>
        <v>(Note X)</v>
      </c>
      <c r="E136" s="366">
        <f>INPUT!D53</f>
        <v>0</v>
      </c>
      <c r="F136" s="37"/>
      <c r="G136" s="5" t="s">
        <v>55</v>
      </c>
      <c r="H136" s="14">
        <f>J$218</f>
        <v>0.67983496724036341</v>
      </c>
      <c r="I136" s="37"/>
      <c r="J136" s="225">
        <f>ROUND(H136*E136,0)</f>
        <v>0</v>
      </c>
      <c r="K136" s="1"/>
      <c r="L136" s="5"/>
      <c r="M136" s="5"/>
    </row>
    <row r="137" spans="1:13" s="933" customFormat="1">
      <c r="A137" s="809" t="s">
        <v>299</v>
      </c>
      <c r="B137" s="839"/>
      <c r="C137" s="798" t="s">
        <v>824</v>
      </c>
      <c r="D137" s="807" t="s">
        <v>822</v>
      </c>
      <c r="E137" s="601">
        <f>INPUT!D54</f>
        <v>58293</v>
      </c>
      <c r="F137" s="807"/>
      <c r="G137" s="835" t="s">
        <v>55</v>
      </c>
      <c r="H137" s="14">
        <f>J$218</f>
        <v>0.67983496724036341</v>
      </c>
      <c r="I137" s="807"/>
      <c r="J137" s="599">
        <f>ROUND(H137*E137,0)</f>
        <v>39630</v>
      </c>
      <c r="K137" s="867"/>
      <c r="L137" s="835"/>
      <c r="M137" s="835"/>
    </row>
    <row r="138" spans="1:13">
      <c r="A138" s="32">
        <v>2</v>
      </c>
      <c r="C138" s="798" t="s">
        <v>4</v>
      </c>
      <c r="D138" s="707" t="str">
        <f>'DE Ohio &amp; Kentucky'!D140</f>
        <v>321.96.b</v>
      </c>
      <c r="E138" s="366">
        <f>INPUT!D55</f>
        <v>15553606</v>
      </c>
      <c r="F138" s="5"/>
      <c r="G138" s="5" t="s">
        <v>55</v>
      </c>
      <c r="H138" s="14">
        <f>J$218</f>
        <v>0.67983496724036341</v>
      </c>
      <c r="I138" s="5"/>
      <c r="J138" s="225">
        <f t="shared" ref="J138:J148" si="2">ROUND(H138*E138,0)</f>
        <v>10573885</v>
      </c>
      <c r="K138" s="1"/>
      <c r="L138" s="5"/>
      <c r="M138" s="5"/>
    </row>
    <row r="139" spans="1:13">
      <c r="A139" s="233">
        <v>3</v>
      </c>
      <c r="B139" s="67"/>
      <c r="C139" s="803" t="s">
        <v>60</v>
      </c>
      <c r="D139" s="707" t="str">
        <f>'DE Ohio &amp; Kentucky'!D141</f>
        <v>323.197.b</v>
      </c>
      <c r="E139" s="223">
        <f>'P5 Schedule 1 Charges acct 561'!D21</f>
        <v>18884831</v>
      </c>
      <c r="F139" s="37"/>
      <c r="G139" s="37" t="s">
        <v>40</v>
      </c>
      <c r="H139" s="64">
        <f t="shared" ref="H139:H145" si="3">$J$226</f>
        <v>3.7046775065328233E-2</v>
      </c>
      <c r="I139" s="37"/>
      <c r="J139" s="225">
        <f t="shared" si="2"/>
        <v>699622</v>
      </c>
      <c r="K139" s="5"/>
      <c r="L139" s="5" t="s">
        <v>12</v>
      </c>
      <c r="M139" s="5"/>
    </row>
    <row r="140" spans="1:13">
      <c r="A140" s="233" t="s">
        <v>465</v>
      </c>
      <c r="B140" s="67"/>
      <c r="C140" s="802" t="s">
        <v>467</v>
      </c>
      <c r="D140" s="707" t="str">
        <f>'DE Ohio &amp; Kentucky'!D142</f>
        <v>(Note E)</v>
      </c>
      <c r="E140" s="366">
        <f>INPUT!D57</f>
        <v>-197459</v>
      </c>
      <c r="F140" s="37"/>
      <c r="G140" s="37" t="s">
        <v>40</v>
      </c>
      <c r="H140" s="64">
        <f t="shared" si="3"/>
        <v>3.7046775065328233E-2</v>
      </c>
      <c r="I140" s="37"/>
      <c r="J140" s="225">
        <f t="shared" si="2"/>
        <v>-7315</v>
      </c>
      <c r="K140" s="5"/>
      <c r="L140" s="5"/>
      <c r="M140" s="5"/>
    </row>
    <row r="141" spans="1:13">
      <c r="A141" s="233" t="s">
        <v>466</v>
      </c>
      <c r="B141" s="67"/>
      <c r="C141" s="802" t="s">
        <v>468</v>
      </c>
      <c r="D141" s="707" t="str">
        <f>'DE Ohio &amp; Kentucky'!D143</f>
        <v>(Note E)</v>
      </c>
      <c r="E141" s="366">
        <f>INPUT!D58</f>
        <v>575908</v>
      </c>
      <c r="F141" s="37"/>
      <c r="G141" s="37" t="s">
        <v>40</v>
      </c>
      <c r="H141" s="64">
        <f t="shared" si="3"/>
        <v>3.7046775065328233E-2</v>
      </c>
      <c r="I141" s="37"/>
      <c r="J141" s="225">
        <f t="shared" si="2"/>
        <v>21336</v>
      </c>
      <c r="K141" s="5"/>
      <c r="L141" s="5"/>
      <c r="M141" s="5"/>
    </row>
    <row r="142" spans="1:13">
      <c r="A142" s="233" t="s">
        <v>637</v>
      </c>
      <c r="B142" s="67"/>
      <c r="C142" s="798" t="s">
        <v>766</v>
      </c>
      <c r="D142" s="707" t="str">
        <f>'DE Ohio &amp; Kentucky'!D144</f>
        <v>(Note Y)</v>
      </c>
      <c r="E142" s="366">
        <f>INPUT!D59</f>
        <v>0</v>
      </c>
      <c r="F142" s="37"/>
      <c r="G142" s="37" t="s">
        <v>40</v>
      </c>
      <c r="H142" s="64">
        <f t="shared" si="3"/>
        <v>3.7046775065328233E-2</v>
      </c>
      <c r="I142" s="37"/>
      <c r="J142" s="225">
        <f t="shared" si="2"/>
        <v>0</v>
      </c>
      <c r="K142" s="5"/>
      <c r="L142" s="5"/>
      <c r="M142" s="5"/>
    </row>
    <row r="143" spans="1:13" s="839" customFormat="1">
      <c r="A143" s="809"/>
      <c r="C143" s="802" t="s">
        <v>767</v>
      </c>
      <c r="D143" s="807"/>
      <c r="E143" s="223"/>
      <c r="F143" s="807"/>
      <c r="G143" s="807"/>
      <c r="H143" s="64"/>
      <c r="I143" s="807"/>
      <c r="J143" s="223"/>
      <c r="K143" s="807"/>
      <c r="L143" s="807"/>
      <c r="M143" s="807"/>
    </row>
    <row r="144" spans="1:13">
      <c r="A144" s="233">
        <v>4</v>
      </c>
      <c r="B144" s="67"/>
      <c r="C144" s="802" t="s">
        <v>427</v>
      </c>
      <c r="D144" s="756" t="s">
        <v>682</v>
      </c>
      <c r="E144" s="366">
        <f>INPUT!D61</f>
        <v>0</v>
      </c>
      <c r="F144" s="37"/>
      <c r="G144" s="37" t="s">
        <v>40</v>
      </c>
      <c r="H144" s="64">
        <f t="shared" si="3"/>
        <v>3.7046775065328233E-2</v>
      </c>
      <c r="I144" s="37"/>
      <c r="J144" s="225">
        <f t="shared" si="2"/>
        <v>0</v>
      </c>
      <c r="K144" s="5"/>
      <c r="L144" s="5"/>
      <c r="M144" s="5"/>
    </row>
    <row r="145" spans="1:13">
      <c r="A145" s="233">
        <v>5</v>
      </c>
      <c r="B145" s="67"/>
      <c r="C145" s="800" t="s">
        <v>443</v>
      </c>
      <c r="D145" s="37"/>
      <c r="E145" s="366">
        <f>INPUT!D62</f>
        <v>720606</v>
      </c>
      <c r="F145" s="37"/>
      <c r="G145" s="37" t="s">
        <v>40</v>
      </c>
      <c r="H145" s="64">
        <f t="shared" si="3"/>
        <v>3.7046775065328233E-2</v>
      </c>
      <c r="I145" s="37"/>
      <c r="J145" s="225">
        <f t="shared" si="2"/>
        <v>26696</v>
      </c>
      <c r="K145" s="5"/>
      <c r="L145" s="5"/>
      <c r="M145" s="5"/>
    </row>
    <row r="146" spans="1:13">
      <c r="A146" s="447" t="s">
        <v>175</v>
      </c>
      <c r="B146" s="67"/>
      <c r="C146" s="800" t="s">
        <v>444</v>
      </c>
      <c r="D146" s="37"/>
      <c r="E146" s="366">
        <f>INPUT!D63</f>
        <v>0</v>
      </c>
      <c r="F146" s="37"/>
      <c r="G146" s="63" t="str">
        <f>G134</f>
        <v>TE</v>
      </c>
      <c r="H146" s="64">
        <f>H134</f>
        <v>0.67983496724036341</v>
      </c>
      <c r="I146" s="37"/>
      <c r="J146" s="225">
        <f t="shared" si="2"/>
        <v>0</v>
      </c>
      <c r="K146" s="5"/>
      <c r="L146" s="5"/>
      <c r="M146" s="5"/>
    </row>
    <row r="147" spans="1:13">
      <c r="A147" s="233">
        <v>6</v>
      </c>
      <c r="B147" s="67"/>
      <c r="C147" s="803" t="s">
        <v>41</v>
      </c>
      <c r="D147" s="707" t="str">
        <f>'DE Ohio &amp; Kentucky'!D149</f>
        <v>356.1</v>
      </c>
      <c r="E147" s="366">
        <f>INPUT!D64</f>
        <v>0</v>
      </c>
      <c r="F147" s="37"/>
      <c r="G147" s="37" t="s">
        <v>93</v>
      </c>
      <c r="H147" s="64">
        <f>H87</f>
        <v>2.9743041533906927E-2</v>
      </c>
      <c r="I147" s="37"/>
      <c r="J147" s="225">
        <f t="shared" si="2"/>
        <v>0</v>
      </c>
      <c r="K147" s="5"/>
      <c r="L147" s="5"/>
      <c r="M147" s="5"/>
    </row>
    <row r="148" spans="1:13" ht="15.75" thickBot="1">
      <c r="A148" s="233">
        <v>7</v>
      </c>
      <c r="B148" s="67"/>
      <c r="C148" s="803" t="s">
        <v>61</v>
      </c>
      <c r="D148" s="37"/>
      <c r="E148" s="490">
        <f>INPUT!D65</f>
        <v>0</v>
      </c>
      <c r="F148" s="37"/>
      <c r="G148" s="37" t="s">
        <v>12</v>
      </c>
      <c r="H148" s="491">
        <v>1</v>
      </c>
      <c r="I148" s="37"/>
      <c r="J148" s="226">
        <f t="shared" si="2"/>
        <v>0</v>
      </c>
      <c r="K148" s="5"/>
      <c r="L148" s="5"/>
      <c r="M148" s="5"/>
    </row>
    <row r="149" spans="1:13" s="839" customFormat="1">
      <c r="A149" s="809">
        <v>8</v>
      </c>
      <c r="C149" s="803" t="s">
        <v>778</v>
      </c>
      <c r="D149" s="807"/>
      <c r="E149" s="593">
        <f>E134-E135-E136-E137-E138+E139-E140+E141-E142-E144-E145+E146+E147+E148</f>
        <v>21282898</v>
      </c>
      <c r="F149" s="807"/>
      <c r="G149" s="807"/>
      <c r="H149" s="807"/>
      <c r="I149" s="807"/>
      <c r="J149" s="593">
        <f>J134-J135-J136-J137-J138+J139-J140+J141-J142-J144-J145+J146+J147+J148</f>
        <v>1828448</v>
      </c>
      <c r="K149" s="807"/>
      <c r="L149" s="807"/>
      <c r="M149" s="807"/>
    </row>
    <row r="150" spans="1:13">
      <c r="A150" s="233"/>
      <c r="B150" s="67"/>
      <c r="C150" s="797"/>
      <c r="D150" s="37"/>
      <c r="E150" s="223"/>
      <c r="F150" s="37"/>
      <c r="G150" s="37"/>
      <c r="H150" s="37"/>
      <c r="I150" s="37"/>
      <c r="J150" s="223"/>
      <c r="K150" s="5"/>
      <c r="L150" s="5"/>
      <c r="M150" s="5"/>
    </row>
    <row r="151" spans="1:13">
      <c r="A151" s="32"/>
      <c r="C151" s="793" t="s">
        <v>62</v>
      </c>
      <c r="D151" s="5"/>
      <c r="E151" s="225"/>
      <c r="F151" s="5"/>
      <c r="G151" s="5"/>
      <c r="H151" s="5"/>
      <c r="I151" s="5"/>
      <c r="J151" s="225"/>
      <c r="K151" s="5"/>
      <c r="L151" s="5"/>
      <c r="M151" s="5"/>
    </row>
    <row r="152" spans="1:13">
      <c r="A152" s="32">
        <v>9</v>
      </c>
      <c r="C152" s="793" t="s">
        <v>59</v>
      </c>
      <c r="D152" s="707" t="str">
        <f>'DE Ohio &amp; Kentucky'!D154</f>
        <v>336.7.b</v>
      </c>
      <c r="E152" s="492">
        <f>INPUT!D69</f>
        <v>1076236</v>
      </c>
      <c r="F152" s="5"/>
      <c r="G152" s="5" t="s">
        <v>19</v>
      </c>
      <c r="H152" s="14">
        <f>J208</f>
        <v>0.70390552598171197</v>
      </c>
      <c r="I152" s="5"/>
      <c r="J152" s="364">
        <f>ROUND(H152*E152,0)</f>
        <v>757568</v>
      </c>
      <c r="K152" s="5"/>
      <c r="L152" s="18"/>
      <c r="M152" s="5"/>
    </row>
    <row r="153" spans="1:13">
      <c r="A153" s="32">
        <v>10</v>
      </c>
      <c r="C153" s="793" t="s">
        <v>681</v>
      </c>
      <c r="D153" s="707" t="str">
        <f>'DE Ohio &amp; Kentucky'!D155</f>
        <v xml:space="preserve">336.10.b </v>
      </c>
      <c r="E153" s="366">
        <f>INPUT!D70</f>
        <v>1495029</v>
      </c>
      <c r="F153" s="5"/>
      <c r="G153" s="5" t="s">
        <v>40</v>
      </c>
      <c r="H153" s="14">
        <f>H139</f>
        <v>3.7046775065328233E-2</v>
      </c>
      <c r="I153" s="5"/>
      <c r="J153" s="225">
        <f>ROUND(H153*E153,0)</f>
        <v>55386</v>
      </c>
      <c r="K153" s="5"/>
      <c r="L153" s="18"/>
      <c r="M153" s="5"/>
    </row>
    <row r="154" spans="1:13" ht="15.75" thickBot="1">
      <c r="A154" s="32">
        <v>11</v>
      </c>
      <c r="C154" s="793" t="s">
        <v>41</v>
      </c>
      <c r="D154" s="707" t="str">
        <f>'DE Ohio &amp; Kentucky'!D156</f>
        <v>336.11.b</v>
      </c>
      <c r="E154" s="490">
        <f>INPUT!D71</f>
        <v>1075501</v>
      </c>
      <c r="F154" s="5"/>
      <c r="G154" s="5" t="s">
        <v>93</v>
      </c>
      <c r="H154" s="14">
        <f>H147</f>
        <v>2.9743041533906927E-2</v>
      </c>
      <c r="I154" s="5"/>
      <c r="J154" s="226">
        <f>ROUND(H154*E154,0)</f>
        <v>31989</v>
      </c>
      <c r="K154" s="5"/>
      <c r="L154" s="18"/>
      <c r="M154" s="5"/>
    </row>
    <row r="155" spans="1:13">
      <c r="A155" s="32">
        <v>12</v>
      </c>
      <c r="C155" s="793" t="s">
        <v>64</v>
      </c>
      <c r="D155" s="5"/>
      <c r="E155" s="594">
        <f>SUM(E152:E154)</f>
        <v>3646766</v>
      </c>
      <c r="F155" s="5"/>
      <c r="G155" s="5"/>
      <c r="H155" s="5"/>
      <c r="I155" s="5"/>
      <c r="J155" s="364">
        <f>SUM(J152:J154)</f>
        <v>844943</v>
      </c>
      <c r="K155" s="5"/>
      <c r="L155" s="5"/>
      <c r="M155" s="5"/>
    </row>
    <row r="156" spans="1:13">
      <c r="A156" s="32"/>
      <c r="C156" s="793"/>
      <c r="D156" s="5"/>
      <c r="E156" s="225"/>
      <c r="F156" s="5"/>
      <c r="G156" s="5"/>
      <c r="H156" s="5"/>
      <c r="I156" s="5"/>
      <c r="J156" s="225"/>
      <c r="K156" s="5"/>
      <c r="L156" s="5"/>
      <c r="M156" s="5"/>
    </row>
    <row r="157" spans="1:13">
      <c r="A157" s="32" t="s">
        <v>12</v>
      </c>
      <c r="C157" s="801" t="s">
        <v>445</v>
      </c>
      <c r="E157" s="225"/>
      <c r="F157" s="5"/>
      <c r="G157" s="5"/>
      <c r="H157" s="5"/>
      <c r="I157" s="5"/>
      <c r="J157" s="225"/>
      <c r="K157" s="5"/>
      <c r="L157" s="5"/>
      <c r="M157" s="5"/>
    </row>
    <row r="158" spans="1:13">
      <c r="A158" s="32"/>
      <c r="C158" s="793" t="s">
        <v>65</v>
      </c>
      <c r="E158" s="225"/>
      <c r="F158" s="5"/>
      <c r="G158" s="5"/>
      <c r="I158" s="5"/>
      <c r="J158" s="225"/>
      <c r="K158" s="5"/>
      <c r="L158" s="18"/>
      <c r="M158" s="5"/>
    </row>
    <row r="159" spans="1:13">
      <c r="A159" s="32">
        <v>13</v>
      </c>
      <c r="C159" s="799" t="s">
        <v>428</v>
      </c>
      <c r="D159" s="756" t="s">
        <v>335</v>
      </c>
      <c r="E159" s="492">
        <f>INPUT!D76</f>
        <v>2070511</v>
      </c>
      <c r="F159" s="5"/>
      <c r="G159" s="5" t="s">
        <v>40</v>
      </c>
      <c r="H159" s="14">
        <f>$J$226</f>
        <v>3.7046775065328233E-2</v>
      </c>
      <c r="I159" s="5"/>
      <c r="J159" s="364">
        <f>ROUND(H159*E159,0)</f>
        <v>76706</v>
      </c>
      <c r="K159" s="5"/>
      <c r="L159" s="18"/>
      <c r="M159" s="5"/>
    </row>
    <row r="160" spans="1:13">
      <c r="A160" s="32">
        <v>14</v>
      </c>
      <c r="C160" s="799" t="s">
        <v>429</v>
      </c>
      <c r="D160" s="756" t="s">
        <v>336</v>
      </c>
      <c r="E160" s="366">
        <f>INPUT!D77</f>
        <v>1738</v>
      </c>
      <c r="F160" s="5"/>
      <c r="G160" s="5" t="s">
        <v>40</v>
      </c>
      <c r="H160" s="14">
        <f>$J$226</f>
        <v>3.7046775065328233E-2</v>
      </c>
      <c r="I160" s="5"/>
      <c r="J160" s="225">
        <f>ROUND(H160*E160,0)</f>
        <v>64</v>
      </c>
      <c r="K160" s="5"/>
      <c r="L160" s="18"/>
      <c r="M160" s="5"/>
    </row>
    <row r="161" spans="1:15">
      <c r="A161" s="32">
        <v>15</v>
      </c>
      <c r="C161" s="793" t="s">
        <v>66</v>
      </c>
      <c r="D161" s="756" t="s">
        <v>12</v>
      </c>
      <c r="E161" s="366"/>
      <c r="F161" s="5"/>
      <c r="G161" s="5"/>
      <c r="I161" s="5"/>
      <c r="J161" s="225"/>
      <c r="K161" s="5"/>
      <c r="L161" s="18"/>
      <c r="M161" s="5"/>
    </row>
    <row r="162" spans="1:15">
      <c r="A162" s="32">
        <v>16</v>
      </c>
      <c r="C162" s="793" t="s">
        <v>67</v>
      </c>
      <c r="D162" s="756" t="s">
        <v>337</v>
      </c>
      <c r="E162" s="366">
        <f>INPUT!D79</f>
        <v>7505468</v>
      </c>
      <c r="F162" s="5"/>
      <c r="G162" s="5" t="s">
        <v>56</v>
      </c>
      <c r="H162" s="19">
        <f>H80</f>
        <v>2.5902351982895581E-2</v>
      </c>
      <c r="I162" s="5"/>
      <c r="J162" s="225">
        <f>ROUND(H162*E162,0)</f>
        <v>194409</v>
      </c>
      <c r="K162" s="5"/>
      <c r="L162" s="18"/>
      <c r="M162" s="5"/>
    </row>
    <row r="163" spans="1:15">
      <c r="A163" s="32">
        <v>17</v>
      </c>
      <c r="C163" s="793" t="s">
        <v>68</v>
      </c>
      <c r="D163" s="756" t="s">
        <v>199</v>
      </c>
      <c r="E163" s="366">
        <f>INPUT!D80</f>
        <v>0</v>
      </c>
      <c r="F163" s="5"/>
      <c r="G163" s="37" t="str">
        <f>G99</f>
        <v>NA</v>
      </c>
      <c r="H163" s="82" t="s">
        <v>176</v>
      </c>
      <c r="I163" s="5"/>
      <c r="J163" s="227">
        <v>0</v>
      </c>
      <c r="K163" s="5"/>
      <c r="L163" s="18"/>
      <c r="M163" s="5"/>
    </row>
    <row r="164" spans="1:15">
      <c r="A164" s="32">
        <v>18</v>
      </c>
      <c r="C164" s="793" t="s">
        <v>69</v>
      </c>
      <c r="D164" s="756" t="str">
        <f>D163</f>
        <v>263.i</v>
      </c>
      <c r="E164" s="366">
        <f>INPUT!D81</f>
        <v>0</v>
      </c>
      <c r="F164" s="5"/>
      <c r="G164" s="5" t="str">
        <f>G162</f>
        <v>GP</v>
      </c>
      <c r="H164" s="19">
        <f>H162</f>
        <v>2.5902351982895581E-2</v>
      </c>
      <c r="I164" s="5"/>
      <c r="J164" s="225">
        <f>ROUND(H164*E164,0)</f>
        <v>0</v>
      </c>
      <c r="K164" s="5"/>
      <c r="L164" s="18"/>
      <c r="M164" s="5"/>
    </row>
    <row r="165" spans="1:15" ht="15.75" thickBot="1">
      <c r="A165" s="32">
        <v>19</v>
      </c>
      <c r="C165" s="793" t="s">
        <v>70</v>
      </c>
      <c r="D165" s="5"/>
      <c r="E165" s="490">
        <f>INPUT!D82</f>
        <v>0</v>
      </c>
      <c r="F165" s="5"/>
      <c r="G165" s="5" t="s">
        <v>56</v>
      </c>
      <c r="H165" s="19">
        <f>H162</f>
        <v>2.5902351982895581E-2</v>
      </c>
      <c r="I165" s="5"/>
      <c r="J165" s="226">
        <f>ROUND(H165*E165,0)</f>
        <v>0</v>
      </c>
      <c r="K165" s="5"/>
      <c r="L165" s="18"/>
      <c r="M165" s="5"/>
    </row>
    <row r="166" spans="1:15">
      <c r="A166" s="32">
        <v>20</v>
      </c>
      <c r="C166" s="793" t="s">
        <v>71</v>
      </c>
      <c r="D166" s="5"/>
      <c r="E166" s="364">
        <f>E159+E160+E162+E163+E164+E165</f>
        <v>9577717</v>
      </c>
      <c r="F166" s="5"/>
      <c r="G166" s="5"/>
      <c r="H166" s="19"/>
      <c r="I166" s="5"/>
      <c r="J166" s="364">
        <f>J159+J160+J162+J163+J164+J165</f>
        <v>271179</v>
      </c>
      <c r="K166" s="5"/>
      <c r="L166" s="5"/>
      <c r="M166" s="5"/>
    </row>
    <row r="167" spans="1:15">
      <c r="A167" s="32"/>
      <c r="C167" s="793"/>
      <c r="D167" s="5"/>
      <c r="E167" s="225"/>
      <c r="F167" s="5"/>
      <c r="G167" s="5"/>
      <c r="H167" s="19"/>
      <c r="I167" s="5"/>
      <c r="J167" s="5"/>
      <c r="K167" s="5"/>
      <c r="L167" s="5"/>
      <c r="M167" s="5"/>
    </row>
    <row r="168" spans="1:15">
      <c r="A168" s="32" t="s">
        <v>72</v>
      </c>
      <c r="C168" s="793"/>
      <c r="D168" s="5"/>
      <c r="E168" s="5"/>
      <c r="F168" s="5"/>
      <c r="G168" s="5"/>
      <c r="H168" s="19"/>
      <c r="I168" s="5"/>
      <c r="J168" s="5"/>
      <c r="K168" s="5"/>
      <c r="L168" s="5"/>
      <c r="M168" s="5"/>
    </row>
    <row r="169" spans="1:15">
      <c r="A169" s="32" t="s">
        <v>12</v>
      </c>
      <c r="C169" s="801" t="s">
        <v>454</v>
      </c>
      <c r="D169" s="5"/>
      <c r="E169" s="5"/>
      <c r="F169" s="5"/>
      <c r="H169" s="16"/>
      <c r="I169" s="5"/>
      <c r="K169" s="5"/>
      <c r="M169" s="5"/>
    </row>
    <row r="170" spans="1:15">
      <c r="A170" s="32">
        <v>21</v>
      </c>
      <c r="C170" s="795" t="s">
        <v>160</v>
      </c>
      <c r="D170" s="5"/>
      <c r="E170" s="591">
        <f>IF(E305&gt;0,1-(((1-E306)*(1-E305))/(1-E306*E305*E307)),0)</f>
        <v>0.38900000000000001</v>
      </c>
      <c r="F170" s="5"/>
      <c r="H170" s="16"/>
      <c r="I170" s="5"/>
      <c r="K170" s="5"/>
      <c r="M170" s="5"/>
    </row>
    <row r="171" spans="1:15">
      <c r="A171" s="32">
        <v>22</v>
      </c>
      <c r="C171" s="794" t="s">
        <v>161</v>
      </c>
      <c r="D171" s="5"/>
      <c r="E171" s="408">
        <f>IF(J250&gt;0,(E170/(1-E170))*(1-J247/J250),0)</f>
        <v>0.48907513505986633</v>
      </c>
      <c r="F171" s="5"/>
      <c r="H171" s="16"/>
      <c r="I171" s="5"/>
      <c r="K171" s="5"/>
      <c r="M171" s="5"/>
    </row>
    <row r="172" spans="1:15">
      <c r="A172" s="32"/>
      <c r="C172" s="793" t="s">
        <v>403</v>
      </c>
      <c r="D172" s="5"/>
      <c r="E172" s="5"/>
      <c r="F172" s="5"/>
      <c r="H172" s="16"/>
      <c r="I172" s="5"/>
      <c r="K172" s="5"/>
      <c r="M172" s="5"/>
    </row>
    <row r="173" spans="1:15">
      <c r="A173" s="32"/>
      <c r="C173" s="793" t="s">
        <v>163</v>
      </c>
      <c r="D173" s="5"/>
      <c r="E173" s="5"/>
      <c r="F173" s="5"/>
      <c r="H173" s="16"/>
      <c r="I173" s="5"/>
      <c r="K173" s="5"/>
      <c r="M173" s="5"/>
    </row>
    <row r="174" spans="1:15">
      <c r="A174" s="32">
        <v>23</v>
      </c>
      <c r="C174" s="795" t="s">
        <v>162</v>
      </c>
      <c r="D174" s="5"/>
      <c r="E174" s="754">
        <f>IF(E170&gt;0,1/(1-E170),0)</f>
        <v>1.6366612111292962</v>
      </c>
      <c r="F174" s="5"/>
      <c r="H174" s="16"/>
      <c r="I174" s="5"/>
      <c r="J174" s="225"/>
      <c r="K174" s="5"/>
      <c r="M174" s="5"/>
      <c r="N174" s="708"/>
      <c r="O174" s="708"/>
    </row>
    <row r="175" spans="1:15">
      <c r="A175" s="32">
        <v>24</v>
      </c>
      <c r="C175" s="793" t="s">
        <v>408</v>
      </c>
      <c r="D175" s="707" t="str">
        <f>'DE Ohio &amp; Kentucky'!D177</f>
        <v>266.8.f (enter negative)</v>
      </c>
      <c r="E175" s="601">
        <f>INPUT!D92</f>
        <v>-21438</v>
      </c>
      <c r="F175" s="5"/>
      <c r="H175" s="16"/>
      <c r="I175" s="5"/>
      <c r="J175" s="225"/>
      <c r="K175" s="5"/>
      <c r="M175" s="5"/>
      <c r="N175" s="708"/>
      <c r="O175" s="708"/>
    </row>
    <row r="176" spans="1:15">
      <c r="A176" s="32"/>
      <c r="C176" s="793"/>
      <c r="D176" s="5"/>
      <c r="E176" s="225"/>
      <c r="F176" s="5"/>
      <c r="H176" s="16"/>
      <c r="I176" s="5"/>
      <c r="J176" s="225"/>
      <c r="K176" s="5"/>
      <c r="M176" s="5"/>
    </row>
    <row r="177" spans="1:13">
      <c r="A177" s="32">
        <v>25</v>
      </c>
      <c r="C177" s="795" t="s">
        <v>409</v>
      </c>
      <c r="D177" s="48"/>
      <c r="E177" s="364">
        <f>E171*E181</f>
        <v>20098417.472050633</v>
      </c>
      <c r="F177" s="5"/>
      <c r="G177" s="5" t="s">
        <v>36</v>
      </c>
      <c r="H177" s="19"/>
      <c r="I177" s="5"/>
      <c r="J177" s="364">
        <f>E171*J181</f>
        <v>725920.03979044291</v>
      </c>
      <c r="K177" s="5"/>
      <c r="L177" s="15" t="s">
        <v>12</v>
      </c>
      <c r="M177" s="5"/>
    </row>
    <row r="178" spans="1:13" ht="15.75" thickBot="1">
      <c r="A178" s="32">
        <v>26</v>
      </c>
      <c r="C178" s="794" t="s">
        <v>166</v>
      </c>
      <c r="D178" s="48"/>
      <c r="E178" s="226">
        <f>E174*E175</f>
        <v>-35086.743044189854</v>
      </c>
      <c r="F178" s="5"/>
      <c r="G178" s="12" t="s">
        <v>54</v>
      </c>
      <c r="H178" s="19">
        <f>H96</f>
        <v>3.5845926617814827E-2</v>
      </c>
      <c r="I178" s="5"/>
      <c r="J178" s="226">
        <f>H178*E178</f>
        <v>-1257.7168164201544</v>
      </c>
      <c r="K178" s="5"/>
      <c r="L178" s="15"/>
      <c r="M178" s="5"/>
    </row>
    <row r="179" spans="1:13">
      <c r="A179" s="32">
        <v>27</v>
      </c>
      <c r="C179" s="796" t="s">
        <v>150</v>
      </c>
      <c r="D179" s="707" t="str">
        <f>'DE Ohio &amp; Kentucky'!D181</f>
        <v>(line 25 plus line 26)</v>
      </c>
      <c r="E179" s="367">
        <f>E177+E178</f>
        <v>20063330.729006443</v>
      </c>
      <c r="F179" s="5"/>
      <c r="G179" s="5" t="s">
        <v>12</v>
      </c>
      <c r="H179" s="19" t="s">
        <v>12</v>
      </c>
      <c r="I179" s="5"/>
      <c r="J179" s="367">
        <f>J177+J178</f>
        <v>724662.32297402271</v>
      </c>
      <c r="K179" s="5"/>
      <c r="L179" s="5"/>
      <c r="M179" s="5"/>
    </row>
    <row r="180" spans="1:13">
      <c r="A180" s="32" t="s">
        <v>12</v>
      </c>
      <c r="C180" s="792"/>
      <c r="D180" s="20"/>
      <c r="E180" s="225"/>
      <c r="F180" s="5"/>
      <c r="G180" s="5"/>
      <c r="H180" s="19"/>
      <c r="I180" s="5"/>
      <c r="J180" s="225"/>
      <c r="K180" s="5"/>
      <c r="L180" s="5"/>
      <c r="M180" s="5"/>
    </row>
    <row r="181" spans="1:13">
      <c r="A181" s="32">
        <v>28</v>
      </c>
      <c r="C181" s="793" t="s">
        <v>73</v>
      </c>
      <c r="D181" s="18"/>
      <c r="E181" s="364">
        <f>ROUND($J250*E114,0)</f>
        <v>41094744</v>
      </c>
      <c r="F181" s="5"/>
      <c r="G181" s="5" t="s">
        <v>36</v>
      </c>
      <c r="H181" s="16"/>
      <c r="I181" s="5"/>
      <c r="J181" s="364">
        <f>ROUND($J250*J114,0)</f>
        <v>1484271</v>
      </c>
      <c r="K181" s="5"/>
      <c r="M181" s="5"/>
    </row>
    <row r="182" spans="1:13">
      <c r="A182" s="32"/>
      <c r="C182" s="796" t="s">
        <v>74</v>
      </c>
      <c r="E182" s="225"/>
      <c r="F182" s="5"/>
      <c r="G182" s="5"/>
      <c r="H182" s="16"/>
      <c r="I182" s="5"/>
      <c r="J182" s="225"/>
      <c r="K182" s="5"/>
      <c r="L182" s="18"/>
      <c r="M182" s="5"/>
    </row>
    <row r="183" spans="1:13">
      <c r="A183" s="32"/>
      <c r="C183" s="793"/>
      <c r="E183" s="228"/>
      <c r="F183" s="5"/>
      <c r="G183" s="5"/>
      <c r="H183" s="16"/>
      <c r="I183" s="5"/>
      <c r="J183" s="228"/>
      <c r="K183" s="5"/>
      <c r="L183" s="18"/>
      <c r="M183" s="5"/>
    </row>
    <row r="184" spans="1:13" ht="15.75" thickBot="1">
      <c r="A184" s="32">
        <v>29</v>
      </c>
      <c r="C184" s="793" t="s">
        <v>164</v>
      </c>
      <c r="D184" s="5"/>
      <c r="E184" s="368">
        <f>E181+E179+E166+E155+E149</f>
        <v>95665455.729006439</v>
      </c>
      <c r="F184" s="94"/>
      <c r="G184" s="94"/>
      <c r="H184" s="94"/>
      <c r="I184" s="94"/>
      <c r="J184" s="368">
        <f>J181+J179+J166+J155+J149</f>
        <v>5153503.3229740225</v>
      </c>
      <c r="K184" s="1"/>
      <c r="L184" s="1"/>
      <c r="M184" s="1"/>
    </row>
    <row r="185" spans="1:13" ht="15.75" thickTop="1">
      <c r="A185" s="32"/>
      <c r="C185" s="3"/>
      <c r="D185" s="5"/>
      <c r="E185" s="94"/>
      <c r="F185" s="5"/>
      <c r="G185" s="5"/>
      <c r="H185" s="5"/>
      <c r="I185" s="5"/>
      <c r="J185" s="94"/>
      <c r="K185" s="1"/>
      <c r="L185" s="1"/>
      <c r="M185" s="1"/>
    </row>
    <row r="186" spans="1:13">
      <c r="A186" s="32"/>
      <c r="C186" s="3"/>
      <c r="D186" s="5"/>
      <c r="E186" s="94"/>
      <c r="F186" s="5"/>
      <c r="G186" s="5"/>
      <c r="H186" s="5"/>
      <c r="I186" s="5"/>
      <c r="J186" s="94"/>
      <c r="K186" s="1"/>
      <c r="L186" s="1"/>
      <c r="M186" s="1"/>
    </row>
    <row r="187" spans="1:13">
      <c r="A187" s="32"/>
      <c r="C187" s="29"/>
      <c r="D187" s="29"/>
      <c r="E187" s="30"/>
      <c r="F187" s="29"/>
      <c r="G187" s="29"/>
      <c r="H187" s="29"/>
      <c r="I187" s="31"/>
      <c r="K187" s="32"/>
      <c r="L187" s="92"/>
      <c r="M187" s="32"/>
    </row>
    <row r="188" spans="1:13" ht="18">
      <c r="A188" s="245"/>
      <c r="C188" s="29"/>
      <c r="D188" s="29"/>
      <c r="E188" s="30"/>
      <c r="F188" s="29"/>
      <c r="G188" s="29"/>
      <c r="H188" s="29"/>
      <c r="I188" s="31"/>
      <c r="J188" s="77" t="s">
        <v>365</v>
      </c>
      <c r="M188" s="91"/>
    </row>
    <row r="189" spans="1:13">
      <c r="C189" s="29"/>
      <c r="D189" s="29"/>
      <c r="E189" s="30"/>
      <c r="F189" s="29"/>
      <c r="G189" s="29"/>
      <c r="H189" s="29"/>
      <c r="I189" s="31"/>
      <c r="J189" s="77" t="s">
        <v>569</v>
      </c>
      <c r="M189" s="77"/>
    </row>
    <row r="190" spans="1:13">
      <c r="C190" s="29"/>
      <c r="D190" s="29"/>
      <c r="E190" s="30"/>
      <c r="F190" s="29"/>
      <c r="G190" s="29"/>
      <c r="H190" s="29"/>
      <c r="I190" s="31"/>
      <c r="M190" s="77"/>
    </row>
    <row r="191" spans="1:13">
      <c r="C191" s="29"/>
      <c r="D191" s="29"/>
      <c r="E191" s="30"/>
      <c r="F191" s="29"/>
      <c r="G191" s="29"/>
      <c r="H191" s="29"/>
      <c r="I191" s="31"/>
      <c r="M191" s="77"/>
    </row>
    <row r="192" spans="1:13">
      <c r="C192" s="29"/>
      <c r="D192" s="29"/>
      <c r="E192" s="30"/>
      <c r="F192" s="29"/>
      <c r="G192" s="29"/>
      <c r="H192" s="29"/>
      <c r="I192" s="31"/>
      <c r="M192" s="77"/>
    </row>
    <row r="193" spans="1:13">
      <c r="C193" s="29"/>
      <c r="D193" s="29"/>
      <c r="E193" s="30"/>
      <c r="F193" s="29"/>
      <c r="G193" s="29"/>
      <c r="H193" s="29"/>
      <c r="I193" s="31"/>
      <c r="J193" s="77"/>
      <c r="M193" s="77"/>
    </row>
    <row r="194" spans="1:13">
      <c r="C194" s="29" t="s">
        <v>11</v>
      </c>
      <c r="D194" s="29"/>
      <c r="E194" s="30"/>
      <c r="F194" s="29"/>
      <c r="G194" s="29"/>
      <c r="H194" s="29"/>
      <c r="I194" s="31"/>
      <c r="J194" s="92" t="str">
        <f>J7</f>
        <v>For the 12 months ended: 12/31/2016</v>
      </c>
      <c r="M194" s="77"/>
    </row>
    <row r="195" spans="1:13">
      <c r="A195" s="275" t="str">
        <f>A8</f>
        <v>Rate Formula Template</v>
      </c>
      <c r="B195" s="277"/>
      <c r="C195" s="277"/>
      <c r="D195" s="275"/>
      <c r="E195" s="277"/>
      <c r="F195" s="275"/>
      <c r="G195" s="275"/>
      <c r="H195" s="275"/>
      <c r="I195" s="275"/>
      <c r="J195" s="277"/>
      <c r="K195" s="271"/>
      <c r="L195" s="277"/>
      <c r="M195" s="1"/>
    </row>
    <row r="196" spans="1:13">
      <c r="A196" s="278" t="s">
        <v>327</v>
      </c>
      <c r="B196" s="277"/>
      <c r="C196" s="275"/>
      <c r="D196" s="278"/>
      <c r="E196" s="277"/>
      <c r="F196" s="278"/>
      <c r="G196" s="278"/>
      <c r="H196" s="278"/>
      <c r="I196" s="275"/>
      <c r="J196" s="275"/>
      <c r="K196" s="271"/>
      <c r="L196" s="271"/>
      <c r="M196" s="1"/>
    </row>
    <row r="197" spans="1:13">
      <c r="A197" s="271"/>
      <c r="B197" s="277"/>
      <c r="C197" s="271"/>
      <c r="D197" s="271"/>
      <c r="E197" s="277"/>
      <c r="F197" s="271"/>
      <c r="G197" s="271"/>
      <c r="H197" s="271"/>
      <c r="I197" s="271"/>
      <c r="J197" s="271"/>
      <c r="K197" s="271"/>
      <c r="L197" s="271"/>
      <c r="M197" s="5"/>
    </row>
    <row r="198" spans="1:13" ht="15.75">
      <c r="A198" s="274" t="s">
        <v>216</v>
      </c>
      <c r="B198" s="277"/>
      <c r="C198" s="271"/>
      <c r="D198" s="271"/>
      <c r="E198" s="277"/>
      <c r="F198" s="271"/>
      <c r="G198" s="271"/>
      <c r="H198" s="271"/>
      <c r="I198" s="271"/>
      <c r="J198" s="271"/>
      <c r="K198" s="271"/>
      <c r="L198" s="271"/>
      <c r="M198" s="5"/>
    </row>
    <row r="199" spans="1:13" ht="15.75">
      <c r="A199" s="279" t="s">
        <v>328</v>
      </c>
      <c r="B199" s="117"/>
      <c r="C199" s="117"/>
      <c r="D199" s="117"/>
      <c r="E199" s="117"/>
      <c r="F199" s="273"/>
      <c r="G199" s="273"/>
      <c r="H199" s="273"/>
      <c r="I199" s="273"/>
      <c r="J199" s="273"/>
      <c r="K199" s="272"/>
      <c r="L199" s="272"/>
      <c r="M199" s="5"/>
    </row>
    <row r="200" spans="1:13" ht="15.75">
      <c r="A200" s="32" t="s">
        <v>13</v>
      </c>
      <c r="C200" s="13"/>
      <c r="D200" s="1"/>
      <c r="E200" s="1"/>
      <c r="F200" s="1"/>
      <c r="G200" s="1"/>
      <c r="H200" s="1"/>
      <c r="I200" s="1"/>
      <c r="J200" s="1"/>
      <c r="K200" s="5"/>
      <c r="L200" s="5"/>
      <c r="M200" s="5"/>
    </row>
    <row r="201" spans="1:13" ht="15.75">
      <c r="A201" s="288" t="s">
        <v>15</v>
      </c>
      <c r="B201" s="290"/>
      <c r="C201" s="392" t="s">
        <v>377</v>
      </c>
      <c r="D201" s="66"/>
      <c r="E201" s="66"/>
      <c r="F201" s="66"/>
      <c r="G201" s="66"/>
      <c r="H201" s="66"/>
      <c r="I201" s="67"/>
      <c r="J201" s="67"/>
      <c r="K201" s="37"/>
      <c r="L201" s="5"/>
      <c r="M201" s="5"/>
    </row>
    <row r="202" spans="1:13">
      <c r="A202" s="32"/>
      <c r="C202" s="65"/>
      <c r="D202" s="66"/>
      <c r="E202" s="66"/>
      <c r="F202" s="66"/>
      <c r="G202" s="66"/>
      <c r="H202" s="66"/>
      <c r="I202" s="66"/>
      <c r="J202" s="66"/>
      <c r="K202" s="37"/>
      <c r="L202" s="5"/>
      <c r="M202" s="5"/>
    </row>
    <row r="203" spans="1:13">
      <c r="A203" s="32">
        <v>1</v>
      </c>
      <c r="C203" s="60" t="s">
        <v>378</v>
      </c>
      <c r="D203" s="66"/>
      <c r="E203" s="37"/>
      <c r="F203" s="37"/>
      <c r="G203" s="37"/>
      <c r="H203" s="37"/>
      <c r="I203" s="37"/>
      <c r="J203" s="593">
        <f>E76</f>
        <v>55492167</v>
      </c>
      <c r="K203" s="37"/>
      <c r="L203" s="5"/>
      <c r="M203" s="5"/>
    </row>
    <row r="204" spans="1:13">
      <c r="A204" s="32">
        <v>2</v>
      </c>
      <c r="C204" s="430" t="s">
        <v>446</v>
      </c>
      <c r="D204" s="67"/>
      <c r="E204" s="67"/>
      <c r="F204" s="67"/>
      <c r="G204" s="67"/>
      <c r="H204" s="67"/>
      <c r="I204" s="67"/>
      <c r="J204" s="231">
        <f>INPUT!D96</f>
        <v>0</v>
      </c>
      <c r="K204" s="37"/>
      <c r="L204" s="5"/>
      <c r="M204" s="5"/>
    </row>
    <row r="205" spans="1:13" ht="15.75" thickBot="1">
      <c r="A205" s="32">
        <v>3</v>
      </c>
      <c r="C205" s="431" t="s">
        <v>447</v>
      </c>
      <c r="D205" s="68"/>
      <c r="E205" s="69"/>
      <c r="F205" s="37"/>
      <c r="G205" s="37"/>
      <c r="H205" s="70"/>
      <c r="I205" s="37"/>
      <c r="J205" s="232">
        <f>INPUT!D97</f>
        <v>16430924</v>
      </c>
      <c r="K205" s="37"/>
      <c r="L205" s="5"/>
      <c r="M205" s="5"/>
    </row>
    <row r="206" spans="1:13">
      <c r="A206" s="32">
        <v>4</v>
      </c>
      <c r="C206" s="60" t="s">
        <v>379</v>
      </c>
      <c r="D206" s="66"/>
      <c r="E206" s="37"/>
      <c r="F206" s="37"/>
      <c r="G206" s="37"/>
      <c r="H206" s="70"/>
      <c r="I206" s="37"/>
      <c r="J206" s="593">
        <f>J203-J204-J205</f>
        <v>39061243</v>
      </c>
      <c r="K206" s="37"/>
      <c r="L206" s="5"/>
      <c r="M206" s="5"/>
    </row>
    <row r="207" spans="1:13">
      <c r="A207" s="32"/>
      <c r="C207" s="67"/>
      <c r="D207" s="66"/>
      <c r="E207" s="37"/>
      <c r="F207" s="37"/>
      <c r="G207" s="37"/>
      <c r="H207" s="70"/>
      <c r="I207" s="37"/>
      <c r="J207" s="67"/>
      <c r="K207" s="37"/>
      <c r="L207" s="5"/>
      <c r="M207" s="5"/>
    </row>
    <row r="208" spans="1:13">
      <c r="A208" s="32">
        <v>5</v>
      </c>
      <c r="C208" s="60" t="s">
        <v>380</v>
      </c>
      <c r="D208" s="71"/>
      <c r="E208" s="72"/>
      <c r="F208" s="72"/>
      <c r="G208" s="72"/>
      <c r="H208" s="73"/>
      <c r="I208" s="37" t="s">
        <v>78</v>
      </c>
      <c r="J208" s="62">
        <f>IF(J203&gt;0,J206/J203,0)</f>
        <v>0.70390552598171197</v>
      </c>
      <c r="K208" s="37"/>
      <c r="L208" s="5"/>
      <c r="M208" s="5"/>
    </row>
    <row r="209" spans="1:18">
      <c r="A209" s="32"/>
      <c r="C209" s="67"/>
      <c r="D209" s="67"/>
      <c r="E209" s="67"/>
      <c r="F209" s="67"/>
      <c r="G209" s="67"/>
      <c r="H209" s="67"/>
      <c r="I209" s="67"/>
      <c r="J209" s="67"/>
      <c r="K209" s="37"/>
      <c r="L209" s="5"/>
      <c r="M209" s="5"/>
      <c r="N209" s="234"/>
      <c r="O209" s="234"/>
      <c r="P209" s="234"/>
      <c r="Q209" s="234"/>
      <c r="R209" s="234"/>
    </row>
    <row r="210" spans="1:18" ht="15.75">
      <c r="A210" s="32"/>
      <c r="C210" s="391" t="s">
        <v>75</v>
      </c>
      <c r="D210" s="67"/>
      <c r="E210" s="67"/>
      <c r="F210" s="67"/>
      <c r="G210" s="67"/>
      <c r="H210" s="67"/>
      <c r="I210" s="67"/>
      <c r="J210" s="67"/>
      <c r="K210" s="37"/>
      <c r="L210" s="5"/>
      <c r="M210" s="5"/>
      <c r="N210" s="234"/>
      <c r="O210" s="234"/>
      <c r="P210" s="234"/>
      <c r="Q210" s="234"/>
      <c r="R210" s="234"/>
    </row>
    <row r="211" spans="1:18">
      <c r="A211" s="32"/>
      <c r="C211" s="67"/>
      <c r="D211" s="67"/>
      <c r="E211" s="67"/>
      <c r="F211" s="67"/>
      <c r="G211" s="67"/>
      <c r="H211" s="67"/>
      <c r="I211" s="67"/>
      <c r="J211" s="67"/>
      <c r="K211" s="37"/>
      <c r="L211" s="5"/>
      <c r="M211" s="5"/>
      <c r="N211" s="1039"/>
      <c r="O211" s="1039"/>
      <c r="P211" s="1039"/>
      <c r="Q211" s="1039"/>
      <c r="R211" s="234"/>
    </row>
    <row r="212" spans="1:18">
      <c r="A212" s="32">
        <v>6</v>
      </c>
      <c r="C212" s="67" t="s">
        <v>76</v>
      </c>
      <c r="D212" s="67"/>
      <c r="E212" s="66"/>
      <c r="F212" s="66"/>
      <c r="G212" s="66"/>
      <c r="H212" s="74"/>
      <c r="I212" s="66"/>
      <c r="J212" s="593">
        <f>E134</f>
        <v>19417545</v>
      </c>
      <c r="K212" s="37"/>
      <c r="L212" s="5"/>
      <c r="M212" s="5"/>
      <c r="N212" s="94"/>
      <c r="O212" s="235"/>
      <c r="P212" s="234"/>
      <c r="Q212" s="234"/>
      <c r="R212" s="234"/>
    </row>
    <row r="213" spans="1:18" ht="15.75" thickBot="1">
      <c r="A213" s="32">
        <v>7</v>
      </c>
      <c r="C213" s="431" t="s">
        <v>448</v>
      </c>
      <c r="D213" s="68"/>
      <c r="E213" s="69"/>
      <c r="F213" s="69"/>
      <c r="G213" s="37"/>
      <c r="H213" s="37"/>
      <c r="I213" s="37"/>
      <c r="J213" s="232">
        <f>'P5 Schedule 1 Charges acct 561'!D39</f>
        <v>663997</v>
      </c>
      <c r="K213" s="37"/>
      <c r="L213" s="5"/>
      <c r="M213" s="5"/>
      <c r="N213" s="94"/>
      <c r="O213" s="235"/>
      <c r="P213" s="234"/>
      <c r="Q213" s="234"/>
      <c r="R213" s="234"/>
    </row>
    <row r="214" spans="1:18">
      <c r="A214" s="32">
        <v>8</v>
      </c>
      <c r="C214" s="60" t="s">
        <v>180</v>
      </c>
      <c r="D214" s="71"/>
      <c r="E214" s="72"/>
      <c r="F214" s="72"/>
      <c r="G214" s="72"/>
      <c r="H214" s="73"/>
      <c r="I214" s="72"/>
      <c r="J214" s="593">
        <f>J212-J213</f>
        <v>18753548</v>
      </c>
      <c r="K214" s="67"/>
      <c r="M214" s="5"/>
      <c r="N214" s="94"/>
      <c r="O214" s="235"/>
      <c r="P214" s="234"/>
      <c r="Q214" s="234"/>
      <c r="R214" s="234"/>
    </row>
    <row r="215" spans="1:18">
      <c r="A215" s="32"/>
      <c r="C215" s="60"/>
      <c r="D215" s="66"/>
      <c r="E215" s="37"/>
      <c r="F215" s="37"/>
      <c r="G215" s="37"/>
      <c r="H215" s="37"/>
      <c r="I215" s="67"/>
      <c r="J215" s="67"/>
      <c r="K215" s="67"/>
      <c r="M215" s="5"/>
      <c r="N215" s="94"/>
      <c r="O215" s="235"/>
      <c r="P215" s="234"/>
      <c r="Q215" s="234"/>
      <c r="R215" s="234"/>
    </row>
    <row r="216" spans="1:18">
      <c r="A216" s="32">
        <v>9</v>
      </c>
      <c r="C216" s="60" t="s">
        <v>179</v>
      </c>
      <c r="D216" s="66"/>
      <c r="E216" s="37"/>
      <c r="F216" s="37"/>
      <c r="G216" s="37"/>
      <c r="H216" s="37"/>
      <c r="I216" s="37"/>
      <c r="J216" s="64">
        <f>IF(J212&gt;0,J214/J212,0)</f>
        <v>0.96580427649324363</v>
      </c>
      <c r="K216" s="67"/>
      <c r="M216" s="5"/>
      <c r="N216" s="236"/>
      <c r="O216" s="236"/>
      <c r="P216" s="234"/>
      <c r="Q216" s="234"/>
      <c r="R216" s="234"/>
    </row>
    <row r="217" spans="1:18">
      <c r="A217" s="32">
        <v>10</v>
      </c>
      <c r="C217" s="60" t="s">
        <v>381</v>
      </c>
      <c r="D217" s="66"/>
      <c r="E217" s="37"/>
      <c r="F217" s="37"/>
      <c r="G217" s="37"/>
      <c r="H217" s="37"/>
      <c r="I217" s="66" t="s">
        <v>19</v>
      </c>
      <c r="J217" s="75">
        <f>J208</f>
        <v>0.70390552598171197</v>
      </c>
      <c r="K217" s="67"/>
      <c r="M217" s="5"/>
      <c r="N217" s="234"/>
      <c r="O217" s="236"/>
      <c r="P217" s="234"/>
      <c r="Q217" s="234"/>
      <c r="R217" s="234"/>
    </row>
    <row r="218" spans="1:18">
      <c r="A218" s="32">
        <v>11</v>
      </c>
      <c r="C218" s="60" t="s">
        <v>382</v>
      </c>
      <c r="D218" s="66"/>
      <c r="E218" s="66"/>
      <c r="F218" s="66"/>
      <c r="G218" s="66"/>
      <c r="H218" s="66"/>
      <c r="I218" s="66" t="s">
        <v>77</v>
      </c>
      <c r="J218" s="76">
        <f>J217*J216</f>
        <v>0.67983496724036341</v>
      </c>
      <c r="K218" s="67"/>
      <c r="M218" s="5"/>
      <c r="N218" s="234"/>
      <c r="O218" s="236"/>
      <c r="P218" s="234"/>
      <c r="Q218" s="234"/>
      <c r="R218" s="234"/>
    </row>
    <row r="219" spans="1:18">
      <c r="A219" s="32"/>
      <c r="D219" s="1"/>
      <c r="E219" s="5"/>
      <c r="F219" s="5"/>
      <c r="G219" s="5"/>
      <c r="H219" s="6"/>
      <c r="I219" s="5"/>
      <c r="M219" s="5"/>
      <c r="N219" s="234"/>
      <c r="O219" s="237"/>
      <c r="P219" s="234"/>
      <c r="Q219" s="234"/>
      <c r="R219" s="234"/>
    </row>
    <row r="220" spans="1:18" ht="15.75">
      <c r="A220" s="32" t="s">
        <v>12</v>
      </c>
      <c r="C220" s="13" t="s">
        <v>79</v>
      </c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94"/>
      <c r="O220" s="235"/>
      <c r="P220" s="234"/>
      <c r="Q220" s="234"/>
      <c r="R220" s="234"/>
    </row>
    <row r="221" spans="1:18" ht="15.75" thickBot="1">
      <c r="A221" s="32" t="s">
        <v>12</v>
      </c>
      <c r="C221" s="3"/>
      <c r="D221" s="44" t="s">
        <v>80</v>
      </c>
      <c r="E221" s="45" t="s">
        <v>81</v>
      </c>
      <c r="F221" s="45" t="s">
        <v>19</v>
      </c>
      <c r="G221" s="5"/>
      <c r="H221" s="45" t="s">
        <v>82</v>
      </c>
      <c r="I221" s="5"/>
      <c r="J221" s="5"/>
      <c r="K221" s="5"/>
      <c r="L221" s="5"/>
      <c r="M221" s="5"/>
      <c r="N221" s="94"/>
      <c r="O221" s="235"/>
      <c r="P221" s="234"/>
      <c r="Q221" s="234"/>
      <c r="R221" s="234"/>
    </row>
    <row r="222" spans="1:18">
      <c r="A222" s="32">
        <v>12</v>
      </c>
      <c r="C222" s="3" t="s">
        <v>35</v>
      </c>
      <c r="D222" s="707" t="str">
        <f>'DE Ohio &amp; Kentucky'!D224</f>
        <v>354.20.b</v>
      </c>
      <c r="E222" s="601">
        <f>INPUT!D106</f>
        <v>12883570</v>
      </c>
      <c r="F222" s="83">
        <v>0</v>
      </c>
      <c r="G222" s="22"/>
      <c r="H222" s="225">
        <f>E222*F222</f>
        <v>0</v>
      </c>
      <c r="I222" s="5"/>
      <c r="J222" s="5"/>
      <c r="K222" s="5"/>
      <c r="L222" s="5"/>
      <c r="M222" s="5"/>
      <c r="N222" s="234"/>
      <c r="O222" s="234"/>
      <c r="P222" s="234"/>
      <c r="Q222" s="234"/>
      <c r="R222" s="234"/>
    </row>
    <row r="223" spans="1:18">
      <c r="A223" s="32">
        <v>13</v>
      </c>
      <c r="C223" s="3" t="s">
        <v>37</v>
      </c>
      <c r="D223" s="707" t="str">
        <f>'DE Ohio &amp; Kentucky'!D225</f>
        <v>354.21.b</v>
      </c>
      <c r="E223" s="601">
        <f>INPUT!D107</f>
        <v>1173166</v>
      </c>
      <c r="F223" s="22">
        <f>J208</f>
        <v>0.70390552598171197</v>
      </c>
      <c r="G223" s="22"/>
      <c r="H223" s="225">
        <f>E223*F223</f>
        <v>825798.03029386105</v>
      </c>
      <c r="I223" s="5"/>
      <c r="J223" s="5"/>
      <c r="K223" s="5"/>
      <c r="L223" s="5"/>
      <c r="M223" s="1"/>
      <c r="N223" s="234"/>
      <c r="O223" s="234"/>
      <c r="P223" s="234"/>
      <c r="Q223" s="234"/>
      <c r="R223" s="234"/>
    </row>
    <row r="224" spans="1:18">
      <c r="A224" s="32">
        <v>14</v>
      </c>
      <c r="C224" s="3" t="s">
        <v>38</v>
      </c>
      <c r="D224" s="707" t="str">
        <f>'DE Ohio &amp; Kentucky'!D226</f>
        <v>354.23.b</v>
      </c>
      <c r="E224" s="601">
        <f>INPUT!D108</f>
        <v>5202066</v>
      </c>
      <c r="F224" s="83">
        <v>0</v>
      </c>
      <c r="G224" s="22"/>
      <c r="H224" s="225">
        <f>E224*F224</f>
        <v>0</v>
      </c>
      <c r="I224" s="5"/>
      <c r="J224" s="47" t="s">
        <v>84</v>
      </c>
      <c r="K224" s="5"/>
      <c r="L224" s="5"/>
      <c r="M224" s="5"/>
      <c r="N224" s="234"/>
      <c r="O224" s="234"/>
      <c r="P224" s="234"/>
      <c r="Q224" s="234"/>
      <c r="R224" s="234"/>
    </row>
    <row r="225" spans="1:13" ht="15.75" thickBot="1">
      <c r="A225" s="32">
        <v>15</v>
      </c>
      <c r="C225" s="3" t="s">
        <v>85</v>
      </c>
      <c r="D225" s="835" t="s">
        <v>691</v>
      </c>
      <c r="E225" s="600">
        <f>INPUT!D109</f>
        <v>3031884</v>
      </c>
      <c r="F225" s="83">
        <v>0</v>
      </c>
      <c r="G225" s="22"/>
      <c r="H225" s="226">
        <f>E225*F225</f>
        <v>0</v>
      </c>
      <c r="I225" s="5"/>
      <c r="J225" s="40" t="s">
        <v>86</v>
      </c>
      <c r="K225" s="5"/>
      <c r="L225" s="5"/>
      <c r="M225" s="5"/>
    </row>
    <row r="226" spans="1:13">
      <c r="A226" s="32">
        <v>16</v>
      </c>
      <c r="C226" s="3" t="s">
        <v>172</v>
      </c>
      <c r="D226" s="5"/>
      <c r="E226" s="599">
        <f>SUM(E222:E225)</f>
        <v>22290686</v>
      </c>
      <c r="F226" s="5"/>
      <c r="G226" s="5"/>
      <c r="H226" s="225">
        <f>SUM(H222:H225)</f>
        <v>825798.03029386105</v>
      </c>
      <c r="I226" s="4" t="s">
        <v>87</v>
      </c>
      <c r="J226" s="14">
        <f>IF(H226&gt;0,H226/E226,0)</f>
        <v>3.7046775065328233E-2</v>
      </c>
      <c r="K226" s="6" t="s">
        <v>87</v>
      </c>
      <c r="L226" s="5" t="s">
        <v>169</v>
      </c>
      <c r="M226" s="5"/>
    </row>
    <row r="227" spans="1:13">
      <c r="A227" s="32"/>
      <c r="C227" s="3"/>
      <c r="D227" s="5"/>
      <c r="E227" s="596"/>
      <c r="F227" s="5"/>
      <c r="G227" s="5"/>
      <c r="H227" s="5"/>
      <c r="I227" s="5"/>
      <c r="J227" s="5"/>
      <c r="K227" s="5"/>
      <c r="L227" s="5"/>
      <c r="M227" s="5" t="s">
        <v>12</v>
      </c>
    </row>
    <row r="228" spans="1:13" ht="15.75">
      <c r="A228" s="32"/>
      <c r="C228" s="13" t="s">
        <v>406</v>
      </c>
      <c r="D228" s="5"/>
      <c r="E228" s="596"/>
      <c r="F228" s="5"/>
      <c r="G228" s="5"/>
      <c r="H228" s="6" t="s">
        <v>88</v>
      </c>
      <c r="I228" s="16" t="s">
        <v>12</v>
      </c>
      <c r="J228" s="18" t="str">
        <f>J224</f>
        <v>W&amp;S Allocator</v>
      </c>
      <c r="M228" s="5"/>
    </row>
    <row r="229" spans="1:13" ht="15.75" thickBot="1">
      <c r="A229" s="32"/>
      <c r="C229" s="3"/>
      <c r="D229" s="5"/>
      <c r="E229" s="597" t="s">
        <v>81</v>
      </c>
      <c r="F229" s="5"/>
      <c r="G229" s="5"/>
      <c r="H229" s="32" t="s">
        <v>91</v>
      </c>
      <c r="I229" s="34"/>
      <c r="J229" s="32" t="s">
        <v>92</v>
      </c>
      <c r="K229" s="5"/>
      <c r="L229" s="517" t="s">
        <v>93</v>
      </c>
      <c r="M229" s="5"/>
    </row>
    <row r="230" spans="1:13">
      <c r="A230" s="32">
        <v>17</v>
      </c>
      <c r="C230" s="3" t="s">
        <v>89</v>
      </c>
      <c r="D230" s="707" t="str">
        <f>'DE Ohio &amp; Kentucky'!D232</f>
        <v>200.3.c</v>
      </c>
      <c r="E230" s="601">
        <f>INPUT!D114</f>
        <v>1430228185</v>
      </c>
      <c r="F230" s="5"/>
      <c r="H230" s="19">
        <f>IF(E233&gt;0,E230/E233,0)</f>
        <v>0.80285103039220251</v>
      </c>
      <c r="I230" s="6" t="s">
        <v>95</v>
      </c>
      <c r="J230" s="19">
        <f>J226</f>
        <v>3.7046775065328233E-2</v>
      </c>
      <c r="K230" s="16" t="s">
        <v>87</v>
      </c>
      <c r="L230" s="518">
        <f>J230*H230</f>
        <v>2.9743041533906927E-2</v>
      </c>
      <c r="M230" s="5"/>
    </row>
    <row r="231" spans="1:13">
      <c r="A231" s="32">
        <v>18</v>
      </c>
      <c r="C231" s="3" t="s">
        <v>94</v>
      </c>
      <c r="D231" s="707" t="str">
        <f>'DE Ohio &amp; Kentucky'!D233</f>
        <v>201.3.d</v>
      </c>
      <c r="E231" s="601">
        <f>INPUT!D115</f>
        <v>351208384</v>
      </c>
      <c r="F231" s="5"/>
      <c r="M231" s="5"/>
    </row>
    <row r="232" spans="1:13" ht="15.75" thickBot="1">
      <c r="A232" s="32">
        <v>19</v>
      </c>
      <c r="C232" s="54" t="s">
        <v>96</v>
      </c>
      <c r="D232" s="54" t="str">
        <f>'DE Ohio &amp; Kentucky'!D234</f>
        <v>201.3.e</v>
      </c>
      <c r="E232" s="600">
        <f>INPUT!D116</f>
        <v>0</v>
      </c>
      <c r="F232" s="5"/>
      <c r="G232" s="5"/>
      <c r="H232" s="5" t="s">
        <v>12</v>
      </c>
      <c r="I232" s="5"/>
      <c r="J232" s="5"/>
      <c r="K232" s="5"/>
      <c r="L232" s="5"/>
      <c r="M232" s="5"/>
    </row>
    <row r="233" spans="1:13">
      <c r="A233" s="32">
        <v>20</v>
      </c>
      <c r="C233" s="3" t="s">
        <v>151</v>
      </c>
      <c r="D233" s="5"/>
      <c r="E233" s="225">
        <f>E230+E231+E232</f>
        <v>1781436569</v>
      </c>
      <c r="F233" s="5"/>
      <c r="G233" s="5"/>
      <c r="H233" s="5"/>
      <c r="I233" s="5"/>
      <c r="J233" s="5"/>
      <c r="K233" s="5"/>
      <c r="L233" s="5"/>
      <c r="M233" s="5"/>
    </row>
    <row r="234" spans="1:13">
      <c r="A234" s="32"/>
      <c r="C234" s="3"/>
      <c r="D234" s="5"/>
      <c r="F234" s="5"/>
      <c r="G234" s="5"/>
      <c r="H234" s="5"/>
      <c r="I234" s="5"/>
      <c r="J234" s="5"/>
      <c r="K234" s="5"/>
      <c r="L234" s="5"/>
      <c r="M234" s="5"/>
    </row>
    <row r="235" spans="1:13" ht="16.5" thickBot="1">
      <c r="A235" s="32"/>
      <c r="B235" s="31"/>
      <c r="C235" s="390" t="s">
        <v>97</v>
      </c>
      <c r="D235" s="5"/>
      <c r="E235" s="5"/>
      <c r="F235" s="5"/>
      <c r="G235" s="5"/>
      <c r="H235" s="5"/>
      <c r="I235" s="5"/>
      <c r="J235" s="45" t="s">
        <v>81</v>
      </c>
      <c r="K235" s="5"/>
      <c r="L235" s="5"/>
      <c r="M235" s="5"/>
    </row>
    <row r="236" spans="1:13">
      <c r="A236" s="32">
        <v>21</v>
      </c>
      <c r="B236" s="31"/>
      <c r="C236" s="31"/>
      <c r="D236" s="707" t="str">
        <f>'DE Ohio &amp; Kentucky'!D238</f>
        <v>Long Term Interest (117, sum of 62.c through 67.c)</v>
      </c>
      <c r="E236" s="5"/>
      <c r="F236" s="5"/>
      <c r="G236" s="5"/>
      <c r="H236" s="5"/>
      <c r="I236" s="5"/>
      <c r="J236" s="590">
        <f>INPUT!D120</f>
        <v>15003880</v>
      </c>
      <c r="K236" s="5"/>
      <c r="L236" s="5"/>
      <c r="M236" s="5"/>
    </row>
    <row r="237" spans="1:13">
      <c r="A237" s="32"/>
      <c r="C237" s="3"/>
      <c r="D237" s="5"/>
      <c r="E237" s="5"/>
      <c r="F237" s="5"/>
      <c r="G237" s="5"/>
      <c r="H237" s="5"/>
      <c r="I237" s="5"/>
      <c r="J237" s="599"/>
      <c r="K237" s="5"/>
      <c r="L237" s="5"/>
      <c r="M237" s="5"/>
    </row>
    <row r="238" spans="1:13">
      <c r="A238" s="32">
        <v>22</v>
      </c>
      <c r="B238" s="31"/>
      <c r="C238" s="29"/>
      <c r="D238" s="707" t="str">
        <f>'DE Ohio &amp; Kentucky'!D240</f>
        <v>Preferred Dividends (118.29c) (positive number)</v>
      </c>
      <c r="E238" s="5"/>
      <c r="F238" s="5"/>
      <c r="G238" s="5"/>
      <c r="H238" s="5"/>
      <c r="I238" s="37"/>
      <c r="J238" s="589">
        <f>INPUT!D122</f>
        <v>0</v>
      </c>
      <c r="K238" s="5"/>
      <c r="L238" s="5"/>
      <c r="M238" s="5"/>
    </row>
    <row r="239" spans="1:13">
      <c r="A239" s="32"/>
      <c r="B239" s="31"/>
      <c r="C239" s="29"/>
      <c r="D239" s="5"/>
      <c r="E239" s="5"/>
      <c r="F239" s="5"/>
      <c r="G239" s="5"/>
      <c r="H239" s="5"/>
      <c r="I239" s="5"/>
      <c r="J239" s="599"/>
      <c r="K239" s="5"/>
      <c r="L239" s="5"/>
      <c r="M239" s="5"/>
    </row>
    <row r="240" spans="1:13">
      <c r="A240" s="32"/>
      <c r="B240" s="31"/>
      <c r="C240" s="29" t="s">
        <v>99</v>
      </c>
      <c r="D240" s="5"/>
      <c r="E240" s="5"/>
      <c r="F240" s="5"/>
      <c r="G240" s="5"/>
      <c r="H240" s="5"/>
      <c r="I240" s="5"/>
      <c r="J240" s="599"/>
      <c r="K240" s="5"/>
      <c r="L240" s="5"/>
      <c r="M240" s="5"/>
    </row>
    <row r="241" spans="1:13">
      <c r="A241" s="32">
        <v>23</v>
      </c>
      <c r="B241" s="31"/>
      <c r="C241" s="29"/>
      <c r="D241" s="707" t="str">
        <f>'DE Ohio &amp; Kentucky'!D243</f>
        <v>Proprietary Capital (112.16.c)</v>
      </c>
      <c r="E241" s="31"/>
      <c r="F241" s="5"/>
      <c r="G241" s="5"/>
      <c r="H241" s="5"/>
      <c r="I241" s="5"/>
      <c r="J241" s="601">
        <f>INPUT!D125</f>
        <v>437015497</v>
      </c>
      <c r="K241" s="5"/>
      <c r="L241" s="5"/>
      <c r="M241" s="5"/>
    </row>
    <row r="242" spans="1:13">
      <c r="A242" s="32">
        <v>24</v>
      </c>
      <c r="B242" s="31"/>
      <c r="C242" s="29"/>
      <c r="D242" s="707" t="str">
        <f>'DE Ohio &amp; Kentucky'!D244</f>
        <v xml:space="preserve">Less Preferred Stock (line 28) </v>
      </c>
      <c r="E242" s="5"/>
      <c r="F242" s="5"/>
      <c r="G242" s="5"/>
      <c r="H242" s="5"/>
      <c r="I242" s="5"/>
      <c r="J242" s="595">
        <f>INPUT!D126</f>
        <v>0</v>
      </c>
      <c r="K242" s="5"/>
      <c r="L242" s="5"/>
      <c r="M242" s="5"/>
    </row>
    <row r="243" spans="1:13" ht="15.75" thickBot="1">
      <c r="A243" s="32">
        <v>25</v>
      </c>
      <c r="B243" s="31"/>
      <c r="C243" s="29"/>
      <c r="D243" s="707" t="str">
        <f>'DE Ohio &amp; Kentucky'!D245</f>
        <v>Less Account 216.1 (112.12.c)  (enter negative)</v>
      </c>
      <c r="E243" s="5"/>
      <c r="F243" s="5"/>
      <c r="G243" s="5"/>
      <c r="H243" s="5"/>
      <c r="I243" s="5"/>
      <c r="J243" s="600">
        <f>INPUT!D127</f>
        <v>0</v>
      </c>
      <c r="K243" s="5"/>
      <c r="L243" s="5"/>
      <c r="M243" s="5"/>
    </row>
    <row r="244" spans="1:13">
      <c r="A244" s="32">
        <v>26</v>
      </c>
      <c r="B244" s="31"/>
      <c r="C244" s="31"/>
      <c r="D244" s="707" t="str">
        <f>'DE Ohio &amp; Kentucky'!D246</f>
        <v>Common Stock (sum lines 23-25)</v>
      </c>
      <c r="E244" s="31"/>
      <c r="F244" s="31"/>
      <c r="G244" s="31"/>
      <c r="H244" s="31"/>
      <c r="I244" s="31"/>
      <c r="J244" s="225">
        <f>J241+J242+J243</f>
        <v>437015497</v>
      </c>
      <c r="K244" s="5"/>
      <c r="L244" s="5"/>
      <c r="M244" s="5"/>
    </row>
    <row r="245" spans="1:13">
      <c r="A245" s="32"/>
      <c r="C245" s="3"/>
      <c r="D245" s="5"/>
      <c r="E245" s="5"/>
      <c r="F245" s="5"/>
      <c r="G245" s="5"/>
      <c r="H245" s="6"/>
      <c r="I245" s="5"/>
      <c r="J245" s="5"/>
      <c r="K245" s="5"/>
      <c r="L245" s="5"/>
      <c r="M245" s="5"/>
    </row>
    <row r="246" spans="1:13" ht="15.75" thickBot="1">
      <c r="A246" s="32"/>
      <c r="C246" s="3"/>
      <c r="D246" s="6" t="str">
        <f>'DE Ohio &amp; Kentucky'!D248</f>
        <v>(Note P)</v>
      </c>
      <c r="E246" s="40" t="s">
        <v>81</v>
      </c>
      <c r="F246" s="40" t="s">
        <v>102</v>
      </c>
      <c r="G246" s="5"/>
      <c r="H246" s="40" t="s">
        <v>101</v>
      </c>
      <c r="I246" s="5"/>
      <c r="J246" s="40" t="s">
        <v>103</v>
      </c>
      <c r="K246" s="5"/>
      <c r="L246" s="5"/>
      <c r="M246" s="5"/>
    </row>
    <row r="247" spans="1:13">
      <c r="A247" s="32">
        <v>27</v>
      </c>
      <c r="C247" s="65" t="s">
        <v>209</v>
      </c>
      <c r="E247" s="601">
        <f>INPUT!D131</f>
        <v>361720000</v>
      </c>
      <c r="F247" s="55">
        <f>IF($E$250&gt;0,E247/$E$250,0)</f>
        <v>0.45286581272348286</v>
      </c>
      <c r="G247" s="23"/>
      <c r="H247" s="23">
        <f>IF(E247&gt;0,J236/E247,0)</f>
        <v>4.1479265730399201E-2</v>
      </c>
      <c r="J247" s="23">
        <f>ROUND(H247*F247,4)</f>
        <v>1.8800000000000001E-2</v>
      </c>
      <c r="K247" s="24" t="s">
        <v>104</v>
      </c>
      <c r="M247" s="5"/>
    </row>
    <row r="248" spans="1:13">
      <c r="A248" s="32">
        <v>28</v>
      </c>
      <c r="C248" s="65" t="s">
        <v>210</v>
      </c>
      <c r="E248" s="601">
        <f>INPUT!D132</f>
        <v>0</v>
      </c>
      <c r="F248" s="55">
        <f>IF($E$250&gt;0,E248/$E$250,0)</f>
        <v>0</v>
      </c>
      <c r="G248" s="23"/>
      <c r="H248" s="23">
        <f>IF(E248&gt;0,J238/E248,0)</f>
        <v>0</v>
      </c>
      <c r="J248" s="23">
        <f>ROUND(H248*F248,4)</f>
        <v>0</v>
      </c>
      <c r="K248" s="5"/>
      <c r="M248" s="5"/>
    </row>
    <row r="249" spans="1:13" ht="16.5" thickBot="1">
      <c r="A249" s="32">
        <v>29</v>
      </c>
      <c r="C249" s="29" t="s">
        <v>105</v>
      </c>
      <c r="E249" s="226">
        <f>J244</f>
        <v>437015497</v>
      </c>
      <c r="F249" s="55">
        <f>IF($E$250&gt;0,E249/$E$250,0)</f>
        <v>0.54713418727651719</v>
      </c>
      <c r="G249" s="23"/>
      <c r="H249" s="211">
        <f>ROE</f>
        <v>0.1138</v>
      </c>
      <c r="J249" s="61">
        <f>ROUND(H249*F249,4)</f>
        <v>6.2300000000000001E-2</v>
      </c>
      <c r="K249" s="5"/>
      <c r="M249" s="5"/>
    </row>
    <row r="250" spans="1:13">
      <c r="A250" s="32">
        <v>30</v>
      </c>
      <c r="C250" s="3" t="s">
        <v>171</v>
      </c>
      <c r="E250" s="225">
        <f>E249+E248+E247</f>
        <v>798735497</v>
      </c>
      <c r="F250" s="5" t="s">
        <v>12</v>
      </c>
      <c r="G250" s="5"/>
      <c r="H250" s="5"/>
      <c r="I250" s="5"/>
      <c r="J250" s="23">
        <f>SUM(J247:J249)</f>
        <v>8.1100000000000005E-2</v>
      </c>
      <c r="K250" s="24" t="s">
        <v>106</v>
      </c>
      <c r="M250" s="5"/>
    </row>
    <row r="251" spans="1:13">
      <c r="F251" s="5"/>
      <c r="G251" s="5"/>
      <c r="H251" s="5"/>
      <c r="I251" s="5"/>
      <c r="M251" s="5"/>
    </row>
    <row r="252" spans="1:13" ht="15.75">
      <c r="C252" s="390"/>
      <c r="L252" s="5"/>
      <c r="M252" s="5"/>
    </row>
    <row r="253" spans="1:13" ht="15.75">
      <c r="A253" s="32"/>
      <c r="C253" s="390" t="s">
        <v>107</v>
      </c>
      <c r="D253" s="31"/>
      <c r="E253" s="31"/>
      <c r="F253" s="31"/>
      <c r="G253" s="31"/>
      <c r="H253" s="31"/>
      <c r="I253" s="31"/>
      <c r="J253" s="31"/>
      <c r="K253" s="31"/>
      <c r="L253" s="31"/>
      <c r="M253" s="5"/>
    </row>
    <row r="254" spans="1:13" ht="15.75" thickBot="1">
      <c r="A254" s="32"/>
      <c r="C254" s="29"/>
      <c r="D254" s="29"/>
      <c r="E254" s="29"/>
      <c r="F254" s="29"/>
      <c r="G254" s="29"/>
      <c r="H254" s="29"/>
      <c r="I254" s="29"/>
      <c r="J254" s="40" t="s">
        <v>152</v>
      </c>
      <c r="K254" s="58"/>
    </row>
    <row r="255" spans="1:13">
      <c r="A255" s="32"/>
      <c r="C255" s="428" t="s">
        <v>449</v>
      </c>
      <c r="D255" s="31"/>
      <c r="E255" s="31" t="s">
        <v>108</v>
      </c>
      <c r="F255" s="31"/>
      <c r="G255" s="31"/>
      <c r="H255" s="35" t="s">
        <v>12</v>
      </c>
      <c r="I255" s="28"/>
      <c r="J255" s="238"/>
      <c r="K255" s="238"/>
    </row>
    <row r="256" spans="1:13">
      <c r="A256" s="32">
        <v>31</v>
      </c>
      <c r="C256" s="12" t="s">
        <v>149</v>
      </c>
      <c r="D256" s="31"/>
      <c r="E256" s="31"/>
      <c r="G256" s="31"/>
      <c r="I256" s="28"/>
      <c r="J256" s="410">
        <v>0</v>
      </c>
      <c r="K256" s="239"/>
    </row>
    <row r="257" spans="1:13" ht="15.75" thickBot="1">
      <c r="A257" s="32">
        <v>32</v>
      </c>
      <c r="C257" s="56" t="s">
        <v>410</v>
      </c>
      <c r="D257" s="53"/>
      <c r="E257" s="56"/>
      <c r="F257" s="52"/>
      <c r="G257" s="52"/>
      <c r="H257" s="52"/>
      <c r="I257" s="31"/>
      <c r="J257" s="411">
        <v>0</v>
      </c>
      <c r="K257" s="240"/>
    </row>
    <row r="258" spans="1:13">
      <c r="A258" s="32">
        <v>33</v>
      </c>
      <c r="C258" s="12" t="s">
        <v>109</v>
      </c>
      <c r="D258" s="1"/>
      <c r="F258" s="31"/>
      <c r="G258" s="31"/>
      <c r="H258" s="31"/>
      <c r="I258" s="31"/>
      <c r="J258" s="249">
        <f>J256-J257</f>
        <v>0</v>
      </c>
      <c r="K258" s="239"/>
    </row>
    <row r="259" spans="1:13">
      <c r="A259" s="32"/>
      <c r="C259" s="12" t="s">
        <v>12</v>
      </c>
      <c r="D259" s="1"/>
      <c r="F259" s="31"/>
      <c r="G259" s="31"/>
      <c r="H259" s="46"/>
      <c r="I259" s="31"/>
      <c r="J259" s="41" t="s">
        <v>12</v>
      </c>
      <c r="K259" s="238"/>
      <c r="L259" s="42"/>
      <c r="M259" s="5"/>
    </row>
    <row r="260" spans="1:13">
      <c r="A260" s="32">
        <v>34</v>
      </c>
      <c r="C260" s="428" t="s">
        <v>439</v>
      </c>
      <c r="D260" s="1"/>
      <c r="F260" s="31"/>
      <c r="G260" s="31"/>
      <c r="H260" s="57"/>
      <c r="I260" s="31"/>
      <c r="J260" s="115">
        <f>ROUND('P8 Rev Cred Support'!E20,0)</f>
        <v>19964</v>
      </c>
      <c r="K260" s="238"/>
      <c r="L260" s="42"/>
      <c r="M260" s="5"/>
    </row>
    <row r="261" spans="1:13">
      <c r="A261" s="32"/>
      <c r="D261" s="31"/>
      <c r="E261" s="31"/>
      <c r="F261" s="31"/>
      <c r="G261" s="31"/>
      <c r="H261" s="31"/>
      <c r="I261" s="31"/>
      <c r="J261" s="79"/>
      <c r="K261" s="238"/>
      <c r="L261" s="42"/>
      <c r="M261" s="5"/>
    </row>
    <row r="262" spans="1:13">
      <c r="A262" s="32">
        <v>35</v>
      </c>
      <c r="C262" s="428" t="s">
        <v>462</v>
      </c>
      <c r="D262" s="31"/>
      <c r="E262" s="31" t="s">
        <v>110</v>
      </c>
      <c r="F262" s="31"/>
      <c r="G262" s="31"/>
      <c r="H262" s="31"/>
      <c r="I262" s="31"/>
      <c r="J262" s="115">
        <f>'P8 Rev Cred Support'!E50</f>
        <v>37595</v>
      </c>
      <c r="L262" s="43"/>
      <c r="M262" s="5"/>
    </row>
    <row r="263" spans="1:13">
      <c r="A263" s="32"/>
      <c r="C263" s="29"/>
      <c r="D263" s="29"/>
      <c r="E263" s="30"/>
      <c r="F263" s="29"/>
      <c r="G263" s="29"/>
      <c r="H263" s="29"/>
      <c r="I263" s="31"/>
      <c r="K263" s="32"/>
      <c r="L263" s="92"/>
      <c r="M263" s="32"/>
    </row>
    <row r="264" spans="1:13" ht="18">
      <c r="A264" s="245"/>
      <c r="C264" s="29"/>
      <c r="D264" s="29"/>
      <c r="E264" s="30"/>
      <c r="F264" s="29"/>
      <c r="G264" s="29"/>
      <c r="H264" s="29"/>
      <c r="I264" s="31"/>
      <c r="J264" s="77" t="s">
        <v>365</v>
      </c>
      <c r="K264" s="91"/>
      <c r="M264" s="91"/>
    </row>
    <row r="265" spans="1:13">
      <c r="C265" s="29"/>
      <c r="D265" s="29"/>
      <c r="E265" s="30"/>
      <c r="F265" s="29"/>
      <c r="G265" s="29"/>
      <c r="H265" s="29"/>
      <c r="I265" s="31"/>
      <c r="J265" s="77" t="s">
        <v>568</v>
      </c>
      <c r="M265" s="77"/>
    </row>
    <row r="266" spans="1:13">
      <c r="C266" s="29"/>
      <c r="D266" s="29"/>
      <c r="E266" s="30"/>
      <c r="F266" s="29"/>
      <c r="G266" s="29"/>
      <c r="H266" s="29"/>
      <c r="I266" s="31"/>
      <c r="J266" s="77"/>
      <c r="M266" s="77"/>
    </row>
    <row r="267" spans="1:13">
      <c r="C267" s="29"/>
      <c r="D267" s="29"/>
      <c r="E267" s="30"/>
      <c r="F267" s="29"/>
      <c r="G267" s="29"/>
      <c r="H267" s="29"/>
      <c r="I267" s="31"/>
      <c r="M267" s="77"/>
    </row>
    <row r="268" spans="1:13">
      <c r="C268" s="29"/>
      <c r="D268" s="29"/>
      <c r="E268" s="30"/>
      <c r="F268" s="29"/>
      <c r="G268" s="29"/>
      <c r="H268" s="29"/>
      <c r="I268" s="31"/>
      <c r="K268" s="1"/>
      <c r="M268" s="77"/>
    </row>
    <row r="269" spans="1:13">
      <c r="C269" s="29" t="s">
        <v>11</v>
      </c>
      <c r="D269" s="29"/>
      <c r="E269" s="30"/>
      <c r="F269" s="29"/>
      <c r="G269" s="29"/>
      <c r="H269" s="29"/>
      <c r="I269" s="31"/>
      <c r="J269" s="77"/>
      <c r="K269" s="1"/>
      <c r="M269" s="77"/>
    </row>
    <row r="270" spans="1:13">
      <c r="C270" s="29"/>
      <c r="D270" s="29"/>
      <c r="E270" s="30"/>
      <c r="F270" s="29"/>
      <c r="G270" s="29"/>
      <c r="H270" s="29"/>
      <c r="I270" s="31"/>
      <c r="J270" s="92" t="str">
        <f>$J$7</f>
        <v>For the 12 months ended: 12/31/2016</v>
      </c>
      <c r="K270" s="1"/>
      <c r="M270" s="77"/>
    </row>
    <row r="271" spans="1:13">
      <c r="A271" s="12" t="str">
        <f>$A$8</f>
        <v>Rate Formula Template</v>
      </c>
      <c r="B271" s="277"/>
      <c r="C271" s="277"/>
      <c r="D271" s="275"/>
      <c r="E271" s="277"/>
      <c r="F271" s="275"/>
      <c r="G271" s="275"/>
      <c r="H271" s="275"/>
      <c r="I271" s="275"/>
      <c r="J271" s="277"/>
      <c r="K271" s="60"/>
      <c r="L271" s="277"/>
      <c r="M271" s="1"/>
    </row>
    <row r="272" spans="1:13">
      <c r="A272" s="303" t="s">
        <v>327</v>
      </c>
      <c r="B272" s="277"/>
      <c r="C272" s="275"/>
      <c r="D272" s="278"/>
      <c r="E272" s="277"/>
      <c r="F272" s="278"/>
      <c r="G272" s="278"/>
      <c r="H272" s="278"/>
      <c r="I272" s="275"/>
      <c r="J272" s="275"/>
      <c r="K272" s="60"/>
      <c r="L272" s="271"/>
      <c r="M272" s="1"/>
    </row>
    <row r="273" spans="1:18">
      <c r="A273" s="278"/>
      <c r="B273" s="277"/>
      <c r="C273" s="271"/>
      <c r="D273" s="271"/>
      <c r="E273" s="277"/>
      <c r="F273" s="271"/>
      <c r="G273" s="271"/>
      <c r="H273" s="271"/>
      <c r="I273" s="271"/>
      <c r="J273" s="271"/>
      <c r="K273" s="60"/>
      <c r="L273" s="271"/>
      <c r="M273" s="31"/>
    </row>
    <row r="274" spans="1:18">
      <c r="A274" s="271" t="s">
        <v>216</v>
      </c>
      <c r="B274" s="277"/>
      <c r="C274" s="271"/>
      <c r="D274" s="271"/>
      <c r="E274" s="277"/>
      <c r="F274" s="271"/>
      <c r="G274" s="271"/>
      <c r="H274" s="271"/>
      <c r="I274" s="271"/>
      <c r="J274" s="271"/>
      <c r="K274" s="60"/>
      <c r="L274" s="271"/>
      <c r="M274" s="31"/>
    </row>
    <row r="275" spans="1:18" ht="15.75">
      <c r="A275" s="274"/>
      <c r="B275" s="31"/>
      <c r="C275" s="39"/>
      <c r="D275" s="32"/>
      <c r="E275" s="5"/>
      <c r="F275" s="5"/>
      <c r="G275" s="5"/>
      <c r="H275" s="5"/>
      <c r="I275" s="31"/>
      <c r="J275" s="242"/>
      <c r="K275" s="60"/>
      <c r="L275" s="241"/>
      <c r="M275" s="31"/>
    </row>
    <row r="276" spans="1:18" ht="20.25">
      <c r="A276" s="32"/>
      <c r="B276" s="31"/>
      <c r="C276" s="29" t="s">
        <v>111</v>
      </c>
      <c r="D276" s="32"/>
      <c r="E276" s="5"/>
      <c r="F276" s="5"/>
      <c r="G276" s="5"/>
      <c r="H276" s="5"/>
      <c r="I276" s="31"/>
      <c r="J276" s="5"/>
      <c r="K276" s="60"/>
      <c r="L276" s="5"/>
      <c r="M276" s="243"/>
    </row>
    <row r="277" spans="1:18" ht="20.25">
      <c r="A277" s="32" t="s">
        <v>113</v>
      </c>
      <c r="B277" s="31"/>
      <c r="C277" s="29" t="s">
        <v>112</v>
      </c>
      <c r="D277" s="31"/>
      <c r="E277" s="5"/>
      <c r="F277" s="5"/>
      <c r="G277" s="5"/>
      <c r="H277" s="5"/>
      <c r="I277" s="31"/>
      <c r="J277" s="5"/>
      <c r="K277" s="60"/>
      <c r="L277" s="5"/>
      <c r="M277" s="243"/>
    </row>
    <row r="278" spans="1:18" ht="20.25">
      <c r="A278" s="288" t="s">
        <v>114</v>
      </c>
      <c r="B278" s="31"/>
      <c r="C278" s="29"/>
      <c r="D278" s="31"/>
      <c r="E278" s="5"/>
      <c r="F278" s="5"/>
      <c r="G278" s="5"/>
      <c r="H278" s="5"/>
      <c r="I278" s="31"/>
      <c r="J278" s="5"/>
      <c r="K278" s="60"/>
      <c r="L278" s="5"/>
      <c r="M278" s="243"/>
    </row>
    <row r="279" spans="1:18" ht="21">
      <c r="A279" s="806" t="s">
        <v>115</v>
      </c>
      <c r="B279" s="805"/>
      <c r="C279" s="879" t="s">
        <v>684</v>
      </c>
      <c r="D279" s="60"/>
      <c r="E279" s="37"/>
      <c r="F279" s="37"/>
      <c r="G279" s="37"/>
      <c r="H279" s="37"/>
      <c r="I279" s="60"/>
      <c r="J279" s="37"/>
      <c r="K279" s="60"/>
      <c r="L279" s="37"/>
      <c r="M279" s="244"/>
      <c r="N279" s="708"/>
      <c r="O279" s="708"/>
      <c r="P279" s="708"/>
      <c r="Q279" s="708"/>
      <c r="R279" s="88"/>
    </row>
    <row r="280" spans="1:18" s="868" customFormat="1" ht="20.45" customHeight="1">
      <c r="A280" s="806"/>
      <c r="B280" s="805"/>
      <c r="C280" s="879" t="s">
        <v>685</v>
      </c>
      <c r="D280" s="823"/>
      <c r="E280" s="807"/>
      <c r="F280" s="807"/>
      <c r="G280" s="807"/>
      <c r="H280" s="807"/>
      <c r="I280" s="823"/>
      <c r="J280" s="807"/>
      <c r="K280" s="823"/>
      <c r="L280" s="807"/>
      <c r="M280" s="810"/>
      <c r="R280" s="88"/>
    </row>
    <row r="281" spans="1:18" s="868" customFormat="1" ht="20.45" customHeight="1">
      <c r="A281" s="806"/>
      <c r="B281" s="805"/>
      <c r="C281" s="879" t="s">
        <v>697</v>
      </c>
      <c r="D281" s="823"/>
      <c r="E281" s="807"/>
      <c r="F281" s="807"/>
      <c r="G281" s="807"/>
      <c r="H281" s="807"/>
      <c r="I281" s="823"/>
      <c r="J281" s="807"/>
      <c r="K281" s="823"/>
      <c r="L281" s="807"/>
      <c r="M281" s="810"/>
      <c r="R281" s="88"/>
    </row>
    <row r="282" spans="1:18" ht="20.25">
      <c r="A282" s="809" t="s">
        <v>116</v>
      </c>
      <c r="B282" s="823"/>
      <c r="C282" s="873" t="s">
        <v>687</v>
      </c>
      <c r="D282" s="60"/>
      <c r="E282" s="37"/>
      <c r="F282" s="37"/>
      <c r="G282" s="37"/>
      <c r="H282" s="37"/>
      <c r="I282" s="60"/>
      <c r="J282" s="37"/>
      <c r="K282" s="60"/>
      <c r="L282" s="37"/>
      <c r="M282" s="244"/>
      <c r="N282" s="708"/>
      <c r="O282" s="708"/>
      <c r="P282" s="708"/>
      <c r="Q282" s="708"/>
    </row>
    <row r="283" spans="1:18" s="804" customFormat="1" ht="20.25">
      <c r="A283" s="809"/>
      <c r="B283" s="823"/>
      <c r="C283" s="872" t="s">
        <v>688</v>
      </c>
      <c r="D283" s="808"/>
      <c r="E283" s="807"/>
      <c r="F283" s="807"/>
      <c r="G283" s="807"/>
      <c r="H283" s="807"/>
      <c r="I283" s="808"/>
      <c r="J283" s="807"/>
      <c r="K283" s="808"/>
      <c r="L283" s="807"/>
      <c r="M283" s="810"/>
    </row>
    <row r="284" spans="1:18" s="804" customFormat="1" ht="20.25">
      <c r="A284" s="809"/>
      <c r="B284" s="823"/>
      <c r="C284" s="873" t="s">
        <v>698</v>
      </c>
      <c r="D284" s="808"/>
      <c r="E284" s="807"/>
      <c r="F284" s="807"/>
      <c r="G284" s="807"/>
      <c r="H284" s="807"/>
      <c r="I284" s="808"/>
      <c r="J284" s="807"/>
      <c r="K284" s="808"/>
      <c r="L284" s="807"/>
      <c r="M284" s="810"/>
    </row>
    <row r="285" spans="1:18" ht="20.25">
      <c r="A285" s="809" t="s">
        <v>117</v>
      </c>
      <c r="B285" s="823"/>
      <c r="C285" s="837" t="s">
        <v>360</v>
      </c>
      <c r="D285" s="60"/>
      <c r="E285" s="60"/>
      <c r="F285" s="60"/>
      <c r="G285" s="60"/>
      <c r="H285" s="60"/>
      <c r="I285" s="60"/>
      <c r="J285" s="37"/>
      <c r="K285" s="60"/>
      <c r="L285" s="60"/>
      <c r="M285" s="244"/>
      <c r="N285" s="708"/>
      <c r="O285" s="708"/>
      <c r="P285" s="708"/>
      <c r="Q285" s="708"/>
    </row>
    <row r="286" spans="1:18" s="804" customFormat="1" ht="20.25">
      <c r="A286" s="809" t="s">
        <v>118</v>
      </c>
      <c r="B286" s="823"/>
      <c r="C286" s="837" t="s">
        <v>360</v>
      </c>
      <c r="D286" s="808"/>
      <c r="E286" s="808"/>
      <c r="F286" s="808"/>
      <c r="G286" s="808"/>
      <c r="H286" s="808"/>
      <c r="I286" s="808"/>
      <c r="J286" s="807"/>
      <c r="K286" s="808"/>
      <c r="L286" s="808"/>
      <c r="M286" s="810"/>
    </row>
    <row r="287" spans="1:18" s="804" customFormat="1" ht="20.25">
      <c r="A287" s="809" t="s">
        <v>119</v>
      </c>
      <c r="B287" s="823"/>
      <c r="C287" s="823" t="s">
        <v>469</v>
      </c>
      <c r="D287" s="808"/>
      <c r="E287" s="808"/>
      <c r="F287" s="808"/>
      <c r="G287" s="808"/>
      <c r="H287" s="808"/>
      <c r="I287" s="808"/>
      <c r="J287" s="807"/>
      <c r="K287" s="808"/>
      <c r="L287" s="808"/>
      <c r="M287" s="810"/>
    </row>
    <row r="288" spans="1:18" ht="20.25">
      <c r="A288" s="809"/>
      <c r="B288" s="823"/>
      <c r="C288" s="823" t="s">
        <v>536</v>
      </c>
      <c r="D288" s="60"/>
      <c r="E288" s="60"/>
      <c r="F288" s="60"/>
      <c r="G288" s="60"/>
      <c r="H288" s="60"/>
      <c r="I288" s="60"/>
      <c r="J288" s="37"/>
      <c r="K288" s="60"/>
      <c r="L288" s="60"/>
      <c r="M288" s="244"/>
    </row>
    <row r="289" spans="1:13" ht="20.25">
      <c r="A289" s="806" t="s">
        <v>120</v>
      </c>
      <c r="B289" s="805"/>
      <c r="C289" s="823" t="s">
        <v>264</v>
      </c>
      <c r="D289" s="60"/>
      <c r="E289" s="60"/>
      <c r="F289" s="60"/>
      <c r="G289" s="60"/>
      <c r="H289" s="60"/>
      <c r="I289" s="60"/>
      <c r="J289" s="37"/>
      <c r="K289" s="60"/>
      <c r="L289" s="60"/>
      <c r="M289" s="244"/>
    </row>
    <row r="290" spans="1:13" ht="20.25">
      <c r="A290" s="806"/>
      <c r="B290" s="805"/>
      <c r="C290" s="823" t="s">
        <v>265</v>
      </c>
      <c r="D290" s="60"/>
      <c r="E290" s="60"/>
      <c r="F290" s="60"/>
      <c r="G290" s="60"/>
      <c r="H290" s="60"/>
      <c r="I290" s="60"/>
      <c r="J290" s="37"/>
      <c r="K290" s="60"/>
      <c r="L290" s="60"/>
      <c r="M290" s="244"/>
    </row>
    <row r="291" spans="1:13" ht="20.25">
      <c r="A291" s="806"/>
      <c r="B291" s="805"/>
      <c r="C291" s="823" t="s">
        <v>243</v>
      </c>
      <c r="D291" s="60"/>
      <c r="E291" s="60"/>
      <c r="F291" s="60"/>
      <c r="G291" s="60"/>
      <c r="H291" s="60"/>
      <c r="I291" s="60"/>
      <c r="J291" s="60"/>
      <c r="K291" s="60"/>
      <c r="L291" s="60"/>
      <c r="M291" s="244"/>
    </row>
    <row r="292" spans="1:13" ht="20.25">
      <c r="A292" s="806" t="s">
        <v>121</v>
      </c>
      <c r="B292" s="805"/>
      <c r="C292" s="823" t="s">
        <v>122</v>
      </c>
      <c r="D292" s="60"/>
      <c r="E292" s="60"/>
      <c r="F292" s="60"/>
      <c r="G292" s="60"/>
      <c r="H292" s="60"/>
      <c r="I292" s="60"/>
      <c r="J292" s="60"/>
      <c r="K292" s="60"/>
      <c r="L292" s="60"/>
      <c r="M292" s="244"/>
    </row>
    <row r="293" spans="1:13" ht="20.25">
      <c r="A293" s="806" t="s">
        <v>123</v>
      </c>
      <c r="B293" s="805"/>
      <c r="C293" s="823" t="s">
        <v>124</v>
      </c>
      <c r="D293" s="60"/>
      <c r="E293" s="60"/>
      <c r="F293" s="60"/>
      <c r="G293" s="60"/>
      <c r="H293" s="60"/>
      <c r="I293" s="60"/>
      <c r="J293" s="60"/>
      <c r="K293" s="60"/>
      <c r="L293" s="60"/>
      <c r="M293" s="244"/>
    </row>
    <row r="294" spans="1:13" ht="20.25">
      <c r="A294" s="806"/>
      <c r="B294" s="805"/>
      <c r="C294" s="823" t="s">
        <v>368</v>
      </c>
      <c r="D294" s="60"/>
      <c r="E294" s="60"/>
      <c r="F294" s="60"/>
      <c r="G294" s="60"/>
      <c r="H294" s="60"/>
      <c r="I294" s="60"/>
      <c r="J294" s="60"/>
      <c r="K294" s="60"/>
      <c r="L294" s="60"/>
      <c r="M294" s="244"/>
    </row>
    <row r="295" spans="1:13" ht="20.25">
      <c r="A295" s="806" t="s">
        <v>125</v>
      </c>
      <c r="B295" s="805"/>
      <c r="C295" s="823" t="s">
        <v>393</v>
      </c>
      <c r="D295" s="60"/>
      <c r="E295" s="60"/>
      <c r="F295" s="60"/>
      <c r="G295" s="60"/>
      <c r="H295" s="60"/>
      <c r="I295" s="60"/>
      <c r="J295" s="60"/>
      <c r="K295" s="60"/>
      <c r="L295" s="60"/>
      <c r="M295" s="244"/>
    </row>
    <row r="296" spans="1:13" ht="20.25">
      <c r="A296" s="806"/>
      <c r="B296" s="805"/>
      <c r="C296" s="839" t="s">
        <v>394</v>
      </c>
      <c r="D296" s="60"/>
      <c r="E296" s="60"/>
      <c r="F296" s="60"/>
      <c r="G296" s="60"/>
      <c r="H296" s="60"/>
      <c r="I296" s="60"/>
      <c r="J296" s="60"/>
      <c r="K296" s="60"/>
      <c r="L296" s="60"/>
      <c r="M296" s="244"/>
    </row>
    <row r="297" spans="1:13" ht="20.25">
      <c r="A297" s="806" t="s">
        <v>126</v>
      </c>
      <c r="B297" s="805"/>
      <c r="C297" s="823" t="s">
        <v>395</v>
      </c>
      <c r="D297" s="60"/>
      <c r="E297" s="60"/>
      <c r="F297" s="60"/>
      <c r="G297" s="60"/>
      <c r="H297" s="60"/>
      <c r="I297" s="60"/>
      <c r="J297" s="60"/>
      <c r="K297" s="60"/>
      <c r="L297" s="60"/>
      <c r="M297" s="244"/>
    </row>
    <row r="298" spans="1:13" ht="20.25">
      <c r="A298" s="806"/>
      <c r="B298" s="805"/>
      <c r="C298" s="823" t="s">
        <v>396</v>
      </c>
      <c r="D298" s="60"/>
      <c r="E298" s="60"/>
      <c r="F298" s="60"/>
      <c r="G298" s="60"/>
      <c r="H298" s="60"/>
      <c r="I298" s="60"/>
      <c r="J298" s="60"/>
      <c r="K298" s="60"/>
      <c r="L298" s="60"/>
      <c r="M298" s="244"/>
    </row>
    <row r="299" spans="1:13" ht="20.25">
      <c r="A299" s="806" t="s">
        <v>127</v>
      </c>
      <c r="B299" s="805"/>
      <c r="C299" s="823" t="s">
        <v>690</v>
      </c>
      <c r="D299" s="60"/>
      <c r="E299" s="60"/>
      <c r="F299" s="60"/>
      <c r="G299" s="60"/>
      <c r="H299" s="60"/>
      <c r="I299" s="60"/>
      <c r="J299" s="60"/>
      <c r="K299" s="60"/>
      <c r="L299" s="60"/>
      <c r="M299" s="244"/>
    </row>
    <row r="300" spans="1:13" ht="20.25">
      <c r="A300" s="806"/>
      <c r="B300" s="805"/>
      <c r="C300" s="823" t="s">
        <v>397</v>
      </c>
      <c r="D300" s="60"/>
      <c r="E300" s="60"/>
      <c r="F300" s="60"/>
      <c r="G300" s="60"/>
      <c r="H300" s="60"/>
      <c r="I300" s="60"/>
      <c r="J300" s="60"/>
      <c r="K300" s="60"/>
      <c r="L300" s="60"/>
      <c r="M300" s="244"/>
    </row>
    <row r="301" spans="1:13" ht="20.25">
      <c r="A301" s="806"/>
      <c r="B301" s="805"/>
      <c r="C301" s="823" t="s">
        <v>398</v>
      </c>
      <c r="D301" s="60"/>
      <c r="E301" s="60"/>
      <c r="F301" s="60"/>
      <c r="G301" s="60"/>
      <c r="H301" s="60"/>
      <c r="I301" s="60"/>
      <c r="J301" s="60"/>
      <c r="K301" s="60"/>
      <c r="L301" s="60"/>
      <c r="M301" s="244"/>
    </row>
    <row r="302" spans="1:13" ht="20.25">
      <c r="A302" s="806"/>
      <c r="B302" s="805"/>
      <c r="C302" s="823" t="s">
        <v>399</v>
      </c>
      <c r="D302" s="60"/>
      <c r="E302" s="60"/>
      <c r="F302" s="60"/>
      <c r="G302" s="60"/>
      <c r="H302" s="60"/>
      <c r="I302" s="60"/>
      <c r="J302" s="60"/>
      <c r="K302" s="60"/>
      <c r="L302" s="60"/>
      <c r="M302" s="244"/>
    </row>
    <row r="303" spans="1:13" ht="20.25">
      <c r="A303" s="806"/>
      <c r="B303" s="805"/>
      <c r="C303" s="823" t="s">
        <v>400</v>
      </c>
      <c r="D303" s="60"/>
      <c r="E303" s="60"/>
      <c r="F303" s="60"/>
      <c r="G303" s="60"/>
      <c r="H303" s="60"/>
      <c r="I303" s="60"/>
      <c r="J303" s="60"/>
      <c r="K303" s="60"/>
      <c r="L303" s="60"/>
      <c r="M303" s="244"/>
    </row>
    <row r="304" spans="1:13" ht="20.25">
      <c r="A304" s="32"/>
      <c r="B304" s="31"/>
      <c r="C304" s="815"/>
      <c r="D304" s="60"/>
      <c r="E304" s="60"/>
      <c r="F304" s="60"/>
      <c r="G304" s="60"/>
      <c r="H304" s="60"/>
      <c r="I304" s="60"/>
      <c r="J304" s="60"/>
      <c r="K304" s="60"/>
      <c r="L304" s="60"/>
      <c r="M304" s="244"/>
    </row>
    <row r="305" spans="1:13" ht="20.25">
      <c r="A305" s="32" t="s">
        <v>12</v>
      </c>
      <c r="B305" s="31"/>
      <c r="C305" s="60" t="s">
        <v>165</v>
      </c>
      <c r="D305" s="60" t="s">
        <v>155</v>
      </c>
      <c r="E305" s="606">
        <f>INPUT!D87</f>
        <v>0.35</v>
      </c>
      <c r="F305" s="60"/>
      <c r="H305" s="60"/>
      <c r="I305" s="60"/>
      <c r="J305" s="60"/>
      <c r="K305" s="60"/>
      <c r="L305" s="60"/>
      <c r="M305" s="244"/>
    </row>
    <row r="306" spans="1:13" ht="20.25">
      <c r="A306" s="32"/>
      <c r="B306" s="31"/>
      <c r="C306" s="60"/>
      <c r="D306" s="60" t="s">
        <v>156</v>
      </c>
      <c r="E306" s="413">
        <f>INPUT!D88</f>
        <v>0.06</v>
      </c>
      <c r="F306" s="60" t="s">
        <v>157</v>
      </c>
      <c r="H306" s="60"/>
      <c r="I306" s="60"/>
      <c r="J306" s="60"/>
      <c r="K306" s="60"/>
      <c r="L306" s="60"/>
      <c r="M306" s="244"/>
    </row>
    <row r="307" spans="1:13" ht="20.25">
      <c r="A307" s="32"/>
      <c r="B307" s="31"/>
      <c r="C307" s="60"/>
      <c r="D307" s="60" t="s">
        <v>158</v>
      </c>
      <c r="E307" s="412">
        <v>0</v>
      </c>
      <c r="F307" s="60" t="s">
        <v>159</v>
      </c>
      <c r="H307" s="60"/>
      <c r="I307" s="60"/>
      <c r="J307" s="60"/>
      <c r="K307" s="60"/>
      <c r="L307" s="60"/>
      <c r="M307" s="244"/>
    </row>
    <row r="308" spans="1:13" ht="20.25">
      <c r="A308" s="32" t="s">
        <v>128</v>
      </c>
      <c r="B308" s="31"/>
      <c r="C308" s="60" t="s">
        <v>5</v>
      </c>
      <c r="D308" s="60"/>
      <c r="E308" s="60"/>
      <c r="F308" s="60"/>
      <c r="G308" s="60"/>
      <c r="H308" s="60"/>
      <c r="I308" s="60"/>
      <c r="J308" s="60"/>
      <c r="K308" s="60"/>
      <c r="L308" s="60"/>
      <c r="M308" s="244"/>
    </row>
    <row r="309" spans="1:13" ht="20.25">
      <c r="A309" s="32" t="s">
        <v>129</v>
      </c>
      <c r="B309" s="31"/>
      <c r="C309" s="820" t="s">
        <v>5</v>
      </c>
      <c r="D309" s="60"/>
      <c r="E309" s="60"/>
      <c r="F309" s="60"/>
      <c r="G309" s="60"/>
      <c r="H309" s="60"/>
      <c r="I309" s="60"/>
      <c r="J309" s="60"/>
      <c r="K309" s="60"/>
      <c r="L309" s="60"/>
      <c r="M309" s="244"/>
    </row>
    <row r="310" spans="1:13" ht="20.25">
      <c r="A310" s="32"/>
      <c r="B310" s="31"/>
      <c r="C310" s="820" t="s">
        <v>130</v>
      </c>
      <c r="D310" s="60"/>
      <c r="E310" s="60"/>
      <c r="F310" s="60"/>
      <c r="G310" s="60"/>
      <c r="H310" s="60"/>
      <c r="I310" s="60"/>
      <c r="J310" s="60"/>
      <c r="K310" s="60"/>
      <c r="L310" s="60"/>
      <c r="M310" s="244"/>
    </row>
    <row r="311" spans="1:13" ht="20.25">
      <c r="B311" s="31"/>
      <c r="C311" s="820" t="s">
        <v>535</v>
      </c>
      <c r="D311" s="60"/>
      <c r="E311" s="60"/>
      <c r="F311" s="60"/>
      <c r="G311" s="60"/>
      <c r="H311" s="60"/>
      <c r="I311" s="60"/>
      <c r="J311" s="60"/>
      <c r="K311" s="60"/>
      <c r="L311" s="60"/>
      <c r="M311" s="244"/>
    </row>
    <row r="312" spans="1:13" ht="20.25">
      <c r="A312" s="32" t="s">
        <v>131</v>
      </c>
      <c r="B312" s="31"/>
      <c r="C312" s="820" t="s">
        <v>173</v>
      </c>
      <c r="D312" s="60"/>
      <c r="E312" s="60"/>
      <c r="F312" s="60"/>
      <c r="G312" s="60"/>
      <c r="H312" s="60"/>
      <c r="I312" s="60"/>
      <c r="J312" s="60"/>
      <c r="K312" s="60"/>
      <c r="L312" s="60"/>
      <c r="M312" s="244"/>
    </row>
    <row r="313" spans="1:13" ht="20.25">
      <c r="A313" s="32"/>
      <c r="B313" s="31"/>
      <c r="C313" s="820" t="s">
        <v>369</v>
      </c>
      <c r="D313" s="60"/>
      <c r="E313" s="60"/>
      <c r="F313" s="60"/>
      <c r="G313" s="60"/>
      <c r="H313" s="60"/>
      <c r="I313" s="60"/>
      <c r="J313" s="60"/>
      <c r="K313" s="60"/>
      <c r="L313" s="60"/>
      <c r="M313" s="244"/>
    </row>
    <row r="314" spans="1:13" ht="20.25">
      <c r="A314" s="32"/>
      <c r="B314" s="31"/>
      <c r="C314" s="820" t="s">
        <v>370</v>
      </c>
      <c r="D314" s="60"/>
      <c r="E314" s="60"/>
      <c r="F314" s="60"/>
      <c r="G314" s="60"/>
      <c r="H314" s="60"/>
      <c r="I314" s="60"/>
      <c r="J314" s="60"/>
      <c r="K314" s="60"/>
      <c r="L314" s="60"/>
      <c r="M314" s="244"/>
    </row>
    <row r="315" spans="1:13" ht="20.25">
      <c r="A315" s="32" t="s">
        <v>132</v>
      </c>
      <c r="B315" s="31"/>
      <c r="C315" s="820" t="s">
        <v>562</v>
      </c>
      <c r="D315" s="60"/>
      <c r="E315" s="60"/>
      <c r="F315" s="60"/>
      <c r="G315" s="60"/>
      <c r="H315" s="60"/>
      <c r="I315" s="60"/>
      <c r="J315" s="60"/>
      <c r="K315" s="60"/>
      <c r="L315" s="60"/>
      <c r="M315" s="244"/>
    </row>
    <row r="316" spans="1:13" ht="20.25">
      <c r="A316" s="32" t="s">
        <v>133</v>
      </c>
      <c r="B316" s="31"/>
      <c r="C316" s="820" t="s">
        <v>557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244"/>
    </row>
    <row r="317" spans="1:13" ht="20.25">
      <c r="A317" s="32"/>
      <c r="B317" s="31"/>
      <c r="C317" s="820" t="s">
        <v>558</v>
      </c>
      <c r="D317" s="60"/>
      <c r="E317" s="60"/>
      <c r="F317" s="60"/>
      <c r="G317" s="60"/>
      <c r="H317" s="60"/>
      <c r="I317" s="60"/>
      <c r="J317" s="60"/>
      <c r="K317" s="60"/>
      <c r="L317" s="60"/>
      <c r="M317" s="244"/>
    </row>
    <row r="318" spans="1:13" ht="20.25">
      <c r="A318" s="32" t="s">
        <v>134</v>
      </c>
      <c r="B318" s="31"/>
      <c r="C318" s="820" t="s">
        <v>421</v>
      </c>
      <c r="D318" s="60"/>
      <c r="E318" s="60"/>
      <c r="F318" s="60"/>
      <c r="G318" s="60"/>
      <c r="H318" s="60"/>
      <c r="I318" s="60"/>
      <c r="J318" s="60"/>
      <c r="K318" s="60"/>
      <c r="L318" s="60"/>
      <c r="M318" s="244"/>
    </row>
    <row r="319" spans="1:13" ht="20.25">
      <c r="A319" s="32"/>
      <c r="B319" s="31"/>
      <c r="C319" s="820" t="s">
        <v>371</v>
      </c>
      <c r="D319" s="60"/>
      <c r="E319" s="60"/>
      <c r="F319" s="60"/>
      <c r="G319" s="60"/>
      <c r="H319" s="60"/>
      <c r="I319" s="60"/>
      <c r="J319" s="60"/>
      <c r="K319" s="60"/>
      <c r="L319" s="60"/>
      <c r="M319" s="244"/>
    </row>
    <row r="320" spans="1:13">
      <c r="A320" s="32" t="s">
        <v>135</v>
      </c>
      <c r="B320" s="31"/>
      <c r="C320" s="820" t="s">
        <v>141</v>
      </c>
      <c r="D320" s="60"/>
      <c r="E320" s="60"/>
      <c r="F320" s="60"/>
      <c r="G320" s="60"/>
      <c r="H320" s="60"/>
      <c r="I320" s="60"/>
      <c r="J320" s="60"/>
      <c r="K320" s="60"/>
      <c r="L320" s="60"/>
      <c r="M320" s="60"/>
    </row>
    <row r="321" spans="1:15">
      <c r="A321" s="32" t="s">
        <v>177</v>
      </c>
      <c r="C321" s="821" t="s">
        <v>360</v>
      </c>
      <c r="D321" s="66"/>
      <c r="E321" s="66"/>
      <c r="F321" s="66"/>
      <c r="G321" s="66"/>
      <c r="H321" s="66"/>
      <c r="I321" s="66"/>
      <c r="J321" s="66"/>
      <c r="K321" s="66"/>
      <c r="L321" s="66"/>
      <c r="M321" s="66"/>
    </row>
    <row r="322" spans="1:15">
      <c r="A322" s="374" t="s">
        <v>178</v>
      </c>
      <c r="C322" s="822" t="s">
        <v>763</v>
      </c>
      <c r="D322" s="246"/>
      <c r="E322" s="66"/>
      <c r="F322" s="66"/>
      <c r="G322" s="66"/>
      <c r="H322" s="66"/>
      <c r="I322" s="66"/>
      <c r="J322" s="66"/>
      <c r="K322" s="66"/>
      <c r="L322" s="66"/>
      <c r="M322" s="66"/>
    </row>
    <row r="323" spans="1:15">
      <c r="C323" s="822" t="s">
        <v>372</v>
      </c>
      <c r="D323" s="66"/>
      <c r="E323" s="66"/>
      <c r="F323" s="66"/>
      <c r="G323" s="66"/>
      <c r="H323" s="66"/>
      <c r="I323" s="66"/>
      <c r="J323" s="66"/>
      <c r="K323" s="66"/>
      <c r="L323" s="66"/>
      <c r="M323" s="247"/>
      <c r="N323" s="80"/>
      <c r="O323" s="80"/>
    </row>
    <row r="324" spans="1:15">
      <c r="C324" s="822" t="s">
        <v>460</v>
      </c>
      <c r="D324" s="66"/>
      <c r="E324" s="246"/>
      <c r="F324" s="66"/>
      <c r="G324" s="66"/>
      <c r="H324" s="66"/>
      <c r="I324" s="66"/>
      <c r="J324" s="66"/>
      <c r="K324" s="66"/>
      <c r="L324" s="66"/>
      <c r="M324" s="247"/>
      <c r="N324" s="80"/>
      <c r="O324" s="80"/>
    </row>
    <row r="325" spans="1:15">
      <c r="C325" s="822" t="s">
        <v>423</v>
      </c>
      <c r="D325" s="66"/>
      <c r="E325" s="246"/>
      <c r="F325" s="66"/>
      <c r="G325" s="66"/>
      <c r="H325" s="66"/>
      <c r="I325" s="66"/>
      <c r="J325" s="66"/>
      <c r="K325" s="66"/>
      <c r="L325" s="66"/>
      <c r="M325" s="247"/>
      <c r="N325" s="80"/>
      <c r="O325" s="80"/>
    </row>
    <row r="326" spans="1:15" ht="18">
      <c r="A326" s="245"/>
      <c r="C326" s="29"/>
      <c r="D326" s="29"/>
      <c r="E326" s="30"/>
      <c r="F326" s="29"/>
      <c r="G326" s="29"/>
      <c r="H326" s="29"/>
      <c r="I326" s="31"/>
      <c r="J326" s="77" t="s">
        <v>365</v>
      </c>
      <c r="K326" s="91"/>
      <c r="M326" s="91"/>
    </row>
    <row r="327" spans="1:15">
      <c r="C327" s="29"/>
      <c r="D327" s="29"/>
      <c r="E327" s="30"/>
      <c r="F327" s="29"/>
      <c r="G327" s="29"/>
      <c r="H327" s="29"/>
      <c r="I327" s="31"/>
      <c r="J327" s="77" t="s">
        <v>564</v>
      </c>
      <c r="M327" s="77"/>
    </row>
    <row r="328" spans="1:15">
      <c r="C328" s="29"/>
      <c r="D328" s="29"/>
      <c r="E328" s="30"/>
      <c r="F328" s="29"/>
      <c r="G328" s="29"/>
      <c r="H328" s="29"/>
      <c r="I328" s="31"/>
      <c r="J328" s="77"/>
      <c r="M328" s="77"/>
    </row>
    <row r="329" spans="1:15">
      <c r="C329" s="29"/>
      <c r="D329" s="29"/>
      <c r="E329" s="30"/>
      <c r="F329" s="29"/>
      <c r="G329" s="29"/>
      <c r="H329" s="29"/>
      <c r="I329" s="31"/>
      <c r="M329" s="77"/>
    </row>
    <row r="330" spans="1:15">
      <c r="C330" s="29"/>
      <c r="D330" s="29"/>
      <c r="E330" s="30"/>
      <c r="F330" s="29"/>
      <c r="G330" s="29"/>
      <c r="H330" s="29"/>
      <c r="I330" s="31"/>
      <c r="K330" s="1"/>
      <c r="M330" s="77"/>
    </row>
    <row r="331" spans="1:15">
      <c r="C331" s="29" t="s">
        <v>11</v>
      </c>
      <c r="D331" s="29"/>
      <c r="E331" s="30"/>
      <c r="F331" s="29"/>
      <c r="G331" s="29"/>
      <c r="H331" s="29"/>
      <c r="I331" s="31"/>
      <c r="J331" s="77"/>
      <c r="K331" s="1"/>
      <c r="M331" s="77"/>
    </row>
    <row r="332" spans="1:15">
      <c r="C332" s="29"/>
      <c r="D332" s="29"/>
      <c r="E332" s="30"/>
      <c r="F332" s="29"/>
      <c r="G332" s="29"/>
      <c r="H332" s="29"/>
      <c r="I332" s="31"/>
      <c r="J332" s="92" t="str">
        <f>$J$7</f>
        <v>For the 12 months ended: 12/31/2016</v>
      </c>
      <c r="K332" s="1"/>
      <c r="M332" s="77"/>
    </row>
    <row r="333" spans="1:15">
      <c r="A333" s="12" t="str">
        <f>$A$8</f>
        <v>Rate Formula Template</v>
      </c>
      <c r="B333" s="277"/>
      <c r="C333" s="277"/>
      <c r="D333" s="275"/>
      <c r="E333" s="277"/>
      <c r="F333" s="275"/>
      <c r="G333" s="275"/>
      <c r="H333" s="275"/>
      <c r="I333" s="275"/>
      <c r="J333" s="277"/>
      <c r="K333" s="60"/>
      <c r="L333" s="277"/>
      <c r="M333" s="1"/>
    </row>
    <row r="334" spans="1:15">
      <c r="A334" s="303" t="s">
        <v>327</v>
      </c>
      <c r="B334" s="277"/>
      <c r="C334" s="275"/>
      <c r="D334" s="278"/>
      <c r="E334" s="277"/>
      <c r="F334" s="278"/>
      <c r="G334" s="278"/>
      <c r="H334" s="278"/>
      <c r="I334" s="275"/>
      <c r="J334" s="275"/>
      <c r="K334" s="60"/>
      <c r="L334" s="271"/>
      <c r="M334" s="1"/>
    </row>
    <row r="335" spans="1:15">
      <c r="A335" s="278"/>
      <c r="B335" s="277"/>
      <c r="C335" s="271"/>
      <c r="D335" s="271"/>
      <c r="E335" s="277"/>
      <c r="F335" s="271"/>
      <c r="G335" s="271"/>
      <c r="H335" s="271"/>
      <c r="I335" s="271"/>
      <c r="J335" s="271"/>
      <c r="K335" s="60"/>
      <c r="L335" s="271"/>
      <c r="M335" s="31"/>
    </row>
    <row r="336" spans="1:15">
      <c r="A336" s="271" t="s">
        <v>216</v>
      </c>
      <c r="B336" s="277"/>
      <c r="C336" s="271"/>
      <c r="D336" s="271"/>
      <c r="E336" s="277"/>
      <c r="F336" s="271"/>
      <c r="G336" s="271"/>
      <c r="H336" s="271"/>
      <c r="I336" s="271"/>
      <c r="J336" s="271"/>
      <c r="K336" s="60"/>
      <c r="L336" s="271"/>
      <c r="M336" s="31"/>
    </row>
    <row r="337" spans="1:15" ht="15.75">
      <c r="A337" s="274"/>
      <c r="B337" s="31"/>
      <c r="C337" s="39"/>
      <c r="D337" s="32"/>
      <c r="E337" s="5"/>
      <c r="F337" s="5"/>
      <c r="G337" s="5"/>
      <c r="H337" s="5"/>
      <c r="I337" s="31"/>
      <c r="J337" s="242"/>
      <c r="K337" s="60"/>
      <c r="L337" s="241"/>
      <c r="M337" s="31"/>
    </row>
    <row r="338" spans="1:15" ht="20.25">
      <c r="A338" s="32"/>
      <c r="B338" s="31"/>
      <c r="C338" s="29" t="s">
        <v>111</v>
      </c>
      <c r="D338" s="32"/>
      <c r="E338" s="5"/>
      <c r="F338" s="5"/>
      <c r="G338" s="5"/>
      <c r="H338" s="5"/>
      <c r="I338" s="31"/>
      <c r="J338" s="5"/>
      <c r="K338" s="60"/>
      <c r="L338" s="5"/>
      <c r="M338" s="243"/>
    </row>
    <row r="339" spans="1:15" ht="20.25">
      <c r="A339" s="32" t="s">
        <v>113</v>
      </c>
      <c r="B339" s="31"/>
      <c r="C339" s="29" t="s">
        <v>112</v>
      </c>
      <c r="D339" s="31"/>
      <c r="E339" s="5"/>
      <c r="F339" s="5"/>
      <c r="G339" s="5"/>
      <c r="H339" s="5"/>
      <c r="I339" s="31"/>
      <c r="J339" s="5"/>
      <c r="K339" s="60"/>
      <c r="L339" s="5"/>
      <c r="M339" s="243"/>
    </row>
    <row r="340" spans="1:15" ht="20.25">
      <c r="A340" s="288" t="s">
        <v>114</v>
      </c>
      <c r="B340" s="31"/>
      <c r="C340" s="29"/>
      <c r="D340" s="31"/>
      <c r="E340" s="5"/>
      <c r="F340" s="5"/>
      <c r="G340" s="5"/>
      <c r="H340" s="5"/>
      <c r="I340" s="31"/>
      <c r="J340" s="5"/>
      <c r="K340" s="60"/>
      <c r="L340" s="5"/>
      <c r="M340" s="243"/>
    </row>
    <row r="341" spans="1:15">
      <c r="A341" s="374" t="s">
        <v>203</v>
      </c>
      <c r="C341" s="833" t="s">
        <v>559</v>
      </c>
      <c r="D341" s="1"/>
      <c r="E341" s="1"/>
      <c r="F341" s="1"/>
      <c r="G341" s="1"/>
      <c r="H341" s="1"/>
      <c r="I341" s="1"/>
      <c r="J341" s="1"/>
      <c r="K341" s="1"/>
      <c r="L341" s="1"/>
      <c r="M341" s="248"/>
      <c r="N341" s="80"/>
      <c r="O341" s="80"/>
    </row>
    <row r="342" spans="1:15">
      <c r="A342" s="374"/>
      <c r="C342" s="833" t="s">
        <v>560</v>
      </c>
      <c r="D342" s="1"/>
      <c r="E342" s="1"/>
      <c r="F342" s="1"/>
      <c r="G342" s="1"/>
      <c r="H342" s="1"/>
      <c r="I342" s="1"/>
      <c r="J342" s="1"/>
      <c r="K342" s="1"/>
      <c r="L342" s="1"/>
      <c r="M342" s="248"/>
      <c r="N342" s="80"/>
      <c r="O342" s="80"/>
    </row>
    <row r="343" spans="1:15">
      <c r="A343" s="374"/>
      <c r="C343" s="833" t="s">
        <v>561</v>
      </c>
      <c r="D343" s="1"/>
      <c r="E343" s="1"/>
      <c r="F343" s="1"/>
      <c r="G343" s="1"/>
      <c r="H343" s="1"/>
      <c r="I343" s="1"/>
      <c r="J343" s="1"/>
      <c r="K343" s="1"/>
      <c r="L343" s="1"/>
      <c r="M343" s="248"/>
      <c r="N343" s="80"/>
      <c r="O343" s="80"/>
    </row>
    <row r="344" spans="1:15">
      <c r="A344" s="374" t="s">
        <v>6</v>
      </c>
      <c r="C344" s="830" t="s">
        <v>401</v>
      </c>
      <c r="D344" s="248"/>
      <c r="E344" s="248"/>
      <c r="F344" s="248"/>
      <c r="G344" s="248"/>
      <c r="H344" s="248"/>
      <c r="I344" s="248"/>
      <c r="J344" s="248"/>
      <c r="K344" s="248"/>
      <c r="L344" s="248"/>
      <c r="M344" s="248"/>
      <c r="N344" s="80"/>
      <c r="O344" s="80"/>
    </row>
    <row r="345" spans="1:15">
      <c r="A345" s="374" t="s">
        <v>459</v>
      </c>
      <c r="C345" s="832" t="s">
        <v>360</v>
      </c>
    </row>
    <row r="346" spans="1:15">
      <c r="A346" s="374" t="s">
        <v>633</v>
      </c>
      <c r="C346" s="831" t="s">
        <v>758</v>
      </c>
    </row>
    <row r="347" spans="1:15">
      <c r="C347" s="831" t="s">
        <v>759</v>
      </c>
    </row>
    <row r="348" spans="1:15" s="839" customFormat="1">
      <c r="A348" s="755" t="s">
        <v>634</v>
      </c>
      <c r="C348" s="839" t="s">
        <v>764</v>
      </c>
    </row>
    <row r="349" spans="1:15" s="839" customFormat="1">
      <c r="A349" s="755"/>
      <c r="C349" s="839" t="s">
        <v>765</v>
      </c>
    </row>
    <row r="350" spans="1:15" s="874" customFormat="1"/>
    <row r="351" spans="1:15" ht="18">
      <c r="C351" s="12" t="s">
        <v>539</v>
      </c>
    </row>
    <row r="352" spans="1:15" ht="18">
      <c r="C352" s="12" t="s">
        <v>540</v>
      </c>
    </row>
  </sheetData>
  <phoneticPr fontId="0" type="noConversion"/>
  <printOptions horizontalCentered="1"/>
  <pageMargins left="0.75" right="0.75" top="0.75" bottom="0.5" header="0.25" footer="0.25"/>
  <pageSetup scale="44" orientation="portrait" blackAndWhite="1" r:id="rId1"/>
  <headerFooter alignWithMargins="0"/>
  <rowBreaks count="5" manualBreakCount="5">
    <brk id="56" max="11" man="1"/>
    <brk id="116" max="11" man="1"/>
    <brk id="187" max="11" man="1"/>
    <brk id="263" max="11" man="1"/>
    <brk id="325" max="1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663300"/>
    <pageSetUpPr fitToPage="1"/>
  </sheetPr>
  <dimension ref="A1:J959"/>
  <sheetViews>
    <sheetView zoomScale="75" zoomScaleNormal="75" workbookViewId="0">
      <selection sqref="A1:H40"/>
    </sheetView>
  </sheetViews>
  <sheetFormatPr defaultColWidth="9.33203125" defaultRowHeight="15"/>
  <cols>
    <col min="1" max="1" width="4" style="306" customWidth="1"/>
    <col min="2" max="2" width="4.77734375" style="307" bestFit="1" customWidth="1"/>
    <col min="3" max="3" width="1.6640625" style="306" customWidth="1"/>
    <col min="4" max="4" width="64.109375" style="306" customWidth="1"/>
    <col min="5" max="5" width="28.5546875" style="306" customWidth="1"/>
    <col min="6" max="6" width="2.109375" style="306" customWidth="1"/>
    <col min="7" max="7" width="16" style="306" bestFit="1" customWidth="1"/>
    <col min="8" max="8" width="6.5546875" style="306" customWidth="1"/>
    <col min="9" max="9" width="2.21875" style="306" customWidth="1"/>
    <col min="10" max="10" width="2.33203125" style="306" customWidth="1"/>
    <col min="11" max="16384" width="9.33203125" style="306"/>
  </cols>
  <sheetData>
    <row r="1" spans="1:10">
      <c r="G1" s="306" t="s">
        <v>365</v>
      </c>
    </row>
    <row r="2" spans="1:10">
      <c r="G2" s="306" t="s">
        <v>349</v>
      </c>
    </row>
    <row r="3" spans="1:10">
      <c r="A3" s="312"/>
      <c r="B3" s="312"/>
      <c r="C3" s="312"/>
      <c r="D3" s="312"/>
      <c r="E3" s="312"/>
      <c r="F3" s="312"/>
      <c r="G3" s="306" t="s">
        <v>350</v>
      </c>
      <c r="H3" s="316"/>
      <c r="J3" s="353"/>
    </row>
    <row r="4" spans="1:10">
      <c r="A4" s="312"/>
      <c r="B4" s="312"/>
      <c r="C4" s="312"/>
      <c r="D4" s="312"/>
      <c r="E4" s="312"/>
      <c r="F4" s="312"/>
      <c r="H4" s="316"/>
      <c r="J4" s="353"/>
    </row>
    <row r="5" spans="1:10">
      <c r="A5" s="312"/>
      <c r="B5" s="312"/>
      <c r="C5" s="312"/>
      <c r="D5" s="312"/>
      <c r="E5" s="312"/>
      <c r="F5" s="312"/>
      <c r="G5" s="354" t="str">
        <f>'DE Ohio &amp; Kentucky'!J7</f>
        <v>For the 12 months ended: 12/31/2016</v>
      </c>
      <c r="H5" s="316"/>
      <c r="J5" s="353"/>
    </row>
    <row r="6" spans="1:10" ht="15.75">
      <c r="A6" s="350" t="s">
        <v>524</v>
      </c>
      <c r="B6" s="350"/>
      <c r="C6" s="350"/>
      <c r="D6" s="350"/>
      <c r="E6" s="350"/>
      <c r="F6" s="350"/>
      <c r="G6" s="350"/>
      <c r="H6" s="344"/>
      <c r="I6" s="349"/>
    </row>
    <row r="7" spans="1:10" ht="15.75">
      <c r="A7" s="350" t="s">
        <v>347</v>
      </c>
      <c r="B7" s="350"/>
      <c r="C7" s="350"/>
      <c r="D7" s="350"/>
      <c r="E7" s="350"/>
      <c r="F7" s="350"/>
      <c r="G7" s="350"/>
      <c r="H7" s="344"/>
      <c r="I7" s="349"/>
    </row>
    <row r="8" spans="1:10" ht="15.75">
      <c r="A8" s="352" t="s">
        <v>327</v>
      </c>
      <c r="B8" s="352"/>
      <c r="C8" s="352"/>
      <c r="D8" s="352"/>
      <c r="E8" s="352"/>
      <c r="F8" s="352"/>
      <c r="G8" s="352"/>
      <c r="H8" s="344"/>
      <c r="I8" s="351"/>
    </row>
    <row r="9" spans="1:10" ht="15.75">
      <c r="A9" s="350" t="str">
        <f>"For Rates Effective "&amp;TEXT(INPUT!B2,"mmmm d, yyyy")</f>
        <v>For Rates Effective June 1, 2017</v>
      </c>
      <c r="B9" s="350"/>
      <c r="C9" s="350"/>
      <c r="D9" s="350"/>
      <c r="E9" s="350"/>
      <c r="F9" s="350"/>
      <c r="G9" s="350"/>
      <c r="H9" s="344"/>
      <c r="I9" s="349"/>
    </row>
    <row r="10" spans="1:10" ht="15.75">
      <c r="B10" s="327"/>
      <c r="C10" s="326"/>
      <c r="D10" s="323"/>
      <c r="H10" s="344"/>
    </row>
    <row r="11" spans="1:10" ht="15.75">
      <c r="A11" s="348" t="s">
        <v>361</v>
      </c>
      <c r="B11" s="348"/>
      <c r="C11" s="348"/>
      <c r="D11" s="348"/>
      <c r="E11" s="348"/>
      <c r="F11" s="348"/>
      <c r="G11" s="348"/>
      <c r="H11" s="344"/>
      <c r="I11" s="347"/>
    </row>
    <row r="12" spans="1:10" ht="15.75">
      <c r="A12" s="346"/>
      <c r="B12" s="327"/>
      <c r="C12" s="326"/>
      <c r="D12" s="323"/>
      <c r="H12" s="344"/>
    </row>
    <row r="13" spans="1:10" ht="15.75">
      <c r="B13" s="327"/>
      <c r="C13" s="326"/>
      <c r="D13" s="323"/>
      <c r="E13" s="323"/>
      <c r="F13" s="345"/>
      <c r="G13" s="329"/>
      <c r="H13" s="344"/>
    </row>
    <row r="14" spans="1:10" ht="15.75">
      <c r="B14" s="327" t="s">
        <v>13</v>
      </c>
      <c r="C14" s="326"/>
      <c r="D14" s="323"/>
      <c r="E14" s="323"/>
      <c r="F14" s="323"/>
      <c r="G14" s="359" t="s">
        <v>346</v>
      </c>
      <c r="H14" s="344"/>
    </row>
    <row r="15" spans="1:10" ht="15.75">
      <c r="B15" s="415" t="s">
        <v>15</v>
      </c>
      <c r="C15" s="328"/>
      <c r="D15" s="323"/>
      <c r="E15" s="415" t="s">
        <v>359</v>
      </c>
      <c r="F15" s="323"/>
      <c r="G15" s="415" t="s">
        <v>345</v>
      </c>
      <c r="H15" s="344"/>
    </row>
    <row r="16" spans="1:10">
      <c r="B16" s="343"/>
      <c r="C16" s="328"/>
      <c r="D16" s="332"/>
      <c r="E16" s="328"/>
      <c r="F16" s="323"/>
      <c r="H16" s="323"/>
    </row>
    <row r="17" spans="1:10">
      <c r="A17" s="359" t="s">
        <v>344</v>
      </c>
      <c r="B17" s="414" t="s">
        <v>348</v>
      </c>
      <c r="C17" s="328"/>
      <c r="D17" s="323"/>
      <c r="E17" s="328"/>
      <c r="F17" s="323"/>
      <c r="H17" s="323"/>
    </row>
    <row r="18" spans="1:10">
      <c r="B18" s="327">
        <v>1</v>
      </c>
      <c r="C18" s="326"/>
      <c r="D18" s="332" t="s">
        <v>343</v>
      </c>
      <c r="E18" s="359" t="s">
        <v>351</v>
      </c>
      <c r="F18" s="325"/>
      <c r="G18" s="341">
        <f>'DE Ohio &amp; Kentucky'!J215</f>
        <v>5278696</v>
      </c>
      <c r="H18" s="342"/>
    </row>
    <row r="19" spans="1:10">
      <c r="B19" s="327"/>
      <c r="C19" s="326"/>
      <c r="D19" s="332"/>
      <c r="E19" s="326"/>
      <c r="F19" s="325"/>
      <c r="G19" s="333"/>
      <c r="H19" s="334"/>
    </row>
    <row r="20" spans="1:10">
      <c r="B20" s="327">
        <v>2</v>
      </c>
      <c r="C20" s="326"/>
      <c r="D20" s="332" t="s">
        <v>352</v>
      </c>
      <c r="E20" s="325"/>
      <c r="F20" s="316"/>
      <c r="G20" s="941">
        <v>132892</v>
      </c>
      <c r="H20" s="340"/>
    </row>
    <row r="21" spans="1:10" ht="15.75" thickBot="1">
      <c r="B21" s="327"/>
      <c r="C21" s="326"/>
      <c r="D21" s="332"/>
      <c r="E21" s="323"/>
      <c r="F21" s="325"/>
      <c r="G21" s="339"/>
      <c r="H21" s="334"/>
    </row>
    <row r="22" spans="1:10" ht="15.75" thickBot="1">
      <c r="B22" s="327">
        <v>3</v>
      </c>
      <c r="C22" s="326"/>
      <c r="D22" s="338" t="s">
        <v>342</v>
      </c>
      <c r="E22" s="337"/>
      <c r="F22" s="336"/>
      <c r="G22" s="335">
        <f>G18-G20</f>
        <v>5145804</v>
      </c>
      <c r="H22" s="334"/>
    </row>
    <row r="23" spans="1:10">
      <c r="B23" s="327"/>
      <c r="C23" s="326"/>
      <c r="D23" s="332"/>
      <c r="E23" s="323"/>
      <c r="F23" s="325"/>
      <c r="G23" s="330"/>
      <c r="H23" s="331"/>
    </row>
    <row r="24" spans="1:10">
      <c r="A24" s="359" t="s">
        <v>341</v>
      </c>
      <c r="B24" s="414" t="s">
        <v>340</v>
      </c>
      <c r="C24" s="328"/>
      <c r="D24" s="323"/>
      <c r="E24" s="328"/>
      <c r="F24" s="323"/>
      <c r="G24" s="308"/>
      <c r="H24" s="313"/>
    </row>
    <row r="25" spans="1:10">
      <c r="B25" s="327">
        <f>+B22+1</f>
        <v>4</v>
      </c>
      <c r="C25" s="326"/>
      <c r="D25" s="317" t="str">
        <f>TEXT(INPUT!B1,"yyyy")&amp;" Annual MWh - Note B"</f>
        <v>2016 Annual MWh - Note B</v>
      </c>
      <c r="E25" s="961" t="s">
        <v>787</v>
      </c>
      <c r="F25" s="325"/>
      <c r="G25" s="685">
        <f>INPUT!C159+INPUT!C160+INPUT!D159+INPUT!D160</f>
        <v>25993505</v>
      </c>
      <c r="H25" s="313" t="s">
        <v>339</v>
      </c>
    </row>
    <row r="26" spans="1:10">
      <c r="B26" s="327"/>
      <c r="C26" s="326"/>
      <c r="D26" s="317"/>
      <c r="E26" s="323"/>
      <c r="F26" s="325"/>
      <c r="G26" s="324"/>
      <c r="H26" s="323"/>
    </row>
    <row r="27" spans="1:10">
      <c r="A27" s="308"/>
      <c r="B27" s="319">
        <f>+B25+1</f>
        <v>5</v>
      </c>
      <c r="C27" s="318"/>
      <c r="D27" s="317" t="s">
        <v>355</v>
      </c>
      <c r="E27" s="322" t="str">
        <f>"(Line "&amp;B22&amp;" / Line "&amp;B25&amp;")"</f>
        <v>(Line 3 / Line 4)</v>
      </c>
      <c r="F27" s="315"/>
      <c r="G27" s="320">
        <f>+G22/G25</f>
        <v>0.19796499163925757</v>
      </c>
      <c r="H27" s="321" t="s">
        <v>338</v>
      </c>
    </row>
    <row r="28" spans="1:10">
      <c r="A28" s="308"/>
      <c r="B28" s="319"/>
      <c r="C28" s="318"/>
      <c r="D28" s="317"/>
      <c r="E28" s="315"/>
      <c r="F28" s="315"/>
      <c r="H28" s="315"/>
    </row>
    <row r="29" spans="1:10">
      <c r="A29" s="308"/>
      <c r="B29" s="319"/>
      <c r="C29" s="318"/>
      <c r="D29" s="317"/>
      <c r="E29" s="315"/>
      <c r="F29" s="318"/>
      <c r="H29" s="315"/>
    </row>
    <row r="30" spans="1:10">
      <c r="B30" s="319"/>
      <c r="C30" s="318"/>
      <c r="D30" s="317"/>
      <c r="E30" s="315"/>
      <c r="F30" s="315"/>
      <c r="H30" s="315"/>
      <c r="I30" s="310"/>
      <c r="J30" s="310"/>
    </row>
    <row r="31" spans="1:10">
      <c r="B31" s="356" t="s">
        <v>353</v>
      </c>
      <c r="C31" s="318"/>
      <c r="D31" s="317"/>
      <c r="E31" s="315"/>
      <c r="F31" s="315"/>
      <c r="H31" s="315"/>
      <c r="I31" s="310"/>
      <c r="J31" s="310"/>
    </row>
    <row r="32" spans="1:10">
      <c r="B32" s="357" t="s">
        <v>115</v>
      </c>
      <c r="C32" s="315"/>
      <c r="D32" s="315" t="s">
        <v>411</v>
      </c>
      <c r="E32" s="315"/>
      <c r="F32" s="315"/>
      <c r="G32" s="310"/>
      <c r="H32" s="315"/>
      <c r="I32" s="310"/>
      <c r="J32" s="310"/>
    </row>
    <row r="33" spans="1:10">
      <c r="B33" s="358"/>
      <c r="C33" s="315"/>
      <c r="D33" s="315" t="s">
        <v>534</v>
      </c>
      <c r="E33" s="315"/>
      <c r="F33" s="315"/>
      <c r="G33" s="310"/>
      <c r="H33" s="315"/>
      <c r="I33" s="310"/>
      <c r="J33" s="310"/>
    </row>
    <row r="34" spans="1:10">
      <c r="B34" s="358"/>
      <c r="C34" s="315"/>
      <c r="D34" s="315" t="s">
        <v>354</v>
      </c>
      <c r="E34" s="315"/>
      <c r="F34" s="315"/>
      <c r="G34" s="310"/>
      <c r="H34" s="315"/>
      <c r="I34" s="310"/>
      <c r="J34" s="310"/>
    </row>
    <row r="35" spans="1:10">
      <c r="B35" s="319"/>
      <c r="C35" s="313"/>
      <c r="D35" s="312"/>
      <c r="E35" s="312"/>
      <c r="F35" s="312"/>
      <c r="G35" s="312" t="s">
        <v>12</v>
      </c>
      <c r="I35" s="312"/>
      <c r="J35" s="310"/>
    </row>
    <row r="36" spans="1:10">
      <c r="B36" s="355" t="s">
        <v>116</v>
      </c>
      <c r="C36" s="313"/>
      <c r="D36" s="315" t="s">
        <v>869</v>
      </c>
      <c r="E36" s="312"/>
      <c r="F36" s="312"/>
      <c r="G36" s="312"/>
      <c r="H36" s="312"/>
      <c r="I36" s="312"/>
      <c r="J36" s="310"/>
    </row>
    <row r="37" spans="1:10">
      <c r="B37" s="319"/>
      <c r="C37" s="313"/>
      <c r="D37" s="315"/>
      <c r="E37" s="312"/>
      <c r="F37" s="312"/>
      <c r="G37" s="312"/>
      <c r="H37" s="312"/>
      <c r="I37" s="312"/>
      <c r="J37" s="310"/>
    </row>
    <row r="38" spans="1:10">
      <c r="B38" s="319"/>
      <c r="C38" s="313"/>
      <c r="D38" s="315"/>
      <c r="E38" s="312"/>
      <c r="F38" s="312"/>
      <c r="G38" s="312"/>
      <c r="H38" s="312"/>
      <c r="I38" s="312"/>
      <c r="J38" s="310"/>
    </row>
    <row r="39" spans="1:10">
      <c r="A39" s="370"/>
      <c r="B39" s="319"/>
      <c r="C39" s="313"/>
      <c r="D39" s="318"/>
      <c r="E39" s="312"/>
      <c r="F39" s="312"/>
      <c r="G39" s="312"/>
      <c r="H39" s="312"/>
      <c r="I39" s="312"/>
      <c r="J39" s="310"/>
    </row>
    <row r="40" spans="1:10">
      <c r="B40" s="314"/>
      <c r="C40" s="313"/>
      <c r="D40" s="318"/>
      <c r="E40" s="312"/>
      <c r="F40" s="312"/>
      <c r="G40" s="312"/>
      <c r="H40" s="312"/>
      <c r="I40" s="312"/>
      <c r="J40" s="310"/>
    </row>
    <row r="41" spans="1:10">
      <c r="B41" s="314"/>
      <c r="C41" s="313"/>
      <c r="D41" s="312"/>
      <c r="E41" s="312"/>
      <c r="F41" s="312"/>
      <c r="G41" s="312"/>
      <c r="H41" s="312"/>
      <c r="I41" s="312"/>
      <c r="J41" s="310"/>
    </row>
    <row r="42" spans="1:10">
      <c r="B42" s="311"/>
      <c r="C42" s="310"/>
      <c r="D42" s="312"/>
      <c r="E42" s="312"/>
      <c r="F42" s="312"/>
      <c r="G42" s="312"/>
      <c r="H42" s="312"/>
      <c r="I42" s="312"/>
      <c r="J42" s="310"/>
    </row>
    <row r="43" spans="1:10">
      <c r="B43" s="311"/>
      <c r="C43" s="310"/>
      <c r="D43" s="312"/>
      <c r="E43" s="312"/>
      <c r="F43" s="312"/>
      <c r="G43" s="312"/>
      <c r="H43" s="312"/>
      <c r="I43" s="312"/>
      <c r="J43" s="310"/>
    </row>
    <row r="44" spans="1:10">
      <c r="B44" s="311"/>
      <c r="C44" s="310"/>
      <c r="D44" s="312"/>
      <c r="E44" s="312"/>
      <c r="F44" s="312"/>
      <c r="G44" s="312"/>
      <c r="H44" s="312"/>
      <c r="I44" s="312"/>
      <c r="J44" s="310"/>
    </row>
    <row r="45" spans="1:10">
      <c r="B45" s="311"/>
      <c r="C45" s="310"/>
      <c r="D45" s="312"/>
      <c r="E45" s="312"/>
      <c r="F45" s="312"/>
      <c r="G45" s="312"/>
      <c r="H45" s="312"/>
      <c r="I45" s="312"/>
      <c r="J45" s="310"/>
    </row>
    <row r="46" spans="1:10">
      <c r="B46" s="311"/>
      <c r="C46" s="310"/>
      <c r="D46" s="312"/>
      <c r="E46" s="312"/>
      <c r="F46" s="312"/>
      <c r="G46" s="312"/>
      <c r="H46" s="312"/>
      <c r="I46" s="312"/>
      <c r="J46" s="310"/>
    </row>
    <row r="47" spans="1:10">
      <c r="B47" s="311"/>
      <c r="C47" s="310"/>
      <c r="D47" s="312"/>
      <c r="E47" s="312"/>
      <c r="F47" s="312"/>
      <c r="G47" s="312"/>
      <c r="H47" s="312"/>
      <c r="I47" s="312"/>
      <c r="J47" s="310"/>
    </row>
    <row r="48" spans="1:10">
      <c r="B48" s="311"/>
      <c r="C48" s="310"/>
      <c r="D48" s="312"/>
      <c r="E48" s="312"/>
      <c r="F48" s="312"/>
      <c r="G48" s="312"/>
      <c r="H48" s="312"/>
      <c r="I48" s="312"/>
      <c r="J48" s="310"/>
    </row>
    <row r="49" spans="2:10">
      <c r="B49" s="311"/>
      <c r="C49" s="310"/>
      <c r="D49" s="312"/>
      <c r="E49" s="312"/>
      <c r="F49" s="312"/>
      <c r="G49" s="312"/>
      <c r="H49" s="312"/>
      <c r="I49" s="312"/>
      <c r="J49" s="310"/>
    </row>
    <row r="50" spans="2:10">
      <c r="B50" s="311"/>
      <c r="C50" s="310"/>
      <c r="D50" s="312"/>
      <c r="E50" s="312"/>
      <c r="F50" s="312"/>
      <c r="G50" s="312"/>
      <c r="H50" s="312"/>
      <c r="I50" s="312"/>
      <c r="J50" s="310"/>
    </row>
    <row r="51" spans="2:10">
      <c r="B51" s="311"/>
      <c r="C51" s="310"/>
      <c r="D51" s="312"/>
      <c r="E51" s="312"/>
      <c r="F51" s="312"/>
      <c r="G51" s="312"/>
      <c r="H51" s="312"/>
      <c r="I51" s="312"/>
      <c r="J51" s="310"/>
    </row>
    <row r="52" spans="2:10">
      <c r="B52" s="311"/>
      <c r="C52" s="310"/>
      <c r="D52" s="310"/>
      <c r="E52" s="310"/>
      <c r="F52" s="310"/>
      <c r="G52" s="310"/>
      <c r="H52" s="310"/>
      <c r="I52" s="310"/>
      <c r="J52" s="310"/>
    </row>
    <row r="53" spans="2:10">
      <c r="B53" s="311"/>
      <c r="C53" s="310"/>
      <c r="D53" s="310"/>
      <c r="E53" s="310"/>
      <c r="F53" s="310"/>
      <c r="G53" s="310"/>
      <c r="H53" s="310"/>
      <c r="I53" s="310"/>
      <c r="J53" s="310"/>
    </row>
    <row r="54" spans="2:10">
      <c r="B54" s="311"/>
      <c r="C54" s="310"/>
      <c r="D54" s="310"/>
      <c r="E54" s="310"/>
      <c r="F54" s="310"/>
      <c r="G54" s="310"/>
      <c r="H54" s="310"/>
      <c r="I54" s="310"/>
      <c r="J54" s="310"/>
    </row>
    <row r="55" spans="2:10">
      <c r="B55" s="311"/>
      <c r="C55" s="310"/>
      <c r="D55" s="310"/>
      <c r="E55" s="310"/>
      <c r="F55" s="310"/>
      <c r="G55" s="310"/>
      <c r="H55" s="310"/>
      <c r="I55" s="310"/>
      <c r="J55" s="310"/>
    </row>
    <row r="56" spans="2:10">
      <c r="B56" s="311"/>
      <c r="C56" s="310"/>
      <c r="D56" s="310"/>
      <c r="E56" s="310"/>
      <c r="F56" s="310"/>
      <c r="G56" s="310"/>
      <c r="H56" s="310"/>
      <c r="I56" s="310"/>
      <c r="J56" s="310"/>
    </row>
    <row r="57" spans="2:10">
      <c r="B57" s="311"/>
      <c r="C57" s="310"/>
      <c r="D57" s="310"/>
      <c r="E57" s="310"/>
      <c r="F57" s="310"/>
      <c r="G57" s="310"/>
      <c r="H57" s="310"/>
      <c r="I57" s="310"/>
      <c r="J57" s="310"/>
    </row>
    <row r="58" spans="2:10">
      <c r="B58" s="311"/>
      <c r="C58" s="310"/>
      <c r="D58" s="310"/>
      <c r="E58" s="310"/>
      <c r="F58" s="310"/>
      <c r="G58" s="310"/>
      <c r="H58" s="310"/>
      <c r="I58" s="310"/>
      <c r="J58" s="310"/>
    </row>
    <row r="59" spans="2:10">
      <c r="B59" s="311"/>
      <c r="C59" s="310"/>
      <c r="D59" s="310"/>
      <c r="E59" s="310"/>
      <c r="F59" s="310"/>
      <c r="G59" s="310"/>
      <c r="H59" s="310"/>
      <c r="I59" s="310"/>
      <c r="J59" s="310"/>
    </row>
    <row r="60" spans="2:10">
      <c r="B60" s="311"/>
      <c r="C60" s="310"/>
      <c r="D60" s="310"/>
      <c r="E60" s="310"/>
      <c r="F60" s="310"/>
      <c r="G60" s="310"/>
      <c r="H60" s="310"/>
      <c r="I60" s="310"/>
      <c r="J60" s="310"/>
    </row>
    <row r="61" spans="2:10">
      <c r="B61" s="311"/>
      <c r="C61" s="310"/>
      <c r="D61" s="310"/>
      <c r="E61" s="310"/>
      <c r="F61" s="310"/>
      <c r="G61" s="310"/>
      <c r="H61" s="310"/>
      <c r="I61" s="310"/>
      <c r="J61" s="310"/>
    </row>
    <row r="62" spans="2:10">
      <c r="B62" s="311"/>
      <c r="C62" s="310"/>
      <c r="D62" s="310"/>
      <c r="E62" s="310"/>
      <c r="F62" s="310"/>
      <c r="G62" s="310"/>
      <c r="H62" s="310"/>
      <c r="I62" s="310"/>
      <c r="J62" s="310"/>
    </row>
    <row r="63" spans="2:10">
      <c r="B63" s="311"/>
      <c r="C63" s="310"/>
      <c r="D63" s="310"/>
      <c r="E63" s="310"/>
      <c r="F63" s="310"/>
      <c r="G63" s="310"/>
      <c r="H63" s="310"/>
      <c r="I63" s="310"/>
      <c r="J63" s="310"/>
    </row>
    <row r="64" spans="2:10">
      <c r="B64" s="311"/>
      <c r="C64" s="310"/>
      <c r="D64" s="310"/>
      <c r="E64" s="310"/>
      <c r="F64" s="310"/>
      <c r="G64" s="310"/>
      <c r="H64" s="310"/>
      <c r="I64" s="310"/>
      <c r="J64" s="310"/>
    </row>
    <row r="65" spans="2:10">
      <c r="B65" s="311"/>
      <c r="C65" s="310"/>
      <c r="D65" s="310"/>
      <c r="E65" s="310"/>
      <c r="F65" s="310"/>
      <c r="G65" s="310"/>
      <c r="H65" s="310"/>
      <c r="I65" s="310"/>
      <c r="J65" s="310"/>
    </row>
    <row r="66" spans="2:10">
      <c r="B66" s="311"/>
      <c r="C66" s="310"/>
      <c r="D66" s="310"/>
      <c r="E66" s="310"/>
      <c r="F66" s="310"/>
      <c r="G66" s="310"/>
      <c r="H66" s="310"/>
      <c r="I66" s="310"/>
      <c r="J66" s="310"/>
    </row>
    <row r="67" spans="2:10">
      <c r="B67" s="311"/>
      <c r="C67" s="310"/>
      <c r="D67" s="310"/>
      <c r="E67" s="310"/>
      <c r="F67" s="310"/>
      <c r="G67" s="310"/>
      <c r="H67" s="310"/>
      <c r="I67" s="310"/>
      <c r="J67" s="310"/>
    </row>
    <row r="68" spans="2:10">
      <c r="B68" s="311"/>
      <c r="C68" s="310"/>
      <c r="D68" s="310"/>
      <c r="E68" s="310"/>
      <c r="F68" s="310"/>
      <c r="G68" s="310"/>
      <c r="H68" s="310"/>
      <c r="I68" s="310"/>
      <c r="J68" s="310"/>
    </row>
    <row r="69" spans="2:10">
      <c r="B69" s="311"/>
      <c r="C69" s="310"/>
      <c r="D69" s="310"/>
      <c r="E69" s="310"/>
      <c r="F69" s="310"/>
      <c r="G69" s="310"/>
      <c r="H69" s="310"/>
      <c r="I69" s="310"/>
      <c r="J69" s="310"/>
    </row>
    <row r="70" spans="2:10">
      <c r="B70" s="311"/>
      <c r="C70" s="310"/>
      <c r="D70" s="310"/>
      <c r="E70" s="310"/>
      <c r="F70" s="310"/>
      <c r="G70" s="310"/>
      <c r="H70" s="310"/>
      <c r="I70" s="310"/>
      <c r="J70" s="310"/>
    </row>
    <row r="71" spans="2:10">
      <c r="B71" s="311"/>
      <c r="C71" s="310"/>
      <c r="D71" s="310"/>
      <c r="E71" s="310"/>
      <c r="F71" s="310"/>
      <c r="G71" s="310"/>
      <c r="H71" s="310"/>
      <c r="I71" s="310"/>
      <c r="J71" s="310"/>
    </row>
    <row r="72" spans="2:10">
      <c r="B72" s="311"/>
      <c r="C72" s="310"/>
      <c r="D72" s="310"/>
      <c r="E72" s="310"/>
      <c r="F72" s="310"/>
      <c r="G72" s="310"/>
      <c r="H72" s="310"/>
      <c r="I72" s="310"/>
      <c r="J72" s="310"/>
    </row>
    <row r="73" spans="2:10">
      <c r="B73" s="311"/>
      <c r="C73" s="310"/>
      <c r="D73" s="310"/>
      <c r="E73" s="310"/>
      <c r="F73" s="310"/>
      <c r="G73" s="310"/>
      <c r="H73" s="310"/>
      <c r="I73" s="310"/>
      <c r="J73" s="310"/>
    </row>
    <row r="74" spans="2:10">
      <c r="B74" s="311"/>
      <c r="C74" s="310"/>
      <c r="D74" s="310"/>
      <c r="E74" s="310"/>
      <c r="F74" s="310"/>
      <c r="G74" s="310"/>
      <c r="H74" s="310"/>
      <c r="I74" s="310"/>
      <c r="J74" s="310"/>
    </row>
    <row r="75" spans="2:10">
      <c r="B75" s="311"/>
      <c r="C75" s="310"/>
      <c r="D75" s="310"/>
      <c r="E75" s="310"/>
      <c r="F75" s="310"/>
      <c r="G75" s="310"/>
      <c r="H75" s="310"/>
      <c r="I75" s="310"/>
      <c r="J75" s="310"/>
    </row>
    <row r="76" spans="2:10">
      <c r="B76" s="311"/>
      <c r="C76" s="310"/>
      <c r="D76" s="310"/>
      <c r="E76" s="310"/>
      <c r="F76" s="310"/>
      <c r="G76" s="310"/>
      <c r="H76" s="310"/>
      <c r="I76" s="310"/>
      <c r="J76" s="310"/>
    </row>
    <row r="77" spans="2:10">
      <c r="B77" s="311"/>
      <c r="C77" s="310"/>
      <c r="D77" s="310"/>
      <c r="E77" s="310"/>
      <c r="F77" s="310"/>
      <c r="G77" s="310"/>
      <c r="H77" s="310"/>
      <c r="I77" s="310"/>
      <c r="J77" s="310"/>
    </row>
    <row r="78" spans="2:10">
      <c r="B78" s="311"/>
      <c r="C78" s="310"/>
      <c r="D78" s="310"/>
      <c r="E78" s="310"/>
      <c r="F78" s="310"/>
      <c r="G78" s="310"/>
      <c r="H78" s="310"/>
      <c r="I78" s="310"/>
      <c r="J78" s="310"/>
    </row>
    <row r="79" spans="2:10">
      <c r="B79" s="311"/>
      <c r="C79" s="310"/>
      <c r="D79" s="310"/>
      <c r="E79" s="310"/>
      <c r="F79" s="310"/>
      <c r="G79" s="310"/>
      <c r="H79" s="310"/>
      <c r="I79" s="310"/>
      <c r="J79" s="310"/>
    </row>
    <row r="80" spans="2:10">
      <c r="B80" s="311"/>
      <c r="C80" s="310"/>
      <c r="D80" s="310"/>
      <c r="E80" s="310"/>
      <c r="F80" s="310"/>
      <c r="G80" s="310"/>
      <c r="H80" s="310"/>
      <c r="I80" s="310"/>
      <c r="J80" s="310"/>
    </row>
    <row r="81" spans="2:10">
      <c r="B81" s="311"/>
      <c r="C81" s="310"/>
      <c r="D81" s="310"/>
      <c r="E81" s="310"/>
      <c r="F81" s="310"/>
      <c r="G81" s="310"/>
      <c r="H81" s="310"/>
      <c r="I81" s="310"/>
      <c r="J81" s="310"/>
    </row>
    <row r="82" spans="2:10">
      <c r="B82" s="311"/>
      <c r="C82" s="310"/>
      <c r="D82" s="310"/>
      <c r="E82" s="310"/>
      <c r="F82" s="310"/>
      <c r="G82" s="310"/>
      <c r="H82" s="310"/>
      <c r="I82" s="310"/>
      <c r="J82" s="310"/>
    </row>
    <row r="83" spans="2:10">
      <c r="B83" s="311"/>
      <c r="C83" s="310"/>
      <c r="D83" s="310"/>
      <c r="E83" s="310"/>
      <c r="F83" s="310"/>
      <c r="G83" s="310"/>
      <c r="H83" s="310"/>
      <c r="I83" s="310"/>
      <c r="J83" s="310"/>
    </row>
    <row r="84" spans="2:10">
      <c r="B84" s="311"/>
      <c r="C84" s="310"/>
      <c r="D84" s="310"/>
      <c r="E84" s="310"/>
      <c r="F84" s="310"/>
      <c r="G84" s="310"/>
      <c r="H84" s="310"/>
      <c r="I84" s="310"/>
      <c r="J84" s="310"/>
    </row>
    <row r="85" spans="2:10">
      <c r="B85" s="311"/>
      <c r="C85" s="310"/>
      <c r="D85" s="310"/>
      <c r="E85" s="310"/>
      <c r="F85" s="310"/>
      <c r="G85" s="310"/>
      <c r="H85" s="310"/>
      <c r="I85" s="310"/>
      <c r="J85" s="310"/>
    </row>
    <row r="86" spans="2:10">
      <c r="B86" s="311"/>
      <c r="C86" s="310"/>
      <c r="D86" s="310"/>
      <c r="E86" s="310"/>
      <c r="F86" s="310"/>
      <c r="G86" s="310"/>
      <c r="H86" s="310"/>
      <c r="I86" s="310"/>
      <c r="J86" s="310"/>
    </row>
    <row r="87" spans="2:10">
      <c r="B87" s="311"/>
      <c r="C87" s="310"/>
      <c r="D87" s="310"/>
      <c r="E87" s="310"/>
      <c r="F87" s="310"/>
      <c r="G87" s="310"/>
      <c r="H87" s="310"/>
      <c r="I87" s="310"/>
      <c r="J87" s="310"/>
    </row>
    <row r="88" spans="2:10">
      <c r="B88" s="311"/>
      <c r="C88" s="310"/>
      <c r="D88" s="310"/>
      <c r="E88" s="310"/>
      <c r="F88" s="310"/>
      <c r="G88" s="310"/>
      <c r="H88" s="310"/>
      <c r="I88" s="310"/>
      <c r="J88" s="310"/>
    </row>
    <row r="89" spans="2:10">
      <c r="B89" s="311"/>
      <c r="C89" s="310"/>
      <c r="D89" s="310"/>
      <c r="E89" s="310"/>
      <c r="F89" s="310"/>
      <c r="G89" s="310"/>
      <c r="H89" s="310"/>
      <c r="I89" s="310"/>
      <c r="J89" s="310"/>
    </row>
    <row r="90" spans="2:10">
      <c r="B90" s="311"/>
      <c r="C90" s="310"/>
      <c r="D90" s="310"/>
      <c r="E90" s="310"/>
      <c r="F90" s="310"/>
      <c r="G90" s="310"/>
      <c r="H90" s="310"/>
      <c r="I90" s="310"/>
      <c r="J90" s="310"/>
    </row>
    <row r="91" spans="2:10">
      <c r="B91" s="311"/>
      <c r="C91" s="310"/>
      <c r="D91" s="310"/>
      <c r="E91" s="310"/>
      <c r="F91" s="310"/>
      <c r="G91" s="310"/>
      <c r="H91" s="310"/>
      <c r="I91" s="310"/>
      <c r="J91" s="310"/>
    </row>
    <row r="92" spans="2:10">
      <c r="B92" s="311"/>
      <c r="C92" s="310"/>
      <c r="D92" s="310"/>
      <c r="E92" s="310"/>
      <c r="F92" s="310"/>
      <c r="G92" s="310"/>
      <c r="H92" s="310"/>
      <c r="I92" s="310"/>
      <c r="J92" s="310"/>
    </row>
    <row r="93" spans="2:10">
      <c r="B93" s="311"/>
      <c r="C93" s="310"/>
      <c r="D93" s="310"/>
      <c r="E93" s="310"/>
      <c r="F93" s="310"/>
      <c r="G93" s="310"/>
      <c r="H93" s="310"/>
      <c r="I93" s="310"/>
      <c r="J93" s="310"/>
    </row>
    <row r="94" spans="2:10">
      <c r="B94" s="311"/>
      <c r="C94" s="310"/>
      <c r="D94" s="310"/>
      <c r="E94" s="310"/>
      <c r="F94" s="310"/>
      <c r="G94" s="310"/>
      <c r="H94" s="310"/>
      <c r="I94" s="310"/>
      <c r="J94" s="310"/>
    </row>
    <row r="95" spans="2:10">
      <c r="B95" s="311"/>
      <c r="C95" s="310"/>
      <c r="D95" s="310"/>
      <c r="E95" s="310"/>
      <c r="F95" s="310"/>
      <c r="G95" s="310"/>
      <c r="H95" s="310"/>
      <c r="I95" s="310"/>
      <c r="J95" s="310"/>
    </row>
    <row r="96" spans="2:10">
      <c r="B96" s="311"/>
      <c r="C96" s="310"/>
      <c r="D96" s="310"/>
      <c r="E96" s="310"/>
      <c r="F96" s="310"/>
      <c r="G96" s="310"/>
      <c r="H96" s="310"/>
      <c r="I96" s="310"/>
      <c r="J96" s="310"/>
    </row>
    <row r="97" spans="2:10">
      <c r="B97" s="311"/>
      <c r="C97" s="310"/>
      <c r="D97" s="310"/>
      <c r="E97" s="310"/>
      <c r="F97" s="310"/>
      <c r="G97" s="310"/>
      <c r="H97" s="310"/>
      <c r="I97" s="310"/>
      <c r="J97" s="310"/>
    </row>
    <row r="98" spans="2:10">
      <c r="B98" s="311"/>
      <c r="C98" s="310"/>
      <c r="D98" s="310"/>
      <c r="E98" s="310"/>
      <c r="F98" s="310"/>
      <c r="G98" s="310"/>
      <c r="H98" s="310"/>
      <c r="I98" s="310"/>
      <c r="J98" s="310"/>
    </row>
    <row r="99" spans="2:10">
      <c r="B99" s="311"/>
      <c r="C99" s="310"/>
      <c r="D99" s="310"/>
      <c r="E99" s="310"/>
      <c r="F99" s="310"/>
      <c r="G99" s="310"/>
      <c r="H99" s="310"/>
      <c r="I99" s="310"/>
      <c r="J99" s="310"/>
    </row>
    <row r="100" spans="2:10">
      <c r="B100" s="311"/>
      <c r="C100" s="310"/>
      <c r="D100" s="310"/>
      <c r="E100" s="310"/>
      <c r="F100" s="310"/>
      <c r="G100" s="310"/>
      <c r="H100" s="310"/>
      <c r="I100" s="310"/>
      <c r="J100" s="310"/>
    </row>
    <row r="101" spans="2:10">
      <c r="B101" s="311"/>
      <c r="C101" s="310"/>
      <c r="D101" s="310"/>
      <c r="E101" s="310"/>
      <c r="F101" s="310"/>
      <c r="G101" s="310"/>
      <c r="H101" s="310"/>
      <c r="I101" s="310"/>
      <c r="J101" s="310"/>
    </row>
    <row r="102" spans="2:10">
      <c r="B102" s="309"/>
      <c r="C102" s="308"/>
      <c r="D102" s="308"/>
      <c r="E102" s="308"/>
      <c r="F102" s="308"/>
      <c r="H102" s="308"/>
    </row>
    <row r="103" spans="2:10">
      <c r="B103" s="309"/>
      <c r="C103" s="308"/>
      <c r="D103" s="308"/>
      <c r="E103" s="308"/>
      <c r="F103" s="308"/>
      <c r="H103" s="308"/>
    </row>
    <row r="104" spans="2:10">
      <c r="B104" s="309"/>
      <c r="C104" s="308"/>
      <c r="D104" s="308"/>
      <c r="E104" s="308"/>
      <c r="F104" s="308"/>
      <c r="H104" s="308"/>
    </row>
    <row r="105" spans="2:10">
      <c r="B105" s="309"/>
      <c r="C105" s="308"/>
      <c r="D105" s="308"/>
      <c r="E105" s="308"/>
      <c r="F105" s="308"/>
      <c r="H105" s="308"/>
    </row>
    <row r="106" spans="2:10">
      <c r="B106" s="309"/>
      <c r="C106" s="308"/>
      <c r="D106" s="308"/>
      <c r="E106" s="308"/>
      <c r="F106" s="308"/>
      <c r="H106" s="308"/>
    </row>
    <row r="107" spans="2:10">
      <c r="B107" s="309"/>
      <c r="C107" s="308"/>
      <c r="D107" s="308"/>
      <c r="E107" s="308"/>
      <c r="F107" s="308"/>
      <c r="H107" s="308"/>
    </row>
    <row r="108" spans="2:10">
      <c r="B108" s="309"/>
      <c r="C108" s="308"/>
      <c r="D108" s="308"/>
      <c r="E108" s="308"/>
      <c r="F108" s="308"/>
      <c r="H108" s="308"/>
    </row>
    <row r="109" spans="2:10">
      <c r="B109" s="309"/>
      <c r="C109" s="308"/>
      <c r="D109" s="308"/>
      <c r="E109" s="308"/>
      <c r="F109" s="308"/>
      <c r="H109" s="308"/>
    </row>
    <row r="110" spans="2:10">
      <c r="B110" s="309"/>
      <c r="C110" s="308"/>
      <c r="D110" s="308"/>
      <c r="E110" s="308"/>
      <c r="F110" s="308"/>
      <c r="H110" s="308"/>
    </row>
    <row r="111" spans="2:10">
      <c r="B111" s="309"/>
      <c r="C111" s="308"/>
      <c r="D111" s="308"/>
      <c r="E111" s="308"/>
      <c r="F111" s="308"/>
      <c r="H111" s="308"/>
    </row>
    <row r="112" spans="2:10">
      <c r="B112" s="309"/>
      <c r="C112" s="308"/>
      <c r="D112" s="308"/>
      <c r="E112" s="308"/>
      <c r="F112" s="308"/>
      <c r="H112" s="308"/>
    </row>
    <row r="113" spans="2:8">
      <c r="B113" s="309"/>
      <c r="C113" s="308"/>
      <c r="D113" s="308"/>
      <c r="E113" s="308"/>
      <c r="F113" s="308"/>
      <c r="H113" s="308"/>
    </row>
    <row r="114" spans="2:8">
      <c r="B114" s="309"/>
      <c r="C114" s="308"/>
      <c r="D114" s="308"/>
      <c r="E114" s="308"/>
      <c r="F114" s="308"/>
      <c r="H114" s="308"/>
    </row>
    <row r="115" spans="2:8">
      <c r="B115" s="309"/>
      <c r="C115" s="308"/>
      <c r="D115" s="308"/>
      <c r="E115" s="308"/>
      <c r="F115" s="308"/>
      <c r="H115" s="308"/>
    </row>
    <row r="116" spans="2:8">
      <c r="B116" s="309"/>
      <c r="C116" s="308"/>
      <c r="D116" s="308"/>
      <c r="E116" s="308"/>
      <c r="F116" s="308"/>
      <c r="H116" s="308"/>
    </row>
    <row r="117" spans="2:8">
      <c r="B117" s="309"/>
      <c r="C117" s="308"/>
      <c r="D117" s="308"/>
      <c r="E117" s="308"/>
      <c r="F117" s="308"/>
      <c r="H117" s="308"/>
    </row>
    <row r="118" spans="2:8">
      <c r="B118" s="309"/>
      <c r="C118" s="308"/>
      <c r="D118" s="308"/>
      <c r="E118" s="308"/>
      <c r="F118" s="308"/>
      <c r="H118" s="308"/>
    </row>
    <row r="119" spans="2:8">
      <c r="B119" s="309"/>
      <c r="C119" s="308"/>
      <c r="D119" s="308"/>
      <c r="E119" s="308"/>
      <c r="F119" s="308"/>
      <c r="H119" s="308"/>
    </row>
    <row r="120" spans="2:8">
      <c r="B120" s="309"/>
      <c r="C120" s="308"/>
      <c r="D120" s="308"/>
      <c r="E120" s="308"/>
      <c r="F120" s="308"/>
      <c r="H120" s="308"/>
    </row>
    <row r="121" spans="2:8">
      <c r="B121" s="309"/>
      <c r="C121" s="308"/>
      <c r="D121" s="308"/>
      <c r="E121" s="308"/>
      <c r="F121" s="308"/>
      <c r="H121" s="308"/>
    </row>
    <row r="122" spans="2:8">
      <c r="B122" s="309"/>
      <c r="C122" s="308"/>
      <c r="D122" s="308"/>
      <c r="E122" s="308"/>
      <c r="F122" s="308"/>
      <c r="H122" s="308"/>
    </row>
    <row r="123" spans="2:8">
      <c r="B123" s="309"/>
      <c r="C123" s="308"/>
      <c r="D123" s="308"/>
      <c r="E123" s="308"/>
      <c r="F123" s="308"/>
      <c r="H123" s="308"/>
    </row>
    <row r="124" spans="2:8">
      <c r="B124" s="309"/>
      <c r="C124" s="308"/>
      <c r="D124" s="308"/>
      <c r="E124" s="308"/>
      <c r="F124" s="308"/>
      <c r="H124" s="308"/>
    </row>
    <row r="125" spans="2:8">
      <c r="B125" s="309"/>
      <c r="C125" s="308"/>
      <c r="D125" s="308"/>
      <c r="E125" s="308"/>
      <c r="F125" s="308"/>
      <c r="H125" s="308"/>
    </row>
    <row r="126" spans="2:8">
      <c r="B126" s="309"/>
      <c r="C126" s="308"/>
      <c r="D126" s="308"/>
      <c r="E126" s="308"/>
      <c r="F126" s="308"/>
      <c r="H126" s="308"/>
    </row>
    <row r="127" spans="2:8">
      <c r="B127" s="309"/>
      <c r="C127" s="308"/>
      <c r="D127" s="308"/>
      <c r="E127" s="308"/>
      <c r="F127" s="308"/>
      <c r="H127" s="308"/>
    </row>
    <row r="128" spans="2:8">
      <c r="B128" s="309"/>
      <c r="C128" s="308"/>
      <c r="D128" s="308"/>
      <c r="E128" s="308"/>
      <c r="F128" s="308"/>
      <c r="H128" s="308"/>
    </row>
    <row r="129" spans="2:8">
      <c r="B129" s="309"/>
      <c r="C129" s="308"/>
      <c r="D129" s="308"/>
      <c r="E129" s="308"/>
      <c r="F129" s="308"/>
      <c r="H129" s="308"/>
    </row>
    <row r="130" spans="2:8">
      <c r="B130" s="309"/>
      <c r="C130" s="308"/>
      <c r="D130" s="308"/>
      <c r="E130" s="308"/>
      <c r="F130" s="308"/>
      <c r="H130" s="308"/>
    </row>
    <row r="131" spans="2:8">
      <c r="B131" s="309"/>
      <c r="C131" s="308"/>
      <c r="D131" s="308"/>
      <c r="E131" s="308"/>
      <c r="F131" s="308"/>
      <c r="H131" s="308"/>
    </row>
    <row r="132" spans="2:8">
      <c r="B132" s="309"/>
      <c r="C132" s="308"/>
      <c r="D132" s="308"/>
      <c r="E132" s="308"/>
      <c r="F132" s="308"/>
      <c r="H132" s="308"/>
    </row>
    <row r="133" spans="2:8">
      <c r="B133" s="309"/>
      <c r="C133" s="308"/>
      <c r="D133" s="308"/>
      <c r="E133" s="308"/>
      <c r="F133" s="308"/>
      <c r="H133" s="308"/>
    </row>
    <row r="134" spans="2:8">
      <c r="B134" s="309"/>
      <c r="C134" s="308"/>
      <c r="D134" s="308"/>
      <c r="E134" s="308"/>
      <c r="F134" s="308"/>
      <c r="H134" s="308"/>
    </row>
    <row r="135" spans="2:8">
      <c r="B135" s="309"/>
      <c r="C135" s="308"/>
      <c r="D135" s="308"/>
      <c r="E135" s="308"/>
      <c r="F135" s="308"/>
      <c r="H135" s="308"/>
    </row>
    <row r="136" spans="2:8">
      <c r="B136" s="309"/>
      <c r="C136" s="308"/>
      <c r="D136" s="308"/>
      <c r="E136" s="308"/>
      <c r="F136" s="308"/>
      <c r="H136" s="308"/>
    </row>
    <row r="137" spans="2:8">
      <c r="B137" s="309"/>
      <c r="C137" s="308"/>
      <c r="D137" s="308"/>
      <c r="E137" s="308"/>
      <c r="F137" s="308"/>
      <c r="H137" s="308"/>
    </row>
    <row r="138" spans="2:8">
      <c r="B138" s="309"/>
      <c r="C138" s="308"/>
      <c r="D138" s="308"/>
      <c r="E138" s="308"/>
      <c r="F138" s="308"/>
      <c r="H138" s="308"/>
    </row>
    <row r="139" spans="2:8">
      <c r="B139" s="309"/>
      <c r="C139" s="308"/>
      <c r="D139" s="308"/>
      <c r="E139" s="308"/>
      <c r="F139" s="308"/>
      <c r="H139" s="308"/>
    </row>
    <row r="140" spans="2:8">
      <c r="B140" s="309"/>
      <c r="C140" s="308"/>
      <c r="D140" s="308"/>
      <c r="E140" s="308"/>
      <c r="F140" s="308"/>
      <c r="H140" s="308"/>
    </row>
    <row r="141" spans="2:8">
      <c r="B141" s="309"/>
      <c r="C141" s="308"/>
      <c r="D141" s="308"/>
      <c r="E141" s="308"/>
      <c r="F141" s="308"/>
      <c r="H141" s="308"/>
    </row>
    <row r="142" spans="2:8">
      <c r="B142" s="309"/>
      <c r="C142" s="308"/>
      <c r="D142" s="308"/>
      <c r="E142" s="308"/>
      <c r="F142" s="308"/>
      <c r="H142" s="308"/>
    </row>
    <row r="143" spans="2:8">
      <c r="B143" s="309"/>
      <c r="C143" s="308"/>
      <c r="D143" s="308"/>
      <c r="E143" s="308"/>
      <c r="F143" s="308"/>
      <c r="H143" s="308"/>
    </row>
    <row r="144" spans="2:8">
      <c r="B144" s="309"/>
      <c r="C144" s="308"/>
      <c r="D144" s="308"/>
      <c r="E144" s="308"/>
      <c r="F144" s="308"/>
      <c r="H144" s="308"/>
    </row>
    <row r="145" spans="2:8">
      <c r="B145" s="309"/>
      <c r="C145" s="308"/>
      <c r="D145" s="308"/>
      <c r="E145" s="308"/>
      <c r="F145" s="308"/>
      <c r="H145" s="308"/>
    </row>
    <row r="146" spans="2:8">
      <c r="B146" s="309"/>
      <c r="C146" s="308"/>
      <c r="D146" s="308"/>
      <c r="E146" s="308"/>
      <c r="F146" s="308"/>
      <c r="H146" s="308"/>
    </row>
    <row r="147" spans="2:8">
      <c r="B147" s="309"/>
      <c r="C147" s="308"/>
      <c r="D147" s="308"/>
      <c r="E147" s="308"/>
      <c r="F147" s="308"/>
      <c r="H147" s="308"/>
    </row>
    <row r="148" spans="2:8">
      <c r="B148" s="309"/>
      <c r="C148" s="308"/>
      <c r="D148" s="308"/>
      <c r="E148" s="308"/>
      <c r="F148" s="308"/>
      <c r="H148" s="308"/>
    </row>
    <row r="149" spans="2:8">
      <c r="B149" s="309"/>
      <c r="C149" s="308"/>
      <c r="D149" s="308"/>
      <c r="E149" s="308"/>
      <c r="F149" s="308"/>
      <c r="H149" s="308"/>
    </row>
    <row r="150" spans="2:8">
      <c r="B150" s="309"/>
      <c r="C150" s="308"/>
      <c r="D150" s="308"/>
      <c r="E150" s="308"/>
      <c r="F150" s="308"/>
      <c r="H150" s="308"/>
    </row>
    <row r="151" spans="2:8">
      <c r="B151" s="309"/>
      <c r="C151" s="308"/>
      <c r="D151" s="308"/>
      <c r="E151" s="308"/>
      <c r="F151" s="308"/>
      <c r="H151" s="308"/>
    </row>
    <row r="152" spans="2:8">
      <c r="B152" s="309"/>
      <c r="C152" s="308"/>
      <c r="D152" s="308"/>
      <c r="E152" s="308"/>
      <c r="F152" s="308"/>
      <c r="H152" s="308"/>
    </row>
    <row r="153" spans="2:8">
      <c r="B153" s="309"/>
      <c r="C153" s="308"/>
      <c r="D153" s="308"/>
      <c r="E153" s="308"/>
      <c r="F153" s="308"/>
      <c r="H153" s="308"/>
    </row>
    <row r="154" spans="2:8">
      <c r="B154" s="309"/>
      <c r="C154" s="308"/>
      <c r="D154" s="308"/>
      <c r="E154" s="308"/>
      <c r="F154" s="308"/>
      <c r="H154" s="308"/>
    </row>
    <row r="155" spans="2:8">
      <c r="B155" s="309"/>
      <c r="C155" s="308"/>
      <c r="D155" s="308"/>
      <c r="E155" s="308"/>
      <c r="F155" s="308"/>
      <c r="H155" s="308"/>
    </row>
    <row r="156" spans="2:8">
      <c r="B156" s="309"/>
      <c r="C156" s="308"/>
      <c r="D156" s="308"/>
      <c r="E156" s="308"/>
      <c r="F156" s="308"/>
      <c r="H156" s="308"/>
    </row>
    <row r="157" spans="2:8">
      <c r="B157" s="309"/>
      <c r="C157" s="308"/>
      <c r="D157" s="308"/>
      <c r="E157" s="308"/>
      <c r="F157" s="308"/>
      <c r="H157" s="308"/>
    </row>
    <row r="158" spans="2:8">
      <c r="B158" s="309"/>
      <c r="C158" s="308"/>
      <c r="D158" s="308"/>
      <c r="E158" s="308"/>
      <c r="F158" s="308"/>
      <c r="H158" s="308"/>
    </row>
    <row r="159" spans="2:8">
      <c r="B159" s="309"/>
      <c r="C159" s="308"/>
      <c r="D159" s="308"/>
      <c r="E159" s="308"/>
      <c r="F159" s="308"/>
      <c r="H159" s="308"/>
    </row>
    <row r="160" spans="2:8">
      <c r="B160" s="309"/>
      <c r="C160" s="308"/>
      <c r="D160" s="308"/>
      <c r="E160" s="308"/>
      <c r="F160" s="308"/>
      <c r="H160" s="308"/>
    </row>
    <row r="161" spans="2:8">
      <c r="B161" s="309"/>
      <c r="C161" s="308"/>
      <c r="D161" s="308"/>
      <c r="E161" s="308"/>
      <c r="F161" s="308"/>
      <c r="H161" s="308"/>
    </row>
    <row r="162" spans="2:8">
      <c r="B162" s="309"/>
      <c r="C162" s="308"/>
      <c r="D162" s="308"/>
      <c r="E162" s="308"/>
      <c r="F162" s="308"/>
      <c r="H162" s="308"/>
    </row>
    <row r="163" spans="2:8">
      <c r="B163" s="309"/>
      <c r="C163" s="308"/>
      <c r="D163" s="308"/>
      <c r="E163" s="308"/>
      <c r="F163" s="308"/>
      <c r="H163" s="308"/>
    </row>
    <row r="164" spans="2:8">
      <c r="B164" s="309"/>
      <c r="C164" s="308"/>
      <c r="D164" s="308"/>
      <c r="E164" s="308"/>
      <c r="F164" s="308"/>
      <c r="H164" s="308"/>
    </row>
    <row r="165" spans="2:8">
      <c r="B165" s="309"/>
      <c r="C165" s="308"/>
      <c r="D165" s="308"/>
      <c r="E165" s="308"/>
      <c r="F165" s="308"/>
      <c r="H165" s="308"/>
    </row>
    <row r="166" spans="2:8">
      <c r="B166" s="309"/>
      <c r="C166" s="308"/>
      <c r="D166" s="308"/>
      <c r="E166" s="308"/>
      <c r="F166" s="308"/>
      <c r="H166" s="308"/>
    </row>
    <row r="167" spans="2:8">
      <c r="B167" s="309"/>
      <c r="C167" s="308"/>
      <c r="D167" s="308"/>
      <c r="E167" s="308"/>
      <c r="F167" s="308"/>
      <c r="H167" s="308"/>
    </row>
    <row r="168" spans="2:8">
      <c r="B168" s="309"/>
      <c r="C168" s="308"/>
      <c r="D168" s="308"/>
      <c r="E168" s="308"/>
      <c r="F168" s="308"/>
      <c r="H168" s="308"/>
    </row>
    <row r="169" spans="2:8">
      <c r="B169" s="309"/>
      <c r="C169" s="308"/>
      <c r="D169" s="308"/>
      <c r="E169" s="308"/>
      <c r="F169" s="308"/>
      <c r="H169" s="308"/>
    </row>
    <row r="170" spans="2:8">
      <c r="B170" s="309"/>
      <c r="C170" s="308"/>
      <c r="D170" s="308"/>
      <c r="E170" s="308"/>
      <c r="F170" s="308"/>
      <c r="H170" s="308"/>
    </row>
    <row r="171" spans="2:8">
      <c r="B171" s="309"/>
      <c r="C171" s="308"/>
      <c r="D171" s="308"/>
      <c r="E171" s="308"/>
      <c r="F171" s="308"/>
      <c r="H171" s="308"/>
    </row>
    <row r="172" spans="2:8">
      <c r="B172" s="309"/>
      <c r="C172" s="308"/>
      <c r="D172" s="308"/>
      <c r="E172" s="308"/>
      <c r="F172" s="308"/>
      <c r="H172" s="308"/>
    </row>
    <row r="173" spans="2:8">
      <c r="B173" s="309"/>
      <c r="C173" s="308"/>
      <c r="D173" s="308"/>
      <c r="E173" s="308"/>
      <c r="F173" s="308"/>
      <c r="H173" s="308"/>
    </row>
    <row r="174" spans="2:8">
      <c r="B174" s="309"/>
      <c r="C174" s="308"/>
      <c r="D174" s="308"/>
      <c r="E174" s="308"/>
      <c r="F174" s="308"/>
      <c r="H174" s="308"/>
    </row>
    <row r="175" spans="2:8">
      <c r="B175" s="309"/>
      <c r="C175" s="308"/>
      <c r="D175" s="308"/>
      <c r="E175" s="308"/>
      <c r="F175" s="308"/>
      <c r="H175" s="308"/>
    </row>
    <row r="176" spans="2:8">
      <c r="B176" s="309"/>
      <c r="C176" s="308"/>
      <c r="D176" s="308"/>
      <c r="E176" s="308"/>
      <c r="F176" s="308"/>
      <c r="H176" s="308"/>
    </row>
    <row r="177" spans="2:8">
      <c r="B177" s="309"/>
      <c r="C177" s="308"/>
      <c r="D177" s="308"/>
      <c r="E177" s="308"/>
      <c r="F177" s="308"/>
      <c r="H177" s="308"/>
    </row>
    <row r="178" spans="2:8">
      <c r="B178" s="309"/>
      <c r="C178" s="308"/>
      <c r="D178" s="308"/>
      <c r="E178" s="308"/>
      <c r="F178" s="308"/>
      <c r="H178" s="308"/>
    </row>
    <row r="179" spans="2:8">
      <c r="B179" s="309"/>
      <c r="C179" s="308"/>
      <c r="D179" s="308"/>
      <c r="E179" s="308"/>
      <c r="F179" s="308"/>
      <c r="H179" s="308"/>
    </row>
    <row r="180" spans="2:8">
      <c r="B180" s="309"/>
      <c r="C180" s="308"/>
      <c r="D180" s="308"/>
      <c r="E180" s="308"/>
      <c r="F180" s="308"/>
      <c r="H180" s="308"/>
    </row>
    <row r="181" spans="2:8">
      <c r="B181" s="309"/>
      <c r="C181" s="308"/>
      <c r="D181" s="308"/>
      <c r="E181" s="308"/>
      <c r="F181" s="308"/>
      <c r="H181" s="308"/>
    </row>
    <row r="182" spans="2:8">
      <c r="B182" s="309"/>
      <c r="C182" s="308"/>
      <c r="D182" s="308"/>
      <c r="E182" s="308"/>
      <c r="F182" s="308"/>
      <c r="H182" s="308"/>
    </row>
    <row r="183" spans="2:8">
      <c r="B183" s="309"/>
      <c r="C183" s="308"/>
      <c r="D183" s="308"/>
      <c r="E183" s="308"/>
      <c r="F183" s="308"/>
      <c r="H183" s="308"/>
    </row>
    <row r="184" spans="2:8">
      <c r="B184" s="309"/>
      <c r="C184" s="308"/>
      <c r="D184" s="308"/>
      <c r="E184" s="308"/>
      <c r="F184" s="308"/>
      <c r="H184" s="308"/>
    </row>
    <row r="185" spans="2:8">
      <c r="B185" s="309"/>
      <c r="C185" s="308"/>
      <c r="D185" s="308"/>
      <c r="E185" s="308"/>
      <c r="F185" s="308"/>
      <c r="H185" s="308"/>
    </row>
    <row r="186" spans="2:8">
      <c r="B186" s="309"/>
      <c r="C186" s="308"/>
      <c r="D186" s="308"/>
      <c r="E186" s="308"/>
      <c r="F186" s="308"/>
      <c r="H186" s="308"/>
    </row>
    <row r="187" spans="2:8">
      <c r="B187" s="309"/>
      <c r="C187" s="308"/>
      <c r="D187" s="308"/>
      <c r="E187" s="308"/>
      <c r="F187" s="308"/>
      <c r="H187" s="308"/>
    </row>
    <row r="188" spans="2:8">
      <c r="B188" s="309"/>
      <c r="C188" s="308"/>
      <c r="D188" s="308"/>
      <c r="E188" s="308"/>
      <c r="F188" s="308"/>
      <c r="H188" s="308"/>
    </row>
    <row r="189" spans="2:8">
      <c r="B189" s="309"/>
      <c r="C189" s="308"/>
      <c r="D189" s="308"/>
      <c r="E189" s="308"/>
      <c r="F189" s="308"/>
      <c r="H189" s="308"/>
    </row>
    <row r="190" spans="2:8">
      <c r="B190" s="309"/>
      <c r="C190" s="308"/>
      <c r="D190" s="308"/>
      <c r="E190" s="308"/>
      <c r="F190" s="308"/>
      <c r="H190" s="308"/>
    </row>
    <row r="191" spans="2:8">
      <c r="B191" s="309"/>
      <c r="C191" s="308"/>
      <c r="D191" s="308"/>
      <c r="E191" s="308"/>
      <c r="F191" s="308"/>
      <c r="H191" s="308"/>
    </row>
    <row r="192" spans="2:8">
      <c r="B192" s="309"/>
      <c r="C192" s="308"/>
      <c r="D192" s="308"/>
      <c r="E192" s="308"/>
      <c r="F192" s="308"/>
      <c r="H192" s="308"/>
    </row>
    <row r="193" spans="2:8">
      <c r="B193" s="309"/>
      <c r="C193" s="308"/>
      <c r="D193" s="308"/>
      <c r="E193" s="308"/>
      <c r="F193" s="308"/>
      <c r="H193" s="308"/>
    </row>
    <row r="194" spans="2:8">
      <c r="B194" s="309"/>
      <c r="C194" s="308"/>
      <c r="D194" s="308"/>
      <c r="E194" s="308"/>
      <c r="F194" s="308"/>
      <c r="H194" s="308"/>
    </row>
    <row r="195" spans="2:8">
      <c r="B195" s="309"/>
      <c r="C195" s="308"/>
      <c r="D195" s="308"/>
      <c r="E195" s="308"/>
      <c r="F195" s="308"/>
      <c r="H195" s="308"/>
    </row>
    <row r="196" spans="2:8">
      <c r="B196" s="309"/>
      <c r="C196" s="308"/>
      <c r="D196" s="308"/>
      <c r="E196" s="308"/>
      <c r="F196" s="308"/>
      <c r="H196" s="308"/>
    </row>
    <row r="197" spans="2:8">
      <c r="B197" s="309"/>
      <c r="C197" s="308"/>
      <c r="D197" s="308"/>
      <c r="E197" s="308"/>
      <c r="F197" s="308"/>
      <c r="H197" s="308"/>
    </row>
    <row r="198" spans="2:8">
      <c r="B198" s="309"/>
      <c r="C198" s="308"/>
      <c r="D198" s="308"/>
      <c r="E198" s="308"/>
      <c r="F198" s="308"/>
      <c r="H198" s="308"/>
    </row>
    <row r="199" spans="2:8">
      <c r="B199" s="309"/>
      <c r="C199" s="308"/>
      <c r="D199" s="308"/>
      <c r="E199" s="308"/>
      <c r="F199" s="308"/>
      <c r="H199" s="308"/>
    </row>
    <row r="200" spans="2:8">
      <c r="B200" s="309"/>
      <c r="C200" s="308"/>
      <c r="D200" s="308"/>
      <c r="E200" s="308"/>
      <c r="F200" s="308"/>
      <c r="H200" s="308"/>
    </row>
    <row r="201" spans="2:8">
      <c r="B201" s="309"/>
      <c r="C201" s="308"/>
      <c r="D201" s="308"/>
      <c r="E201" s="308"/>
      <c r="F201" s="308"/>
      <c r="H201" s="308"/>
    </row>
    <row r="202" spans="2:8">
      <c r="B202" s="309"/>
      <c r="C202" s="308"/>
      <c r="D202" s="308"/>
      <c r="E202" s="308"/>
      <c r="F202" s="308"/>
      <c r="H202" s="308"/>
    </row>
    <row r="203" spans="2:8">
      <c r="B203" s="309"/>
      <c r="C203" s="308"/>
      <c r="D203" s="308"/>
      <c r="E203" s="308"/>
      <c r="F203" s="308"/>
      <c r="H203" s="308"/>
    </row>
    <row r="204" spans="2:8">
      <c r="B204" s="309"/>
      <c r="C204" s="308"/>
      <c r="D204" s="308"/>
      <c r="E204" s="308"/>
      <c r="F204" s="308"/>
      <c r="H204" s="308"/>
    </row>
    <row r="205" spans="2:8">
      <c r="B205" s="309"/>
      <c r="C205" s="308"/>
      <c r="D205" s="308"/>
      <c r="E205" s="308"/>
      <c r="F205" s="308"/>
      <c r="H205" s="308"/>
    </row>
    <row r="206" spans="2:8">
      <c r="B206" s="309"/>
      <c r="C206" s="308"/>
      <c r="D206" s="308"/>
      <c r="E206" s="308"/>
      <c r="F206" s="308"/>
      <c r="H206" s="308"/>
    </row>
    <row r="207" spans="2:8">
      <c r="B207" s="309"/>
      <c r="C207" s="308"/>
      <c r="D207" s="308"/>
      <c r="E207" s="308"/>
      <c r="F207" s="308"/>
      <c r="H207" s="308"/>
    </row>
    <row r="208" spans="2:8">
      <c r="B208" s="309"/>
      <c r="C208" s="308"/>
      <c r="D208" s="308"/>
      <c r="E208" s="308"/>
      <c r="F208" s="308"/>
      <c r="H208" s="308"/>
    </row>
    <row r="209" spans="2:8">
      <c r="B209" s="309"/>
      <c r="C209" s="308"/>
      <c r="D209" s="308"/>
      <c r="E209" s="308"/>
      <c r="F209" s="308"/>
      <c r="H209" s="308"/>
    </row>
    <row r="210" spans="2:8">
      <c r="B210" s="309"/>
      <c r="C210" s="308"/>
      <c r="D210" s="308"/>
      <c r="E210" s="308"/>
      <c r="F210" s="308"/>
      <c r="H210" s="308"/>
    </row>
    <row r="211" spans="2:8">
      <c r="B211" s="309"/>
      <c r="C211" s="308"/>
      <c r="D211" s="308"/>
      <c r="E211" s="308"/>
      <c r="F211" s="308"/>
      <c r="H211" s="308"/>
    </row>
    <row r="212" spans="2:8">
      <c r="B212" s="309"/>
      <c r="C212" s="308"/>
      <c r="D212" s="308"/>
      <c r="E212" s="308"/>
      <c r="F212" s="308"/>
      <c r="H212" s="308"/>
    </row>
    <row r="213" spans="2:8">
      <c r="B213" s="309"/>
      <c r="C213" s="308"/>
      <c r="D213" s="308"/>
      <c r="E213" s="308"/>
      <c r="F213" s="308"/>
      <c r="H213" s="308"/>
    </row>
    <row r="214" spans="2:8">
      <c r="B214" s="309"/>
      <c r="C214" s="308"/>
      <c r="D214" s="308"/>
      <c r="E214" s="308"/>
      <c r="F214" s="308"/>
      <c r="H214" s="308"/>
    </row>
    <row r="215" spans="2:8">
      <c r="B215" s="309"/>
      <c r="C215" s="308"/>
      <c r="D215" s="308"/>
      <c r="E215" s="308"/>
      <c r="F215" s="308"/>
      <c r="H215" s="308"/>
    </row>
    <row r="216" spans="2:8">
      <c r="B216" s="309"/>
      <c r="C216" s="308"/>
      <c r="D216" s="308"/>
      <c r="E216" s="308"/>
      <c r="F216" s="308"/>
      <c r="H216" s="308"/>
    </row>
    <row r="217" spans="2:8">
      <c r="B217" s="309"/>
      <c r="C217" s="308"/>
      <c r="D217" s="308"/>
      <c r="E217" s="308"/>
      <c r="F217" s="308"/>
      <c r="H217" s="308"/>
    </row>
    <row r="218" spans="2:8">
      <c r="B218" s="309"/>
      <c r="C218" s="308"/>
      <c r="D218" s="308"/>
      <c r="E218" s="308"/>
      <c r="F218" s="308"/>
      <c r="H218" s="308"/>
    </row>
    <row r="219" spans="2:8">
      <c r="B219" s="309"/>
      <c r="C219" s="308"/>
      <c r="D219" s="308"/>
      <c r="E219" s="308"/>
      <c r="F219" s="308"/>
      <c r="H219" s="308"/>
    </row>
    <row r="220" spans="2:8">
      <c r="B220" s="309"/>
      <c r="C220" s="308"/>
      <c r="D220" s="308"/>
      <c r="E220" s="308"/>
      <c r="F220" s="308"/>
      <c r="H220" s="308"/>
    </row>
    <row r="221" spans="2:8">
      <c r="B221" s="309"/>
      <c r="C221" s="308"/>
      <c r="D221" s="308"/>
      <c r="E221" s="308"/>
      <c r="F221" s="308"/>
      <c r="H221" s="308"/>
    </row>
    <row r="222" spans="2:8">
      <c r="B222" s="309"/>
      <c r="C222" s="308"/>
      <c r="D222" s="308"/>
      <c r="E222" s="308"/>
      <c r="F222" s="308"/>
      <c r="H222" s="308"/>
    </row>
    <row r="223" spans="2:8">
      <c r="B223" s="309"/>
      <c r="C223" s="308"/>
      <c r="D223" s="308"/>
      <c r="E223" s="308"/>
      <c r="F223" s="308"/>
      <c r="H223" s="308"/>
    </row>
    <row r="224" spans="2:8">
      <c r="B224" s="309"/>
      <c r="C224" s="308"/>
      <c r="D224" s="308"/>
      <c r="E224" s="308"/>
      <c r="F224" s="308"/>
      <c r="H224" s="308"/>
    </row>
    <row r="225" spans="2:8">
      <c r="B225" s="309"/>
      <c r="C225" s="308"/>
      <c r="D225" s="308"/>
      <c r="E225" s="308"/>
      <c r="F225" s="308"/>
      <c r="H225" s="308"/>
    </row>
    <row r="226" spans="2:8">
      <c r="B226" s="309"/>
      <c r="C226" s="308"/>
      <c r="D226" s="308"/>
      <c r="E226" s="308"/>
      <c r="F226" s="308"/>
      <c r="H226" s="308"/>
    </row>
    <row r="227" spans="2:8">
      <c r="B227" s="309"/>
      <c r="C227" s="308"/>
      <c r="D227" s="308"/>
      <c r="E227" s="308"/>
      <c r="F227" s="308"/>
      <c r="H227" s="308"/>
    </row>
    <row r="228" spans="2:8">
      <c r="B228" s="309"/>
      <c r="C228" s="308"/>
      <c r="D228" s="308"/>
      <c r="E228" s="308"/>
      <c r="F228" s="308"/>
      <c r="H228" s="308"/>
    </row>
    <row r="229" spans="2:8">
      <c r="B229" s="309"/>
      <c r="C229" s="308"/>
      <c r="D229" s="308"/>
      <c r="E229" s="308"/>
      <c r="F229" s="308"/>
      <c r="H229" s="308"/>
    </row>
    <row r="230" spans="2:8">
      <c r="B230" s="309"/>
      <c r="C230" s="308"/>
      <c r="D230" s="308"/>
      <c r="E230" s="308"/>
      <c r="F230" s="308"/>
      <c r="H230" s="308"/>
    </row>
    <row r="231" spans="2:8">
      <c r="B231" s="309"/>
      <c r="C231" s="308"/>
      <c r="D231" s="308"/>
      <c r="E231" s="308"/>
      <c r="F231" s="308"/>
      <c r="H231" s="308"/>
    </row>
    <row r="232" spans="2:8">
      <c r="B232" s="309"/>
      <c r="C232" s="308"/>
      <c r="D232" s="308"/>
      <c r="E232" s="308"/>
      <c r="F232" s="308"/>
      <c r="H232" s="308"/>
    </row>
    <row r="233" spans="2:8">
      <c r="B233" s="309"/>
      <c r="C233" s="308"/>
      <c r="D233" s="308"/>
      <c r="E233" s="308"/>
      <c r="F233" s="308"/>
      <c r="H233" s="308"/>
    </row>
    <row r="234" spans="2:8">
      <c r="B234" s="309"/>
      <c r="C234" s="308"/>
      <c r="D234" s="308"/>
      <c r="E234" s="308"/>
      <c r="F234" s="308"/>
      <c r="H234" s="308"/>
    </row>
    <row r="235" spans="2:8">
      <c r="B235" s="309"/>
      <c r="C235" s="308"/>
      <c r="D235" s="308"/>
      <c r="E235" s="308"/>
      <c r="F235" s="308"/>
      <c r="H235" s="308"/>
    </row>
    <row r="236" spans="2:8">
      <c r="B236" s="309"/>
      <c r="C236" s="308"/>
      <c r="D236" s="308"/>
      <c r="E236" s="308"/>
      <c r="F236" s="308"/>
      <c r="H236" s="308"/>
    </row>
    <row r="237" spans="2:8">
      <c r="B237" s="309"/>
      <c r="C237" s="308"/>
      <c r="D237" s="308"/>
      <c r="E237" s="308"/>
      <c r="F237" s="308"/>
      <c r="H237" s="308"/>
    </row>
    <row r="238" spans="2:8">
      <c r="B238" s="309"/>
      <c r="C238" s="308"/>
      <c r="D238" s="308"/>
      <c r="E238" s="308"/>
      <c r="F238" s="308"/>
      <c r="H238" s="308"/>
    </row>
    <row r="239" spans="2:8">
      <c r="B239" s="309"/>
      <c r="C239" s="308"/>
      <c r="D239" s="308"/>
      <c r="E239" s="308"/>
      <c r="F239" s="308"/>
      <c r="H239" s="308"/>
    </row>
    <row r="240" spans="2:8">
      <c r="B240" s="309"/>
      <c r="C240" s="308"/>
      <c r="D240" s="308"/>
      <c r="E240" s="308"/>
      <c r="F240" s="308"/>
      <c r="H240" s="308"/>
    </row>
    <row r="241" spans="2:8">
      <c r="B241" s="309"/>
      <c r="C241" s="308"/>
      <c r="D241" s="308"/>
      <c r="E241" s="308"/>
      <c r="F241" s="308"/>
      <c r="H241" s="308"/>
    </row>
    <row r="242" spans="2:8">
      <c r="B242" s="309"/>
      <c r="C242" s="308"/>
      <c r="D242" s="308"/>
      <c r="E242" s="308"/>
      <c r="F242" s="308"/>
      <c r="H242" s="308"/>
    </row>
    <row r="243" spans="2:8">
      <c r="B243" s="309"/>
      <c r="C243" s="308"/>
      <c r="D243" s="308"/>
      <c r="E243" s="308"/>
      <c r="F243" s="308"/>
      <c r="H243" s="308"/>
    </row>
    <row r="244" spans="2:8">
      <c r="B244" s="309"/>
      <c r="C244" s="308"/>
      <c r="D244" s="308"/>
      <c r="E244" s="308"/>
      <c r="F244" s="308"/>
      <c r="H244" s="308"/>
    </row>
    <row r="245" spans="2:8">
      <c r="B245" s="309"/>
      <c r="C245" s="308"/>
      <c r="D245" s="308"/>
      <c r="E245" s="308"/>
      <c r="F245" s="308"/>
      <c r="H245" s="308"/>
    </row>
    <row r="246" spans="2:8">
      <c r="B246" s="309"/>
      <c r="C246" s="308"/>
      <c r="D246" s="308"/>
      <c r="E246" s="308"/>
      <c r="F246" s="308"/>
      <c r="H246" s="308"/>
    </row>
    <row r="247" spans="2:8">
      <c r="B247" s="309"/>
      <c r="C247" s="308"/>
      <c r="D247" s="308"/>
      <c r="E247" s="308"/>
      <c r="F247" s="308"/>
      <c r="H247" s="308"/>
    </row>
    <row r="248" spans="2:8">
      <c r="B248" s="309"/>
      <c r="C248" s="308"/>
      <c r="D248" s="308"/>
      <c r="E248" s="308"/>
      <c r="F248" s="308"/>
      <c r="H248" s="308"/>
    </row>
    <row r="249" spans="2:8">
      <c r="B249" s="309"/>
      <c r="C249" s="308"/>
      <c r="D249" s="308"/>
      <c r="E249" s="308"/>
      <c r="F249" s="308"/>
      <c r="H249" s="308"/>
    </row>
    <row r="250" spans="2:8">
      <c r="B250" s="309"/>
      <c r="C250" s="308"/>
      <c r="D250" s="308"/>
      <c r="E250" s="308"/>
      <c r="F250" s="308"/>
      <c r="H250" s="308"/>
    </row>
    <row r="251" spans="2:8">
      <c r="B251" s="309"/>
      <c r="C251" s="308"/>
      <c r="D251" s="308"/>
      <c r="E251" s="308"/>
      <c r="F251" s="308"/>
      <c r="H251" s="308"/>
    </row>
    <row r="252" spans="2:8">
      <c r="B252" s="309"/>
      <c r="C252" s="308"/>
      <c r="D252" s="308"/>
      <c r="E252" s="308"/>
      <c r="F252" s="308"/>
      <c r="H252" s="308"/>
    </row>
    <row r="253" spans="2:8">
      <c r="B253" s="309"/>
      <c r="C253" s="308"/>
      <c r="D253" s="308"/>
      <c r="E253" s="308"/>
      <c r="F253" s="308"/>
      <c r="H253" s="308"/>
    </row>
    <row r="254" spans="2:8">
      <c r="B254" s="309"/>
      <c r="C254" s="308"/>
      <c r="D254" s="308"/>
      <c r="E254" s="308"/>
      <c r="F254" s="308"/>
      <c r="H254" s="308"/>
    </row>
    <row r="255" spans="2:8">
      <c r="B255" s="309"/>
      <c r="C255" s="308"/>
      <c r="D255" s="308"/>
      <c r="E255" s="308"/>
      <c r="F255" s="308"/>
      <c r="H255" s="308"/>
    </row>
    <row r="256" spans="2:8">
      <c r="B256" s="309"/>
      <c r="C256" s="308"/>
      <c r="D256" s="308"/>
      <c r="E256" s="308"/>
      <c r="F256" s="308"/>
      <c r="H256" s="308"/>
    </row>
    <row r="257" spans="2:8">
      <c r="B257" s="309"/>
      <c r="C257" s="308"/>
      <c r="D257" s="308"/>
      <c r="E257" s="308"/>
      <c r="F257" s="308"/>
      <c r="H257" s="308"/>
    </row>
    <row r="258" spans="2:8">
      <c r="B258" s="309"/>
      <c r="C258" s="308"/>
      <c r="D258" s="308"/>
      <c r="E258" s="308"/>
      <c r="F258" s="308"/>
      <c r="H258" s="308"/>
    </row>
    <row r="259" spans="2:8">
      <c r="B259" s="309"/>
      <c r="C259" s="308"/>
      <c r="D259" s="308"/>
      <c r="E259" s="308"/>
      <c r="F259" s="308"/>
      <c r="H259" s="308"/>
    </row>
    <row r="260" spans="2:8">
      <c r="B260" s="309"/>
      <c r="C260" s="308"/>
      <c r="D260" s="308"/>
      <c r="E260" s="308"/>
      <c r="F260" s="308"/>
      <c r="H260" s="308"/>
    </row>
    <row r="261" spans="2:8">
      <c r="B261" s="309"/>
      <c r="C261" s="308"/>
      <c r="D261" s="308"/>
      <c r="E261" s="308"/>
      <c r="F261" s="308"/>
      <c r="H261" s="308"/>
    </row>
    <row r="262" spans="2:8">
      <c r="B262" s="309"/>
      <c r="C262" s="308"/>
      <c r="D262" s="308"/>
      <c r="E262" s="308"/>
      <c r="F262" s="308"/>
      <c r="H262" s="308"/>
    </row>
    <row r="263" spans="2:8">
      <c r="B263" s="309"/>
      <c r="C263" s="308"/>
      <c r="D263" s="308"/>
      <c r="E263" s="308"/>
      <c r="F263" s="308"/>
      <c r="H263" s="308"/>
    </row>
    <row r="264" spans="2:8">
      <c r="B264" s="309"/>
      <c r="C264" s="308"/>
      <c r="D264" s="308"/>
      <c r="E264" s="308"/>
      <c r="F264" s="308"/>
      <c r="H264" s="308"/>
    </row>
    <row r="265" spans="2:8">
      <c r="B265" s="309"/>
      <c r="C265" s="308"/>
      <c r="D265" s="308"/>
      <c r="E265" s="308"/>
      <c r="F265" s="308"/>
      <c r="H265" s="308"/>
    </row>
    <row r="266" spans="2:8">
      <c r="B266" s="309"/>
      <c r="C266" s="308"/>
      <c r="D266" s="308"/>
      <c r="E266" s="308"/>
      <c r="F266" s="308"/>
      <c r="H266" s="308"/>
    </row>
    <row r="267" spans="2:8">
      <c r="B267" s="309"/>
      <c r="C267" s="308"/>
      <c r="D267" s="308"/>
      <c r="E267" s="308"/>
      <c r="F267" s="308"/>
      <c r="H267" s="308"/>
    </row>
    <row r="268" spans="2:8">
      <c r="B268" s="309"/>
      <c r="C268" s="308"/>
      <c r="D268" s="308"/>
      <c r="E268" s="308"/>
      <c r="F268" s="308"/>
      <c r="H268" s="308"/>
    </row>
    <row r="269" spans="2:8">
      <c r="B269" s="309"/>
      <c r="C269" s="308"/>
      <c r="D269" s="308"/>
      <c r="E269" s="308"/>
      <c r="F269" s="308"/>
      <c r="H269" s="308"/>
    </row>
    <row r="270" spans="2:8">
      <c r="B270" s="309"/>
      <c r="C270" s="308"/>
      <c r="D270" s="308"/>
      <c r="E270" s="308"/>
      <c r="F270" s="308"/>
      <c r="H270" s="308"/>
    </row>
    <row r="271" spans="2:8">
      <c r="B271" s="309"/>
      <c r="C271" s="308"/>
      <c r="D271" s="308"/>
      <c r="E271" s="308"/>
      <c r="F271" s="308"/>
      <c r="H271" s="308"/>
    </row>
    <row r="272" spans="2:8">
      <c r="B272" s="309"/>
      <c r="C272" s="308"/>
      <c r="D272" s="308"/>
      <c r="E272" s="308"/>
      <c r="F272" s="308"/>
      <c r="H272" s="308"/>
    </row>
    <row r="273" spans="2:8">
      <c r="B273" s="309"/>
      <c r="C273" s="308"/>
      <c r="D273" s="308"/>
      <c r="E273" s="308"/>
      <c r="F273" s="308"/>
      <c r="H273" s="308"/>
    </row>
    <row r="274" spans="2:8">
      <c r="B274" s="309"/>
      <c r="C274" s="308"/>
      <c r="D274" s="308"/>
      <c r="E274" s="308"/>
      <c r="F274" s="308"/>
      <c r="H274" s="308"/>
    </row>
    <row r="275" spans="2:8">
      <c r="B275" s="309"/>
      <c r="C275" s="308"/>
      <c r="D275" s="308"/>
      <c r="E275" s="308"/>
      <c r="F275" s="308"/>
      <c r="H275" s="308"/>
    </row>
    <row r="276" spans="2:8">
      <c r="B276" s="309"/>
      <c r="C276" s="308"/>
      <c r="D276" s="308"/>
      <c r="E276" s="308"/>
      <c r="F276" s="308"/>
      <c r="H276" s="308"/>
    </row>
    <row r="277" spans="2:8">
      <c r="B277" s="309"/>
      <c r="C277" s="308"/>
      <c r="D277" s="308"/>
      <c r="E277" s="308"/>
      <c r="F277" s="308"/>
      <c r="H277" s="308"/>
    </row>
    <row r="278" spans="2:8">
      <c r="B278" s="309"/>
      <c r="C278" s="308"/>
      <c r="D278" s="308"/>
      <c r="E278" s="308"/>
      <c r="F278" s="308"/>
      <c r="H278" s="308"/>
    </row>
    <row r="279" spans="2:8">
      <c r="B279" s="309"/>
      <c r="C279" s="308"/>
      <c r="D279" s="308"/>
      <c r="E279" s="308"/>
      <c r="F279" s="308"/>
      <c r="H279" s="308"/>
    </row>
    <row r="280" spans="2:8">
      <c r="B280" s="309"/>
      <c r="C280" s="308"/>
      <c r="D280" s="308"/>
      <c r="E280" s="308"/>
      <c r="F280" s="308"/>
      <c r="H280" s="308"/>
    </row>
    <row r="281" spans="2:8">
      <c r="B281" s="309"/>
      <c r="C281" s="308"/>
      <c r="D281" s="308"/>
      <c r="E281" s="308"/>
      <c r="F281" s="308"/>
      <c r="H281" s="308"/>
    </row>
    <row r="282" spans="2:8">
      <c r="B282" s="309"/>
      <c r="C282" s="308"/>
      <c r="D282" s="308"/>
      <c r="E282" s="308"/>
      <c r="F282" s="308"/>
      <c r="H282" s="308"/>
    </row>
    <row r="283" spans="2:8">
      <c r="B283" s="309"/>
      <c r="C283" s="308"/>
      <c r="D283" s="308"/>
      <c r="E283" s="308"/>
      <c r="F283" s="308"/>
      <c r="H283" s="308"/>
    </row>
    <row r="284" spans="2:8">
      <c r="B284" s="309"/>
      <c r="C284" s="308"/>
      <c r="D284" s="308"/>
      <c r="E284" s="308"/>
      <c r="F284" s="308"/>
      <c r="H284" s="308"/>
    </row>
    <row r="285" spans="2:8">
      <c r="B285" s="309"/>
      <c r="C285" s="308"/>
      <c r="D285" s="308"/>
      <c r="E285" s="308"/>
      <c r="F285" s="308"/>
      <c r="H285" s="308"/>
    </row>
    <row r="286" spans="2:8">
      <c r="B286" s="309"/>
      <c r="C286" s="308"/>
      <c r="D286" s="308"/>
      <c r="E286" s="308"/>
      <c r="F286" s="308"/>
      <c r="H286" s="308"/>
    </row>
    <row r="287" spans="2:8">
      <c r="B287" s="309"/>
      <c r="C287" s="308"/>
      <c r="D287" s="308"/>
      <c r="E287" s="308"/>
      <c r="F287" s="308"/>
      <c r="H287" s="308"/>
    </row>
    <row r="288" spans="2:8">
      <c r="B288" s="309"/>
      <c r="C288" s="308"/>
      <c r="D288" s="308"/>
      <c r="E288" s="308"/>
      <c r="F288" s="308"/>
      <c r="H288" s="308"/>
    </row>
    <row r="289" spans="2:8">
      <c r="B289" s="309"/>
      <c r="C289" s="308"/>
      <c r="D289" s="308"/>
      <c r="E289" s="308"/>
      <c r="F289" s="308"/>
      <c r="H289" s="308"/>
    </row>
    <row r="290" spans="2:8">
      <c r="B290" s="309"/>
      <c r="C290" s="308"/>
      <c r="D290" s="308"/>
      <c r="E290" s="308"/>
      <c r="F290" s="308"/>
      <c r="H290" s="308"/>
    </row>
    <row r="291" spans="2:8">
      <c r="B291" s="309"/>
      <c r="C291" s="308"/>
      <c r="D291" s="308"/>
      <c r="E291" s="308"/>
      <c r="F291" s="308"/>
      <c r="H291" s="308"/>
    </row>
    <row r="292" spans="2:8">
      <c r="B292" s="309"/>
      <c r="C292" s="308"/>
      <c r="D292" s="308"/>
      <c r="E292" s="308"/>
      <c r="F292" s="308"/>
      <c r="H292" s="308"/>
    </row>
    <row r="293" spans="2:8">
      <c r="B293" s="309"/>
      <c r="C293" s="308"/>
      <c r="D293" s="308"/>
      <c r="E293" s="308"/>
      <c r="F293" s="308"/>
      <c r="H293" s="308"/>
    </row>
    <row r="294" spans="2:8">
      <c r="B294" s="309"/>
      <c r="C294" s="308"/>
      <c r="D294" s="308"/>
      <c r="E294" s="308"/>
      <c r="F294" s="308"/>
      <c r="H294" s="308"/>
    </row>
    <row r="295" spans="2:8">
      <c r="B295" s="309"/>
      <c r="C295" s="308"/>
      <c r="D295" s="308"/>
      <c r="E295" s="308"/>
      <c r="F295" s="308"/>
      <c r="H295" s="308"/>
    </row>
    <row r="296" spans="2:8">
      <c r="B296" s="309"/>
      <c r="C296" s="308"/>
      <c r="D296" s="308"/>
      <c r="E296" s="308"/>
      <c r="F296" s="308"/>
      <c r="H296" s="308"/>
    </row>
    <row r="297" spans="2:8">
      <c r="B297" s="309"/>
      <c r="C297" s="308"/>
      <c r="D297" s="308"/>
      <c r="E297" s="308"/>
      <c r="F297" s="308"/>
      <c r="H297" s="308"/>
    </row>
    <row r="298" spans="2:8">
      <c r="B298" s="309"/>
      <c r="C298" s="308"/>
      <c r="D298" s="308"/>
      <c r="E298" s="308"/>
      <c r="F298" s="308"/>
      <c r="H298" s="308"/>
    </row>
    <row r="299" spans="2:8">
      <c r="B299" s="309"/>
      <c r="C299" s="308"/>
      <c r="D299" s="308"/>
      <c r="E299" s="308"/>
      <c r="F299" s="308"/>
      <c r="H299" s="308"/>
    </row>
    <row r="300" spans="2:8">
      <c r="B300" s="309"/>
      <c r="C300" s="308"/>
      <c r="D300" s="308"/>
      <c r="E300" s="308"/>
      <c r="F300" s="308"/>
      <c r="H300" s="308"/>
    </row>
    <row r="301" spans="2:8">
      <c r="B301" s="309"/>
      <c r="C301" s="308"/>
      <c r="D301" s="308"/>
      <c r="E301" s="308"/>
      <c r="F301" s="308"/>
      <c r="H301" s="308"/>
    </row>
    <row r="302" spans="2:8">
      <c r="B302" s="309"/>
      <c r="C302" s="308"/>
      <c r="D302" s="308"/>
      <c r="E302" s="308"/>
      <c r="F302" s="308"/>
      <c r="H302" s="308"/>
    </row>
    <row r="303" spans="2:8">
      <c r="B303" s="309"/>
      <c r="C303" s="308"/>
      <c r="D303" s="308"/>
      <c r="E303" s="308"/>
      <c r="F303" s="308"/>
      <c r="H303" s="308"/>
    </row>
    <row r="304" spans="2:8">
      <c r="B304" s="309"/>
      <c r="C304" s="308"/>
      <c r="D304" s="308"/>
      <c r="E304" s="308"/>
      <c r="F304" s="308"/>
      <c r="H304" s="308"/>
    </row>
    <row r="305" spans="2:8">
      <c r="B305" s="309"/>
      <c r="C305" s="308"/>
      <c r="D305" s="308"/>
      <c r="E305" s="308"/>
      <c r="F305" s="308"/>
      <c r="H305" s="308"/>
    </row>
    <row r="306" spans="2:8">
      <c r="B306" s="309"/>
      <c r="C306" s="308"/>
      <c r="D306" s="308"/>
      <c r="E306" s="308"/>
      <c r="F306" s="308"/>
      <c r="H306" s="308"/>
    </row>
    <row r="307" spans="2:8">
      <c r="B307" s="309"/>
      <c r="C307" s="308"/>
      <c r="D307" s="308"/>
      <c r="E307" s="308"/>
      <c r="F307" s="308"/>
      <c r="H307" s="308"/>
    </row>
    <row r="308" spans="2:8">
      <c r="B308" s="309"/>
      <c r="C308" s="308"/>
      <c r="D308" s="308"/>
      <c r="E308" s="308"/>
      <c r="F308" s="308"/>
      <c r="H308" s="308"/>
    </row>
    <row r="309" spans="2:8">
      <c r="B309" s="309"/>
      <c r="C309" s="308"/>
      <c r="D309" s="308"/>
      <c r="E309" s="308"/>
      <c r="F309" s="308"/>
      <c r="H309" s="308"/>
    </row>
    <row r="310" spans="2:8">
      <c r="B310" s="309"/>
      <c r="C310" s="308"/>
      <c r="D310" s="308"/>
      <c r="E310" s="308"/>
      <c r="F310" s="308"/>
      <c r="H310" s="308"/>
    </row>
    <row r="311" spans="2:8">
      <c r="B311" s="309"/>
      <c r="C311" s="308"/>
      <c r="D311" s="308"/>
      <c r="E311" s="308"/>
      <c r="F311" s="308"/>
      <c r="H311" s="308"/>
    </row>
    <row r="312" spans="2:8">
      <c r="B312" s="309"/>
      <c r="C312" s="308"/>
      <c r="D312" s="308"/>
      <c r="E312" s="308"/>
      <c r="F312" s="308"/>
      <c r="H312" s="308"/>
    </row>
    <row r="313" spans="2:8">
      <c r="B313" s="309"/>
      <c r="C313" s="308"/>
      <c r="D313" s="308"/>
      <c r="E313" s="308"/>
      <c r="F313" s="308"/>
      <c r="H313" s="308"/>
    </row>
    <row r="314" spans="2:8">
      <c r="B314" s="309"/>
      <c r="C314" s="308"/>
      <c r="D314" s="308"/>
      <c r="E314" s="308"/>
      <c r="F314" s="308"/>
      <c r="H314" s="308"/>
    </row>
    <row r="315" spans="2:8">
      <c r="B315" s="309"/>
      <c r="C315" s="308"/>
      <c r="D315" s="308"/>
      <c r="E315" s="308"/>
      <c r="F315" s="308"/>
      <c r="H315" s="308"/>
    </row>
    <row r="316" spans="2:8">
      <c r="B316" s="309"/>
      <c r="C316" s="308"/>
      <c r="D316" s="308"/>
      <c r="E316" s="308"/>
      <c r="F316" s="308"/>
      <c r="H316" s="308"/>
    </row>
    <row r="317" spans="2:8">
      <c r="B317" s="309"/>
      <c r="C317" s="308"/>
      <c r="D317" s="308"/>
      <c r="E317" s="308"/>
      <c r="F317" s="308"/>
      <c r="H317" s="308"/>
    </row>
    <row r="318" spans="2:8">
      <c r="B318" s="309"/>
      <c r="C318" s="308"/>
      <c r="D318" s="308"/>
      <c r="E318" s="308"/>
      <c r="F318" s="308"/>
      <c r="H318" s="308"/>
    </row>
    <row r="319" spans="2:8">
      <c r="B319" s="309"/>
      <c r="C319" s="308"/>
      <c r="D319" s="308"/>
      <c r="E319" s="308"/>
      <c r="F319" s="308"/>
      <c r="H319" s="308"/>
    </row>
    <row r="320" spans="2:8">
      <c r="B320" s="309"/>
      <c r="C320" s="308"/>
      <c r="D320" s="308"/>
      <c r="E320" s="308"/>
      <c r="F320" s="308"/>
      <c r="H320" s="308"/>
    </row>
    <row r="321" spans="2:8">
      <c r="B321" s="309"/>
      <c r="C321" s="308"/>
      <c r="D321" s="308"/>
      <c r="E321" s="308"/>
      <c r="F321" s="308"/>
      <c r="H321" s="308"/>
    </row>
    <row r="322" spans="2:8">
      <c r="B322" s="309"/>
      <c r="C322" s="308"/>
      <c r="D322" s="308"/>
      <c r="E322" s="308"/>
      <c r="F322" s="308"/>
      <c r="H322" s="308"/>
    </row>
    <row r="323" spans="2:8">
      <c r="B323" s="309"/>
      <c r="C323" s="308"/>
      <c r="D323" s="308"/>
      <c r="E323" s="308"/>
      <c r="F323" s="308"/>
      <c r="H323" s="308"/>
    </row>
    <row r="324" spans="2:8">
      <c r="B324" s="309"/>
      <c r="C324" s="308"/>
      <c r="D324" s="308"/>
      <c r="E324" s="308"/>
      <c r="F324" s="308"/>
      <c r="H324" s="308"/>
    </row>
    <row r="325" spans="2:8">
      <c r="B325" s="309"/>
      <c r="C325" s="308"/>
      <c r="D325" s="308"/>
      <c r="E325" s="308"/>
      <c r="F325" s="308"/>
      <c r="H325" s="308"/>
    </row>
    <row r="326" spans="2:8">
      <c r="B326" s="309"/>
      <c r="C326" s="308"/>
      <c r="D326" s="308"/>
      <c r="E326" s="308"/>
      <c r="F326" s="308"/>
      <c r="H326" s="308"/>
    </row>
    <row r="327" spans="2:8">
      <c r="B327" s="309"/>
      <c r="C327" s="308"/>
      <c r="D327" s="308"/>
      <c r="E327" s="308"/>
      <c r="F327" s="308"/>
      <c r="H327" s="308"/>
    </row>
    <row r="328" spans="2:8">
      <c r="B328" s="309"/>
      <c r="C328" s="308"/>
      <c r="D328" s="308"/>
      <c r="E328" s="308"/>
      <c r="F328" s="308"/>
      <c r="H328" s="308"/>
    </row>
    <row r="329" spans="2:8">
      <c r="B329" s="309"/>
      <c r="C329" s="308"/>
      <c r="D329" s="308"/>
      <c r="E329" s="308"/>
      <c r="F329" s="308"/>
      <c r="H329" s="308"/>
    </row>
    <row r="330" spans="2:8">
      <c r="B330" s="309"/>
      <c r="C330" s="308"/>
      <c r="D330" s="308"/>
      <c r="E330" s="308"/>
      <c r="F330" s="308"/>
      <c r="H330" s="308"/>
    </row>
    <row r="331" spans="2:8">
      <c r="B331" s="309"/>
      <c r="C331" s="308"/>
      <c r="D331" s="308"/>
      <c r="E331" s="308"/>
      <c r="F331" s="308"/>
      <c r="H331" s="308"/>
    </row>
    <row r="332" spans="2:8">
      <c r="B332" s="309"/>
      <c r="C332" s="308"/>
      <c r="D332" s="308"/>
      <c r="E332" s="308"/>
      <c r="F332" s="308"/>
      <c r="H332" s="308"/>
    </row>
    <row r="333" spans="2:8">
      <c r="B333" s="309"/>
      <c r="C333" s="308"/>
      <c r="D333" s="308"/>
      <c r="E333" s="308"/>
      <c r="F333" s="308"/>
      <c r="H333" s="308"/>
    </row>
    <row r="334" spans="2:8">
      <c r="B334" s="309"/>
      <c r="C334" s="308"/>
      <c r="D334" s="308"/>
      <c r="E334" s="308"/>
      <c r="F334" s="308"/>
      <c r="H334" s="308"/>
    </row>
    <row r="335" spans="2:8">
      <c r="B335" s="309"/>
      <c r="C335" s="308"/>
      <c r="D335" s="308"/>
      <c r="E335" s="308"/>
      <c r="F335" s="308"/>
      <c r="H335" s="308"/>
    </row>
    <row r="336" spans="2:8">
      <c r="B336" s="309"/>
      <c r="C336" s="308"/>
      <c r="D336" s="308"/>
      <c r="E336" s="308"/>
      <c r="F336" s="308"/>
      <c r="H336" s="308"/>
    </row>
    <row r="337" spans="2:8">
      <c r="B337" s="309"/>
      <c r="C337" s="308"/>
      <c r="D337" s="308"/>
      <c r="E337" s="308"/>
      <c r="F337" s="308"/>
      <c r="H337" s="308"/>
    </row>
    <row r="338" spans="2:8">
      <c r="B338" s="309"/>
      <c r="C338" s="308"/>
      <c r="D338" s="308"/>
      <c r="E338" s="308"/>
      <c r="F338" s="308"/>
      <c r="H338" s="308"/>
    </row>
    <row r="339" spans="2:8">
      <c r="B339" s="309"/>
      <c r="C339" s="308"/>
      <c r="D339" s="308"/>
      <c r="E339" s="308"/>
      <c r="F339" s="308"/>
      <c r="H339" s="308"/>
    </row>
    <row r="340" spans="2:8">
      <c r="B340" s="309"/>
      <c r="C340" s="308"/>
      <c r="D340" s="308"/>
      <c r="E340" s="308"/>
      <c r="F340" s="308"/>
      <c r="H340" s="308"/>
    </row>
    <row r="341" spans="2:8">
      <c r="B341" s="309"/>
      <c r="C341" s="308"/>
      <c r="D341" s="308"/>
      <c r="E341" s="308"/>
      <c r="F341" s="308"/>
      <c r="H341" s="308"/>
    </row>
    <row r="342" spans="2:8">
      <c r="B342" s="309"/>
      <c r="C342" s="308"/>
      <c r="D342" s="308"/>
      <c r="E342" s="308"/>
      <c r="F342" s="308"/>
      <c r="H342" s="308"/>
    </row>
    <row r="343" spans="2:8">
      <c r="B343" s="309"/>
      <c r="C343" s="308"/>
      <c r="D343" s="308"/>
      <c r="E343" s="308"/>
      <c r="F343" s="308"/>
      <c r="H343" s="308"/>
    </row>
    <row r="344" spans="2:8">
      <c r="B344" s="309"/>
      <c r="C344" s="308"/>
      <c r="D344" s="308"/>
      <c r="E344" s="308"/>
      <c r="F344" s="308"/>
      <c r="H344" s="308"/>
    </row>
    <row r="345" spans="2:8">
      <c r="B345" s="309"/>
      <c r="C345" s="308"/>
      <c r="D345" s="308"/>
      <c r="E345" s="308"/>
      <c r="F345" s="308"/>
      <c r="H345" s="308"/>
    </row>
    <row r="346" spans="2:8">
      <c r="B346" s="309"/>
      <c r="C346" s="308"/>
      <c r="D346" s="308"/>
      <c r="E346" s="308"/>
      <c r="F346" s="308"/>
      <c r="H346" s="308"/>
    </row>
    <row r="347" spans="2:8">
      <c r="B347" s="309"/>
      <c r="C347" s="308"/>
      <c r="D347" s="308"/>
      <c r="E347" s="308"/>
      <c r="F347" s="308"/>
      <c r="H347" s="308"/>
    </row>
    <row r="348" spans="2:8">
      <c r="B348" s="309"/>
      <c r="C348" s="308"/>
      <c r="D348" s="308"/>
      <c r="E348" s="308"/>
      <c r="F348" s="308"/>
      <c r="H348" s="308"/>
    </row>
    <row r="349" spans="2:8">
      <c r="B349" s="309"/>
      <c r="C349" s="308"/>
      <c r="D349" s="308"/>
      <c r="E349" s="308"/>
      <c r="F349" s="308"/>
      <c r="H349" s="308"/>
    </row>
    <row r="350" spans="2:8">
      <c r="B350" s="309"/>
      <c r="C350" s="308"/>
      <c r="D350" s="308"/>
      <c r="E350" s="308"/>
      <c r="F350" s="308"/>
      <c r="H350" s="308"/>
    </row>
    <row r="351" spans="2:8">
      <c r="B351" s="309"/>
      <c r="C351" s="308"/>
      <c r="D351" s="308"/>
      <c r="E351" s="308"/>
      <c r="F351" s="308"/>
      <c r="H351" s="308"/>
    </row>
    <row r="352" spans="2:8">
      <c r="B352" s="309"/>
      <c r="C352" s="308"/>
      <c r="D352" s="308"/>
      <c r="E352" s="308"/>
      <c r="F352" s="308"/>
      <c r="H352" s="308"/>
    </row>
    <row r="353" spans="2:8">
      <c r="B353" s="309"/>
      <c r="C353" s="308"/>
      <c r="D353" s="308"/>
      <c r="E353" s="308"/>
      <c r="F353" s="308"/>
      <c r="H353" s="308"/>
    </row>
    <row r="354" spans="2:8">
      <c r="B354" s="309"/>
      <c r="C354" s="308"/>
      <c r="D354" s="308"/>
      <c r="E354" s="308"/>
      <c r="F354" s="308"/>
      <c r="H354" s="308"/>
    </row>
    <row r="355" spans="2:8">
      <c r="B355" s="309"/>
      <c r="C355" s="308"/>
      <c r="D355" s="308"/>
      <c r="E355" s="308"/>
      <c r="F355" s="308"/>
      <c r="H355" s="308"/>
    </row>
    <row r="356" spans="2:8">
      <c r="B356" s="309"/>
      <c r="C356" s="308"/>
      <c r="D356" s="308"/>
      <c r="E356" s="308"/>
      <c r="F356" s="308"/>
      <c r="H356" s="308"/>
    </row>
    <row r="357" spans="2:8">
      <c r="B357" s="309"/>
      <c r="C357" s="308"/>
      <c r="D357" s="308"/>
      <c r="E357" s="308"/>
      <c r="F357" s="308"/>
      <c r="H357" s="308"/>
    </row>
    <row r="358" spans="2:8">
      <c r="B358" s="309"/>
      <c r="C358" s="308"/>
      <c r="D358" s="308"/>
      <c r="E358" s="308"/>
      <c r="F358" s="308"/>
      <c r="H358" s="308"/>
    </row>
    <row r="359" spans="2:8">
      <c r="B359" s="309"/>
      <c r="C359" s="308"/>
      <c r="D359" s="308"/>
      <c r="E359" s="308"/>
      <c r="F359" s="308"/>
      <c r="H359" s="308"/>
    </row>
    <row r="360" spans="2:8">
      <c r="B360" s="309"/>
      <c r="C360" s="308"/>
      <c r="D360" s="308"/>
      <c r="E360" s="308"/>
      <c r="F360" s="308"/>
      <c r="H360" s="308"/>
    </row>
    <row r="361" spans="2:8">
      <c r="B361" s="309"/>
      <c r="C361" s="308"/>
      <c r="D361" s="308"/>
      <c r="E361" s="308"/>
      <c r="F361" s="308"/>
      <c r="H361" s="308"/>
    </row>
    <row r="362" spans="2:8">
      <c r="B362" s="309"/>
      <c r="C362" s="308"/>
      <c r="D362" s="308"/>
      <c r="E362" s="308"/>
      <c r="F362" s="308"/>
      <c r="H362" s="308"/>
    </row>
    <row r="363" spans="2:8">
      <c r="B363" s="309"/>
      <c r="C363" s="308"/>
      <c r="D363" s="308"/>
      <c r="E363" s="308"/>
      <c r="F363" s="308"/>
      <c r="H363" s="308"/>
    </row>
    <row r="364" spans="2:8">
      <c r="B364" s="309"/>
      <c r="C364" s="308"/>
      <c r="D364" s="308"/>
      <c r="E364" s="308"/>
      <c r="F364" s="308"/>
      <c r="H364" s="308"/>
    </row>
    <row r="365" spans="2:8">
      <c r="B365" s="309"/>
      <c r="C365" s="308"/>
      <c r="D365" s="308"/>
      <c r="E365" s="308"/>
      <c r="F365" s="308"/>
      <c r="H365" s="308"/>
    </row>
    <row r="366" spans="2:8">
      <c r="B366" s="309"/>
      <c r="C366" s="308"/>
      <c r="D366" s="308"/>
      <c r="E366" s="308"/>
      <c r="F366" s="308"/>
      <c r="H366" s="308"/>
    </row>
    <row r="367" spans="2:8">
      <c r="B367" s="309"/>
      <c r="C367" s="308"/>
      <c r="D367" s="308"/>
      <c r="E367" s="308"/>
      <c r="F367" s="308"/>
      <c r="H367" s="308"/>
    </row>
    <row r="368" spans="2:8">
      <c r="B368" s="309"/>
      <c r="C368" s="308"/>
      <c r="D368" s="308"/>
      <c r="E368" s="308"/>
      <c r="F368" s="308"/>
      <c r="H368" s="308"/>
    </row>
    <row r="369" spans="2:8">
      <c r="B369" s="309"/>
      <c r="C369" s="308"/>
      <c r="D369" s="308"/>
      <c r="E369" s="308"/>
      <c r="F369" s="308"/>
      <c r="H369" s="308"/>
    </row>
    <row r="370" spans="2:8">
      <c r="B370" s="309"/>
      <c r="C370" s="308"/>
      <c r="D370" s="308"/>
      <c r="E370" s="308"/>
      <c r="F370" s="308"/>
      <c r="H370" s="308"/>
    </row>
    <row r="371" spans="2:8">
      <c r="B371" s="309"/>
      <c r="C371" s="308"/>
      <c r="D371" s="308"/>
      <c r="E371" s="308"/>
      <c r="F371" s="308"/>
      <c r="H371" s="308"/>
    </row>
    <row r="372" spans="2:8">
      <c r="B372" s="309"/>
      <c r="C372" s="308"/>
      <c r="D372" s="308"/>
      <c r="E372" s="308"/>
      <c r="F372" s="308"/>
      <c r="H372" s="308"/>
    </row>
    <row r="373" spans="2:8">
      <c r="B373" s="309"/>
      <c r="C373" s="308"/>
      <c r="D373" s="308"/>
      <c r="E373" s="308"/>
      <c r="F373" s="308"/>
      <c r="H373" s="308"/>
    </row>
    <row r="374" spans="2:8">
      <c r="B374" s="309"/>
      <c r="C374" s="308"/>
      <c r="D374" s="308"/>
      <c r="E374" s="308"/>
      <c r="F374" s="308"/>
      <c r="H374" s="308"/>
    </row>
    <row r="375" spans="2:8">
      <c r="B375" s="309"/>
      <c r="C375" s="308"/>
      <c r="D375" s="308"/>
      <c r="E375" s="308"/>
      <c r="F375" s="308"/>
      <c r="H375" s="308"/>
    </row>
    <row r="376" spans="2:8">
      <c r="B376" s="309"/>
      <c r="C376" s="308"/>
      <c r="D376" s="308"/>
      <c r="E376" s="308"/>
      <c r="F376" s="308"/>
      <c r="H376" s="308"/>
    </row>
    <row r="377" spans="2:8">
      <c r="B377" s="309"/>
      <c r="C377" s="308"/>
      <c r="D377" s="308"/>
      <c r="E377" s="308"/>
      <c r="F377" s="308"/>
      <c r="H377" s="308"/>
    </row>
    <row r="378" spans="2:8">
      <c r="B378" s="309"/>
      <c r="C378" s="308"/>
      <c r="D378" s="308"/>
      <c r="E378" s="308"/>
      <c r="F378" s="308"/>
      <c r="H378" s="308"/>
    </row>
    <row r="379" spans="2:8">
      <c r="B379" s="309"/>
      <c r="C379" s="308"/>
      <c r="D379" s="308"/>
      <c r="E379" s="308"/>
      <c r="F379" s="308"/>
      <c r="H379" s="308"/>
    </row>
    <row r="380" spans="2:8">
      <c r="B380" s="309"/>
      <c r="C380" s="308"/>
      <c r="D380" s="308"/>
      <c r="E380" s="308"/>
      <c r="F380" s="308"/>
      <c r="H380" s="308"/>
    </row>
    <row r="381" spans="2:8">
      <c r="B381" s="309"/>
      <c r="C381" s="308"/>
      <c r="D381" s="308"/>
      <c r="E381" s="308"/>
      <c r="F381" s="308"/>
      <c r="H381" s="308"/>
    </row>
    <row r="382" spans="2:8">
      <c r="B382" s="309"/>
      <c r="C382" s="308"/>
      <c r="D382" s="308"/>
      <c r="E382" s="308"/>
      <c r="F382" s="308"/>
      <c r="H382" s="308"/>
    </row>
    <row r="383" spans="2:8">
      <c r="B383" s="309"/>
      <c r="C383" s="308"/>
      <c r="D383" s="308"/>
      <c r="E383" s="308"/>
      <c r="F383" s="308"/>
      <c r="H383" s="308"/>
    </row>
    <row r="384" spans="2:8">
      <c r="B384" s="309"/>
      <c r="C384" s="308"/>
      <c r="D384" s="308"/>
      <c r="E384" s="308"/>
      <c r="F384" s="308"/>
      <c r="H384" s="308"/>
    </row>
    <row r="385" spans="2:8">
      <c r="B385" s="309"/>
      <c r="C385" s="308"/>
      <c r="D385" s="308"/>
      <c r="E385" s="308"/>
      <c r="F385" s="308"/>
      <c r="H385" s="308"/>
    </row>
    <row r="386" spans="2:8">
      <c r="B386" s="309"/>
      <c r="C386" s="308"/>
      <c r="D386" s="308"/>
      <c r="E386" s="308"/>
      <c r="F386" s="308"/>
      <c r="H386" s="308"/>
    </row>
    <row r="387" spans="2:8">
      <c r="B387" s="309"/>
      <c r="C387" s="308"/>
      <c r="D387" s="308"/>
      <c r="E387" s="308"/>
      <c r="F387" s="308"/>
      <c r="H387" s="308"/>
    </row>
    <row r="388" spans="2:8">
      <c r="B388" s="309"/>
      <c r="C388" s="308"/>
      <c r="D388" s="308"/>
      <c r="E388" s="308"/>
      <c r="F388" s="308"/>
      <c r="H388" s="308"/>
    </row>
    <row r="389" spans="2:8">
      <c r="B389" s="309"/>
      <c r="C389" s="308"/>
      <c r="D389" s="308"/>
      <c r="E389" s="308"/>
      <c r="F389" s="308"/>
      <c r="H389" s="308"/>
    </row>
    <row r="390" spans="2:8">
      <c r="B390" s="309"/>
      <c r="C390" s="308"/>
      <c r="D390" s="308"/>
      <c r="E390" s="308"/>
      <c r="F390" s="308"/>
      <c r="H390" s="308"/>
    </row>
    <row r="391" spans="2:8">
      <c r="B391" s="309"/>
      <c r="C391" s="308"/>
      <c r="D391" s="308"/>
      <c r="E391" s="308"/>
      <c r="F391" s="308"/>
      <c r="H391" s="308"/>
    </row>
    <row r="392" spans="2:8">
      <c r="B392" s="309"/>
      <c r="C392" s="308"/>
      <c r="D392" s="308"/>
      <c r="E392" s="308"/>
      <c r="F392" s="308"/>
      <c r="H392" s="308"/>
    </row>
    <row r="393" spans="2:8">
      <c r="B393" s="309"/>
      <c r="C393" s="308"/>
      <c r="D393" s="308"/>
      <c r="E393" s="308"/>
      <c r="F393" s="308"/>
      <c r="H393" s="308"/>
    </row>
    <row r="394" spans="2:8">
      <c r="B394" s="309"/>
      <c r="C394" s="308"/>
      <c r="D394" s="308"/>
      <c r="E394" s="308"/>
      <c r="F394" s="308"/>
      <c r="H394" s="308"/>
    </row>
    <row r="395" spans="2:8">
      <c r="B395" s="309"/>
      <c r="C395" s="308"/>
      <c r="D395" s="308"/>
      <c r="E395" s="308"/>
      <c r="F395" s="308"/>
      <c r="H395" s="308"/>
    </row>
    <row r="396" spans="2:8">
      <c r="B396" s="309"/>
      <c r="C396" s="308"/>
      <c r="D396" s="308"/>
      <c r="E396" s="308"/>
      <c r="F396" s="308"/>
      <c r="H396" s="308"/>
    </row>
    <row r="397" spans="2:8">
      <c r="B397" s="309"/>
      <c r="C397" s="308"/>
      <c r="D397" s="308"/>
      <c r="E397" s="308"/>
      <c r="F397" s="308"/>
      <c r="H397" s="308"/>
    </row>
    <row r="398" spans="2:8">
      <c r="B398" s="309"/>
      <c r="C398" s="308"/>
      <c r="D398" s="308"/>
      <c r="E398" s="308"/>
      <c r="F398" s="308"/>
      <c r="H398" s="308"/>
    </row>
    <row r="399" spans="2:8">
      <c r="B399" s="309"/>
      <c r="C399" s="308"/>
      <c r="D399" s="308"/>
      <c r="E399" s="308"/>
      <c r="F399" s="308"/>
      <c r="H399" s="308"/>
    </row>
    <row r="400" spans="2:8">
      <c r="B400" s="309"/>
      <c r="C400" s="308"/>
      <c r="D400" s="308"/>
      <c r="E400" s="308"/>
      <c r="F400" s="308"/>
      <c r="H400" s="308"/>
    </row>
    <row r="401" spans="2:8">
      <c r="B401" s="309"/>
      <c r="C401" s="308"/>
      <c r="D401" s="308"/>
      <c r="E401" s="308"/>
      <c r="F401" s="308"/>
      <c r="H401" s="308"/>
    </row>
    <row r="402" spans="2:8">
      <c r="B402" s="309"/>
      <c r="C402" s="308"/>
      <c r="D402" s="308"/>
      <c r="E402" s="308"/>
      <c r="F402" s="308"/>
      <c r="H402" s="308"/>
    </row>
    <row r="403" spans="2:8">
      <c r="B403" s="309"/>
      <c r="C403" s="308"/>
      <c r="D403" s="308"/>
      <c r="E403" s="308"/>
      <c r="F403" s="308"/>
      <c r="H403" s="308"/>
    </row>
    <row r="404" spans="2:8">
      <c r="B404" s="309"/>
      <c r="C404" s="308"/>
      <c r="D404" s="308"/>
      <c r="E404" s="308"/>
      <c r="F404" s="308"/>
      <c r="H404" s="308"/>
    </row>
    <row r="405" spans="2:8">
      <c r="B405" s="309"/>
      <c r="C405" s="308"/>
      <c r="D405" s="308"/>
      <c r="E405" s="308"/>
      <c r="F405" s="308"/>
      <c r="H405" s="308"/>
    </row>
    <row r="406" spans="2:8">
      <c r="B406" s="309"/>
      <c r="C406" s="308"/>
      <c r="D406" s="308"/>
      <c r="E406" s="308"/>
      <c r="F406" s="308"/>
      <c r="H406" s="308"/>
    </row>
    <row r="407" spans="2:8">
      <c r="B407" s="309"/>
      <c r="C407" s="308"/>
      <c r="D407" s="308"/>
      <c r="E407" s="308"/>
      <c r="F407" s="308"/>
      <c r="H407" s="308"/>
    </row>
    <row r="408" spans="2:8">
      <c r="B408" s="309"/>
      <c r="C408" s="308"/>
      <c r="D408" s="308"/>
      <c r="E408" s="308"/>
      <c r="F408" s="308"/>
      <c r="H408" s="308"/>
    </row>
    <row r="409" spans="2:8">
      <c r="B409" s="309"/>
      <c r="C409" s="308"/>
      <c r="D409" s="308"/>
      <c r="E409" s="308"/>
      <c r="F409" s="308"/>
      <c r="H409" s="308"/>
    </row>
    <row r="410" spans="2:8">
      <c r="B410" s="309"/>
      <c r="C410" s="308"/>
      <c r="D410" s="308"/>
      <c r="E410" s="308"/>
      <c r="F410" s="308"/>
      <c r="H410" s="308"/>
    </row>
    <row r="411" spans="2:8">
      <c r="B411" s="309"/>
      <c r="C411" s="308"/>
      <c r="D411" s="308"/>
      <c r="E411" s="308"/>
      <c r="F411" s="308"/>
      <c r="H411" s="308"/>
    </row>
    <row r="412" spans="2:8">
      <c r="B412" s="309"/>
      <c r="C412" s="308"/>
      <c r="D412" s="308"/>
      <c r="E412" s="308"/>
      <c r="F412" s="308"/>
      <c r="H412" s="308"/>
    </row>
    <row r="413" spans="2:8">
      <c r="B413" s="309"/>
      <c r="C413" s="308"/>
      <c r="D413" s="308"/>
      <c r="E413" s="308"/>
      <c r="F413" s="308"/>
      <c r="H413" s="308"/>
    </row>
    <row r="414" spans="2:8">
      <c r="B414" s="309"/>
      <c r="C414" s="308"/>
      <c r="D414" s="308"/>
      <c r="E414" s="308"/>
      <c r="F414" s="308"/>
      <c r="H414" s="308"/>
    </row>
    <row r="415" spans="2:8">
      <c r="B415" s="309"/>
      <c r="C415" s="308"/>
      <c r="D415" s="308"/>
      <c r="E415" s="308"/>
      <c r="F415" s="308"/>
      <c r="H415" s="308"/>
    </row>
    <row r="416" spans="2:8">
      <c r="B416" s="309"/>
      <c r="C416" s="308"/>
      <c r="D416" s="308"/>
      <c r="E416" s="308"/>
      <c r="F416" s="308"/>
      <c r="H416" s="308"/>
    </row>
    <row r="417" spans="2:8">
      <c r="B417" s="309"/>
      <c r="C417" s="308"/>
      <c r="D417" s="308"/>
      <c r="E417" s="308"/>
      <c r="F417" s="308"/>
      <c r="H417" s="308"/>
    </row>
    <row r="418" spans="2:8">
      <c r="B418" s="309"/>
      <c r="C418" s="308"/>
      <c r="D418" s="308"/>
      <c r="E418" s="308"/>
      <c r="F418" s="308"/>
      <c r="H418" s="308"/>
    </row>
    <row r="419" spans="2:8">
      <c r="B419" s="309"/>
      <c r="C419" s="308"/>
      <c r="D419" s="308"/>
      <c r="E419" s="308"/>
      <c r="F419" s="308"/>
      <c r="H419" s="308"/>
    </row>
    <row r="420" spans="2:8">
      <c r="B420" s="309"/>
      <c r="C420" s="308"/>
      <c r="D420" s="308"/>
      <c r="E420" s="308"/>
      <c r="F420" s="308"/>
      <c r="H420" s="308"/>
    </row>
    <row r="421" spans="2:8">
      <c r="B421" s="309"/>
      <c r="C421" s="308"/>
      <c r="D421" s="308"/>
      <c r="E421" s="308"/>
      <c r="F421" s="308"/>
      <c r="H421" s="308"/>
    </row>
    <row r="422" spans="2:8">
      <c r="B422" s="309"/>
      <c r="C422" s="308"/>
      <c r="D422" s="308"/>
      <c r="E422" s="308"/>
      <c r="F422" s="308"/>
      <c r="H422" s="308"/>
    </row>
    <row r="423" spans="2:8">
      <c r="B423" s="309"/>
      <c r="C423" s="308"/>
      <c r="D423" s="308"/>
      <c r="E423" s="308"/>
      <c r="F423" s="308"/>
      <c r="H423" s="308"/>
    </row>
    <row r="424" spans="2:8">
      <c r="B424" s="309"/>
      <c r="C424" s="308"/>
      <c r="D424" s="308"/>
      <c r="E424" s="308"/>
      <c r="F424" s="308"/>
      <c r="H424" s="308"/>
    </row>
    <row r="425" spans="2:8">
      <c r="B425" s="309"/>
      <c r="C425" s="308"/>
      <c r="D425" s="308"/>
      <c r="E425" s="308"/>
      <c r="F425" s="308"/>
      <c r="H425" s="308"/>
    </row>
    <row r="426" spans="2:8">
      <c r="B426" s="309"/>
      <c r="C426" s="308"/>
      <c r="D426" s="308"/>
      <c r="E426" s="308"/>
      <c r="F426" s="308"/>
      <c r="H426" s="308"/>
    </row>
    <row r="427" spans="2:8">
      <c r="B427" s="309"/>
      <c r="C427" s="308"/>
      <c r="D427" s="308"/>
      <c r="E427" s="308"/>
      <c r="F427" s="308"/>
      <c r="H427" s="308"/>
    </row>
    <row r="428" spans="2:8">
      <c r="B428" s="309"/>
      <c r="C428" s="308"/>
      <c r="D428" s="308"/>
      <c r="E428" s="308"/>
      <c r="F428" s="308"/>
      <c r="H428" s="308"/>
    </row>
    <row r="429" spans="2:8">
      <c r="B429" s="309"/>
      <c r="C429" s="308"/>
      <c r="D429" s="308"/>
      <c r="E429" s="308"/>
      <c r="F429" s="308"/>
      <c r="H429" s="308"/>
    </row>
    <row r="430" spans="2:8">
      <c r="B430" s="309"/>
      <c r="C430" s="308"/>
      <c r="D430" s="308"/>
      <c r="E430" s="308"/>
      <c r="F430" s="308"/>
      <c r="H430" s="308"/>
    </row>
    <row r="431" spans="2:8">
      <c r="B431" s="309"/>
      <c r="C431" s="308"/>
      <c r="D431" s="308"/>
      <c r="E431" s="308"/>
      <c r="F431" s="308"/>
      <c r="H431" s="308"/>
    </row>
    <row r="432" spans="2:8">
      <c r="B432" s="309"/>
      <c r="C432" s="308"/>
      <c r="D432" s="308"/>
      <c r="E432" s="308"/>
      <c r="F432" s="308"/>
      <c r="H432" s="308"/>
    </row>
    <row r="433" spans="2:8">
      <c r="B433" s="309"/>
      <c r="C433" s="308"/>
      <c r="D433" s="308"/>
      <c r="E433" s="308"/>
      <c r="F433" s="308"/>
      <c r="H433" s="308"/>
    </row>
    <row r="434" spans="2:8">
      <c r="B434" s="309"/>
      <c r="C434" s="308"/>
      <c r="D434" s="308"/>
      <c r="E434" s="308"/>
      <c r="F434" s="308"/>
      <c r="H434" s="308"/>
    </row>
    <row r="435" spans="2:8">
      <c r="B435" s="309"/>
      <c r="C435" s="308"/>
      <c r="D435" s="308"/>
      <c r="E435" s="308"/>
      <c r="F435" s="308"/>
      <c r="H435" s="308"/>
    </row>
    <row r="436" spans="2:8">
      <c r="B436" s="309"/>
      <c r="C436" s="308"/>
      <c r="D436" s="308"/>
      <c r="E436" s="308"/>
      <c r="F436" s="308"/>
      <c r="H436" s="308"/>
    </row>
    <row r="437" spans="2:8">
      <c r="B437" s="309"/>
      <c r="C437" s="308"/>
      <c r="D437" s="308"/>
      <c r="E437" s="308"/>
      <c r="F437" s="308"/>
      <c r="H437" s="308"/>
    </row>
    <row r="438" spans="2:8">
      <c r="B438" s="309"/>
      <c r="C438" s="308"/>
      <c r="D438" s="308"/>
      <c r="E438" s="308"/>
      <c r="F438" s="308"/>
      <c r="H438" s="308"/>
    </row>
    <row r="439" spans="2:8">
      <c r="B439" s="309"/>
      <c r="C439" s="308"/>
      <c r="D439" s="308"/>
      <c r="E439" s="308"/>
      <c r="F439" s="308"/>
      <c r="H439" s="308"/>
    </row>
    <row r="440" spans="2:8">
      <c r="B440" s="309"/>
      <c r="C440" s="308"/>
      <c r="D440" s="308"/>
      <c r="E440" s="308"/>
      <c r="F440" s="308"/>
      <c r="H440" s="308"/>
    </row>
    <row r="441" spans="2:8">
      <c r="B441" s="309"/>
      <c r="C441" s="308"/>
      <c r="D441" s="308"/>
      <c r="E441" s="308"/>
      <c r="F441" s="308"/>
      <c r="H441" s="308"/>
    </row>
    <row r="442" spans="2:8">
      <c r="B442" s="309"/>
      <c r="C442" s="308"/>
      <c r="D442" s="308"/>
      <c r="E442" s="308"/>
      <c r="F442" s="308"/>
      <c r="H442" s="308"/>
    </row>
    <row r="443" spans="2:8">
      <c r="B443" s="309"/>
      <c r="C443" s="308"/>
      <c r="D443" s="308"/>
      <c r="E443" s="308"/>
      <c r="F443" s="308"/>
      <c r="H443" s="308"/>
    </row>
    <row r="444" spans="2:8">
      <c r="B444" s="309"/>
      <c r="C444" s="308"/>
      <c r="D444" s="308"/>
      <c r="E444" s="308"/>
      <c r="F444" s="308"/>
      <c r="H444" s="308"/>
    </row>
    <row r="445" spans="2:8">
      <c r="B445" s="309"/>
      <c r="C445" s="308"/>
      <c r="D445" s="308"/>
      <c r="E445" s="308"/>
      <c r="F445" s="308"/>
      <c r="H445" s="308"/>
    </row>
    <row r="446" spans="2:8">
      <c r="B446" s="309"/>
      <c r="C446" s="308"/>
      <c r="D446" s="308"/>
      <c r="E446" s="308"/>
      <c r="F446" s="308"/>
      <c r="H446" s="308"/>
    </row>
    <row r="447" spans="2:8">
      <c r="B447" s="309"/>
      <c r="C447" s="308"/>
      <c r="D447" s="308"/>
      <c r="E447" s="308"/>
      <c r="F447" s="308"/>
      <c r="H447" s="308"/>
    </row>
    <row r="448" spans="2:8">
      <c r="B448" s="309"/>
      <c r="C448" s="308"/>
      <c r="D448" s="308"/>
      <c r="E448" s="308"/>
      <c r="F448" s="308"/>
      <c r="H448" s="308"/>
    </row>
    <row r="449" spans="2:8">
      <c r="B449" s="309"/>
      <c r="C449" s="308"/>
      <c r="D449" s="308"/>
      <c r="E449" s="308"/>
      <c r="F449" s="308"/>
      <c r="H449" s="308"/>
    </row>
    <row r="450" spans="2:8">
      <c r="B450" s="309"/>
      <c r="C450" s="308"/>
      <c r="D450" s="308"/>
      <c r="E450" s="308"/>
      <c r="F450" s="308"/>
      <c r="H450" s="308"/>
    </row>
    <row r="451" spans="2:8">
      <c r="B451" s="309"/>
      <c r="C451" s="308"/>
      <c r="D451" s="308"/>
      <c r="E451" s="308"/>
      <c r="F451" s="308"/>
      <c r="H451" s="308"/>
    </row>
    <row r="452" spans="2:8">
      <c r="B452" s="309"/>
      <c r="C452" s="308"/>
      <c r="D452" s="308"/>
      <c r="E452" s="308"/>
      <c r="F452" s="308"/>
      <c r="H452" s="308"/>
    </row>
    <row r="453" spans="2:8">
      <c r="B453" s="309"/>
      <c r="C453" s="308"/>
      <c r="D453" s="308"/>
      <c r="E453" s="308"/>
      <c r="F453" s="308"/>
      <c r="H453" s="308"/>
    </row>
    <row r="454" spans="2:8">
      <c r="B454" s="309"/>
      <c r="C454" s="308"/>
      <c r="D454" s="308"/>
      <c r="E454" s="308"/>
      <c r="F454" s="308"/>
      <c r="H454" s="308"/>
    </row>
    <row r="455" spans="2:8">
      <c r="B455" s="309"/>
      <c r="C455" s="308"/>
      <c r="D455" s="308"/>
      <c r="E455" s="308"/>
      <c r="F455" s="308"/>
      <c r="H455" s="308"/>
    </row>
    <row r="456" spans="2:8">
      <c r="B456" s="309"/>
      <c r="C456" s="308"/>
      <c r="D456" s="308"/>
      <c r="E456" s="308"/>
      <c r="F456" s="308"/>
      <c r="H456" s="308"/>
    </row>
    <row r="457" spans="2:8">
      <c r="B457" s="309"/>
      <c r="C457" s="308"/>
      <c r="D457" s="308"/>
      <c r="E457" s="308"/>
      <c r="F457" s="308"/>
      <c r="H457" s="308"/>
    </row>
    <row r="458" spans="2:8">
      <c r="B458" s="309"/>
      <c r="C458" s="308"/>
      <c r="D458" s="308"/>
      <c r="E458" s="308"/>
      <c r="F458" s="308"/>
      <c r="H458" s="308"/>
    </row>
    <row r="459" spans="2:8">
      <c r="B459" s="309"/>
      <c r="C459" s="308"/>
      <c r="D459" s="308"/>
      <c r="E459" s="308"/>
      <c r="F459" s="308"/>
      <c r="H459" s="308"/>
    </row>
    <row r="460" spans="2:8">
      <c r="B460" s="309"/>
      <c r="C460" s="308"/>
      <c r="D460" s="308"/>
      <c r="E460" s="308"/>
      <c r="F460" s="308"/>
      <c r="H460" s="308"/>
    </row>
    <row r="461" spans="2:8">
      <c r="B461" s="309"/>
      <c r="C461" s="308"/>
      <c r="D461" s="308"/>
      <c r="E461" s="308"/>
      <c r="F461" s="308"/>
      <c r="H461" s="308"/>
    </row>
    <row r="462" spans="2:8">
      <c r="B462" s="309"/>
      <c r="C462" s="308"/>
      <c r="D462" s="308"/>
      <c r="E462" s="308"/>
      <c r="F462" s="308"/>
      <c r="H462" s="308"/>
    </row>
    <row r="463" spans="2:8">
      <c r="B463" s="309"/>
      <c r="C463" s="308"/>
      <c r="D463" s="308"/>
      <c r="E463" s="308"/>
      <c r="F463" s="308"/>
      <c r="H463" s="308"/>
    </row>
    <row r="464" spans="2:8">
      <c r="B464" s="309"/>
      <c r="C464" s="308"/>
      <c r="D464" s="308"/>
      <c r="E464" s="308"/>
      <c r="F464" s="308"/>
      <c r="H464" s="308"/>
    </row>
    <row r="465" spans="2:8">
      <c r="B465" s="309"/>
      <c r="C465" s="308"/>
      <c r="D465" s="308"/>
      <c r="E465" s="308"/>
      <c r="F465" s="308"/>
      <c r="H465" s="308"/>
    </row>
    <row r="466" spans="2:8">
      <c r="B466" s="309"/>
      <c r="C466" s="308"/>
      <c r="D466" s="308"/>
      <c r="E466" s="308"/>
      <c r="F466" s="308"/>
      <c r="H466" s="308"/>
    </row>
    <row r="467" spans="2:8">
      <c r="B467" s="309"/>
      <c r="C467" s="308"/>
      <c r="D467" s="308"/>
      <c r="E467" s="308"/>
      <c r="F467" s="308"/>
      <c r="H467" s="308"/>
    </row>
    <row r="468" spans="2:8">
      <c r="B468" s="309"/>
      <c r="C468" s="308"/>
      <c r="D468" s="308"/>
      <c r="E468" s="308"/>
      <c r="F468" s="308"/>
      <c r="H468" s="308"/>
    </row>
    <row r="469" spans="2:8">
      <c r="B469" s="309"/>
      <c r="C469" s="308"/>
      <c r="D469" s="308"/>
      <c r="E469" s="308"/>
      <c r="F469" s="308"/>
      <c r="H469" s="308"/>
    </row>
    <row r="470" spans="2:8">
      <c r="B470" s="309"/>
      <c r="C470" s="308"/>
      <c r="D470" s="308"/>
      <c r="E470" s="308"/>
      <c r="F470" s="308"/>
      <c r="H470" s="308"/>
    </row>
    <row r="471" spans="2:8">
      <c r="B471" s="309"/>
      <c r="C471" s="308"/>
      <c r="D471" s="308"/>
      <c r="E471" s="308"/>
      <c r="F471" s="308"/>
      <c r="H471" s="308"/>
    </row>
    <row r="472" spans="2:8">
      <c r="B472" s="309"/>
      <c r="C472" s="308"/>
      <c r="D472" s="308"/>
      <c r="E472" s="308"/>
      <c r="F472" s="308"/>
      <c r="H472" s="308"/>
    </row>
    <row r="473" spans="2:8">
      <c r="B473" s="309"/>
      <c r="C473" s="308"/>
      <c r="D473" s="308"/>
      <c r="E473" s="308"/>
      <c r="F473" s="308"/>
      <c r="H473" s="308"/>
    </row>
    <row r="474" spans="2:8">
      <c r="B474" s="309"/>
      <c r="C474" s="308"/>
      <c r="D474" s="308"/>
      <c r="E474" s="308"/>
      <c r="F474" s="308"/>
      <c r="H474" s="308"/>
    </row>
    <row r="475" spans="2:8">
      <c r="B475" s="309"/>
      <c r="C475" s="308"/>
      <c r="D475" s="308"/>
      <c r="E475" s="308"/>
      <c r="F475" s="308"/>
      <c r="H475" s="308"/>
    </row>
    <row r="476" spans="2:8">
      <c r="B476" s="309"/>
      <c r="C476" s="308"/>
      <c r="D476" s="308"/>
      <c r="E476" s="308"/>
      <c r="F476" s="308"/>
      <c r="H476" s="308"/>
    </row>
    <row r="477" spans="2:8">
      <c r="B477" s="309"/>
      <c r="C477" s="308"/>
      <c r="D477" s="308"/>
      <c r="E477" s="308"/>
      <c r="F477" s="308"/>
      <c r="H477" s="308"/>
    </row>
    <row r="478" spans="2:8">
      <c r="B478" s="309"/>
      <c r="C478" s="308"/>
      <c r="D478" s="308"/>
      <c r="E478" s="308"/>
      <c r="F478" s="308"/>
      <c r="H478" s="308"/>
    </row>
    <row r="479" spans="2:8">
      <c r="B479" s="309"/>
      <c r="C479" s="308"/>
      <c r="D479" s="308"/>
      <c r="E479" s="308"/>
      <c r="F479" s="308"/>
      <c r="H479" s="308"/>
    </row>
    <row r="480" spans="2:8">
      <c r="B480" s="309"/>
      <c r="C480" s="308"/>
      <c r="D480" s="308"/>
      <c r="E480" s="308"/>
      <c r="F480" s="308"/>
      <c r="H480" s="308"/>
    </row>
    <row r="481" spans="2:8">
      <c r="B481" s="309"/>
      <c r="C481" s="308"/>
      <c r="D481" s="308"/>
      <c r="E481" s="308"/>
      <c r="F481" s="308"/>
      <c r="H481" s="308"/>
    </row>
    <row r="482" spans="2:8">
      <c r="B482" s="309"/>
      <c r="C482" s="308"/>
      <c r="D482" s="308"/>
      <c r="E482" s="308"/>
      <c r="F482" s="308"/>
      <c r="H482" s="308"/>
    </row>
    <row r="483" spans="2:8">
      <c r="B483" s="309"/>
      <c r="C483" s="308"/>
      <c r="D483" s="308"/>
      <c r="E483" s="308"/>
      <c r="F483" s="308"/>
      <c r="H483" s="308"/>
    </row>
    <row r="484" spans="2:8">
      <c r="B484" s="309"/>
      <c r="C484" s="308"/>
      <c r="D484" s="308"/>
      <c r="E484" s="308"/>
      <c r="F484" s="308"/>
      <c r="H484" s="308"/>
    </row>
    <row r="485" spans="2:8">
      <c r="B485" s="309"/>
      <c r="C485" s="308"/>
      <c r="D485" s="308"/>
      <c r="E485" s="308"/>
      <c r="F485" s="308"/>
      <c r="H485" s="308"/>
    </row>
    <row r="486" spans="2:8">
      <c r="B486" s="309"/>
      <c r="C486" s="308"/>
      <c r="D486" s="308"/>
      <c r="E486" s="308"/>
      <c r="F486" s="308"/>
      <c r="H486" s="308"/>
    </row>
    <row r="487" spans="2:8">
      <c r="B487" s="309"/>
      <c r="C487" s="308"/>
      <c r="D487" s="308"/>
      <c r="E487" s="308"/>
      <c r="F487" s="308"/>
      <c r="H487" s="308"/>
    </row>
    <row r="488" spans="2:8">
      <c r="B488" s="309"/>
      <c r="C488" s="308"/>
      <c r="D488" s="308"/>
      <c r="E488" s="308"/>
      <c r="F488" s="308"/>
      <c r="H488" s="308"/>
    </row>
    <row r="489" spans="2:8">
      <c r="B489" s="309"/>
      <c r="C489" s="308"/>
      <c r="D489" s="308"/>
      <c r="E489" s="308"/>
      <c r="F489" s="308"/>
      <c r="H489" s="308"/>
    </row>
    <row r="490" spans="2:8">
      <c r="B490" s="309"/>
      <c r="C490" s="308"/>
      <c r="D490" s="308"/>
      <c r="E490" s="308"/>
      <c r="F490" s="308"/>
      <c r="H490" s="308"/>
    </row>
    <row r="491" spans="2:8">
      <c r="B491" s="309"/>
      <c r="C491" s="308"/>
      <c r="D491" s="308"/>
      <c r="E491" s="308"/>
      <c r="F491" s="308"/>
      <c r="H491" s="308"/>
    </row>
    <row r="492" spans="2:8">
      <c r="B492" s="309"/>
      <c r="C492" s="308"/>
      <c r="D492" s="308"/>
      <c r="E492" s="308"/>
      <c r="F492" s="308"/>
      <c r="H492" s="308"/>
    </row>
    <row r="493" spans="2:8">
      <c r="B493" s="309"/>
      <c r="C493" s="308"/>
      <c r="D493" s="308"/>
      <c r="E493" s="308"/>
      <c r="F493" s="308"/>
      <c r="H493" s="308"/>
    </row>
    <row r="494" spans="2:8">
      <c r="B494" s="309"/>
      <c r="C494" s="308"/>
      <c r="D494" s="308"/>
      <c r="E494" s="308"/>
      <c r="F494" s="308"/>
      <c r="H494" s="308"/>
    </row>
    <row r="495" spans="2:8">
      <c r="B495" s="309"/>
      <c r="C495" s="308"/>
      <c r="D495" s="308"/>
      <c r="E495" s="308"/>
      <c r="F495" s="308"/>
      <c r="H495" s="308"/>
    </row>
    <row r="496" spans="2:8">
      <c r="B496" s="309"/>
      <c r="C496" s="308"/>
      <c r="D496" s="308"/>
      <c r="E496" s="308"/>
      <c r="F496" s="308"/>
      <c r="H496" s="308"/>
    </row>
    <row r="497" spans="2:8">
      <c r="B497" s="309"/>
      <c r="C497" s="308"/>
      <c r="D497" s="308"/>
      <c r="E497" s="308"/>
      <c r="F497" s="308"/>
      <c r="H497" s="308"/>
    </row>
    <row r="498" spans="2:8">
      <c r="B498" s="309"/>
      <c r="C498" s="308"/>
      <c r="D498" s="308"/>
      <c r="E498" s="308"/>
      <c r="F498" s="308"/>
      <c r="H498" s="308"/>
    </row>
    <row r="499" spans="2:8">
      <c r="B499" s="309"/>
      <c r="C499" s="308"/>
      <c r="D499" s="308"/>
      <c r="E499" s="308"/>
      <c r="F499" s="308"/>
      <c r="H499" s="308"/>
    </row>
    <row r="500" spans="2:8">
      <c r="B500" s="309"/>
      <c r="C500" s="308"/>
      <c r="D500" s="308"/>
      <c r="E500" s="308"/>
      <c r="F500" s="308"/>
      <c r="H500" s="308"/>
    </row>
    <row r="501" spans="2:8">
      <c r="B501" s="309"/>
      <c r="C501" s="308"/>
      <c r="D501" s="308"/>
      <c r="E501" s="308"/>
      <c r="F501" s="308"/>
      <c r="H501" s="308"/>
    </row>
    <row r="502" spans="2:8">
      <c r="B502" s="309"/>
      <c r="C502" s="308"/>
      <c r="D502" s="308"/>
      <c r="E502" s="308"/>
      <c r="F502" s="308"/>
      <c r="H502" s="308"/>
    </row>
    <row r="503" spans="2:8">
      <c r="B503" s="309"/>
      <c r="C503" s="308"/>
      <c r="D503" s="308"/>
      <c r="E503" s="308"/>
      <c r="F503" s="308"/>
      <c r="H503" s="308"/>
    </row>
    <row r="504" spans="2:8">
      <c r="B504" s="309"/>
      <c r="C504" s="308"/>
      <c r="D504" s="308"/>
      <c r="E504" s="308"/>
      <c r="F504" s="308"/>
      <c r="H504" s="308"/>
    </row>
    <row r="505" spans="2:8">
      <c r="B505" s="309"/>
      <c r="C505" s="308"/>
      <c r="D505" s="308"/>
      <c r="E505" s="308"/>
      <c r="F505" s="308"/>
      <c r="H505" s="308"/>
    </row>
    <row r="506" spans="2:8">
      <c r="B506" s="309"/>
      <c r="C506" s="308"/>
      <c r="D506" s="308"/>
      <c r="E506" s="308"/>
      <c r="F506" s="308"/>
      <c r="H506" s="308"/>
    </row>
    <row r="507" spans="2:8">
      <c r="B507" s="309"/>
      <c r="C507" s="308"/>
      <c r="D507" s="308"/>
      <c r="E507" s="308"/>
      <c r="F507" s="308"/>
      <c r="H507" s="308"/>
    </row>
    <row r="508" spans="2:8">
      <c r="B508" s="309"/>
      <c r="C508" s="308"/>
      <c r="D508" s="308"/>
      <c r="E508" s="308"/>
      <c r="F508" s="308"/>
      <c r="H508" s="308"/>
    </row>
    <row r="509" spans="2:8">
      <c r="B509" s="309"/>
      <c r="C509" s="308"/>
      <c r="D509" s="308"/>
      <c r="E509" s="308"/>
      <c r="F509" s="308"/>
      <c r="H509" s="308"/>
    </row>
    <row r="510" spans="2:8">
      <c r="B510" s="309"/>
      <c r="C510" s="308"/>
      <c r="D510" s="308"/>
      <c r="E510" s="308"/>
      <c r="F510" s="308"/>
      <c r="H510" s="308"/>
    </row>
    <row r="511" spans="2:8">
      <c r="B511" s="309"/>
      <c r="C511" s="308"/>
      <c r="D511" s="308"/>
      <c r="E511" s="308"/>
      <c r="F511" s="308"/>
      <c r="H511" s="308"/>
    </row>
    <row r="512" spans="2:8">
      <c r="B512" s="309"/>
      <c r="C512" s="308"/>
      <c r="D512" s="308"/>
      <c r="E512" s="308"/>
      <c r="F512" s="308"/>
      <c r="H512" s="308"/>
    </row>
    <row r="513" spans="2:8">
      <c r="B513" s="309"/>
      <c r="C513" s="308"/>
      <c r="D513" s="308"/>
      <c r="E513" s="308"/>
      <c r="F513" s="308"/>
      <c r="H513" s="308"/>
    </row>
    <row r="514" spans="2:8">
      <c r="B514" s="309"/>
      <c r="C514" s="308"/>
      <c r="D514" s="308"/>
      <c r="E514" s="308"/>
      <c r="F514" s="308"/>
      <c r="H514" s="308"/>
    </row>
    <row r="515" spans="2:8">
      <c r="B515" s="309"/>
      <c r="C515" s="308"/>
      <c r="D515" s="308"/>
      <c r="E515" s="308"/>
      <c r="F515" s="308"/>
      <c r="H515" s="308"/>
    </row>
    <row r="516" spans="2:8">
      <c r="B516" s="309"/>
      <c r="C516" s="308"/>
      <c r="D516" s="308"/>
      <c r="E516" s="308"/>
      <c r="F516" s="308"/>
      <c r="H516" s="308"/>
    </row>
    <row r="517" spans="2:8">
      <c r="B517" s="309"/>
      <c r="C517" s="308"/>
      <c r="D517" s="308"/>
      <c r="E517" s="308"/>
      <c r="F517" s="308"/>
      <c r="H517" s="308"/>
    </row>
    <row r="518" spans="2:8">
      <c r="B518" s="309"/>
      <c r="C518" s="308"/>
      <c r="D518" s="308"/>
      <c r="E518" s="308"/>
      <c r="F518" s="308"/>
      <c r="H518" s="308"/>
    </row>
    <row r="519" spans="2:8">
      <c r="B519" s="309"/>
      <c r="C519" s="308"/>
      <c r="D519" s="308"/>
      <c r="E519" s="308"/>
      <c r="F519" s="308"/>
      <c r="H519" s="308"/>
    </row>
    <row r="520" spans="2:8">
      <c r="B520" s="309"/>
      <c r="C520" s="308"/>
      <c r="D520" s="308"/>
      <c r="E520" s="308"/>
      <c r="F520" s="308"/>
      <c r="H520" s="308"/>
    </row>
    <row r="521" spans="2:8">
      <c r="B521" s="309"/>
      <c r="C521" s="308"/>
      <c r="D521" s="308"/>
      <c r="E521" s="308"/>
      <c r="F521" s="308"/>
      <c r="H521" s="308"/>
    </row>
    <row r="522" spans="2:8">
      <c r="B522" s="309"/>
      <c r="C522" s="308"/>
      <c r="D522" s="308"/>
      <c r="E522" s="308"/>
      <c r="F522" s="308"/>
      <c r="H522" s="308"/>
    </row>
    <row r="523" spans="2:8">
      <c r="B523" s="309"/>
      <c r="C523" s="308"/>
      <c r="D523" s="308"/>
      <c r="E523" s="308"/>
      <c r="F523" s="308"/>
      <c r="H523" s="308"/>
    </row>
    <row r="524" spans="2:8">
      <c r="B524" s="309"/>
      <c r="C524" s="308"/>
      <c r="D524" s="308"/>
      <c r="E524" s="308"/>
      <c r="F524" s="308"/>
      <c r="H524" s="308"/>
    </row>
    <row r="525" spans="2:8">
      <c r="B525" s="309"/>
      <c r="C525" s="308"/>
      <c r="D525" s="308"/>
      <c r="E525" s="308"/>
      <c r="F525" s="308"/>
      <c r="H525" s="308"/>
    </row>
    <row r="526" spans="2:8">
      <c r="B526" s="309"/>
      <c r="C526" s="308"/>
      <c r="D526" s="308"/>
      <c r="E526" s="308"/>
      <c r="F526" s="308"/>
      <c r="H526" s="308"/>
    </row>
    <row r="527" spans="2:8">
      <c r="B527" s="309"/>
      <c r="C527" s="308"/>
      <c r="D527" s="308"/>
      <c r="E527" s="308"/>
      <c r="F527" s="308"/>
      <c r="H527" s="308"/>
    </row>
    <row r="528" spans="2:8">
      <c r="B528" s="309"/>
      <c r="C528" s="308"/>
      <c r="D528" s="308"/>
      <c r="E528" s="308"/>
      <c r="F528" s="308"/>
      <c r="H528" s="308"/>
    </row>
    <row r="529" spans="2:8">
      <c r="B529" s="309"/>
      <c r="C529" s="308"/>
      <c r="D529" s="308"/>
      <c r="E529" s="308"/>
      <c r="F529" s="308"/>
      <c r="H529" s="308"/>
    </row>
    <row r="530" spans="2:8">
      <c r="B530" s="309"/>
      <c r="C530" s="308"/>
      <c r="D530" s="308"/>
      <c r="E530" s="308"/>
      <c r="F530" s="308"/>
      <c r="H530" s="308"/>
    </row>
    <row r="531" spans="2:8">
      <c r="B531" s="309"/>
      <c r="C531" s="308"/>
      <c r="D531" s="308"/>
      <c r="E531" s="308"/>
      <c r="F531" s="308"/>
      <c r="H531" s="308"/>
    </row>
    <row r="532" spans="2:8">
      <c r="B532" s="309"/>
      <c r="C532" s="308"/>
      <c r="D532" s="308"/>
      <c r="E532" s="308"/>
      <c r="F532" s="308"/>
      <c r="H532" s="308"/>
    </row>
    <row r="533" spans="2:8">
      <c r="B533" s="309"/>
      <c r="C533" s="308"/>
      <c r="D533" s="308"/>
      <c r="E533" s="308"/>
      <c r="F533" s="308"/>
      <c r="H533" s="308"/>
    </row>
    <row r="534" spans="2:8">
      <c r="B534" s="309"/>
      <c r="C534" s="308"/>
      <c r="D534" s="308"/>
      <c r="E534" s="308"/>
      <c r="F534" s="308"/>
      <c r="H534" s="308"/>
    </row>
    <row r="535" spans="2:8">
      <c r="B535" s="309"/>
      <c r="C535" s="308"/>
      <c r="D535" s="308"/>
      <c r="E535" s="308"/>
      <c r="F535" s="308"/>
      <c r="H535" s="308"/>
    </row>
    <row r="536" spans="2:8">
      <c r="B536" s="309"/>
      <c r="C536" s="308"/>
      <c r="D536" s="308"/>
      <c r="E536" s="308"/>
      <c r="F536" s="308"/>
      <c r="H536" s="308"/>
    </row>
    <row r="537" spans="2:8">
      <c r="B537" s="309"/>
      <c r="C537" s="308"/>
      <c r="D537" s="308"/>
      <c r="E537" s="308"/>
      <c r="F537" s="308"/>
      <c r="H537" s="308"/>
    </row>
    <row r="538" spans="2:8">
      <c r="B538" s="309"/>
      <c r="C538" s="308"/>
      <c r="D538" s="308"/>
      <c r="E538" s="308"/>
      <c r="F538" s="308"/>
      <c r="H538" s="308"/>
    </row>
    <row r="539" spans="2:8">
      <c r="B539" s="309"/>
      <c r="C539" s="308"/>
      <c r="D539" s="308"/>
      <c r="E539" s="308"/>
      <c r="F539" s="308"/>
      <c r="H539" s="308"/>
    </row>
    <row r="540" spans="2:8">
      <c r="B540" s="309"/>
      <c r="C540" s="308"/>
      <c r="D540" s="308"/>
      <c r="E540" s="308"/>
      <c r="F540" s="308"/>
      <c r="H540" s="308"/>
    </row>
    <row r="541" spans="2:8">
      <c r="B541" s="309"/>
      <c r="C541" s="308"/>
      <c r="D541" s="308"/>
      <c r="E541" s="308"/>
      <c r="F541" s="308"/>
      <c r="H541" s="308"/>
    </row>
    <row r="542" spans="2:8">
      <c r="B542" s="309"/>
      <c r="C542" s="308"/>
      <c r="D542" s="308"/>
      <c r="E542" s="308"/>
      <c r="F542" s="308"/>
      <c r="H542" s="308"/>
    </row>
    <row r="543" spans="2:8">
      <c r="B543" s="309"/>
      <c r="C543" s="308"/>
      <c r="D543" s="308"/>
      <c r="E543" s="308"/>
      <c r="F543" s="308"/>
      <c r="H543" s="308"/>
    </row>
    <row r="544" spans="2:8">
      <c r="B544" s="309"/>
      <c r="C544" s="308"/>
      <c r="D544" s="308"/>
      <c r="E544" s="308"/>
      <c r="F544" s="308"/>
      <c r="H544" s="308"/>
    </row>
    <row r="545" spans="2:8">
      <c r="B545" s="309"/>
      <c r="C545" s="308"/>
      <c r="D545" s="308"/>
      <c r="E545" s="308"/>
      <c r="F545" s="308"/>
      <c r="H545" s="308"/>
    </row>
    <row r="546" spans="2:8">
      <c r="B546" s="309"/>
      <c r="C546" s="308"/>
      <c r="D546" s="308"/>
      <c r="E546" s="308"/>
      <c r="F546" s="308"/>
      <c r="H546" s="308"/>
    </row>
    <row r="547" spans="2:8">
      <c r="B547" s="309"/>
      <c r="C547" s="308"/>
      <c r="D547" s="308"/>
      <c r="E547" s="308"/>
      <c r="F547" s="308"/>
      <c r="H547" s="308"/>
    </row>
    <row r="548" spans="2:8">
      <c r="B548" s="309"/>
      <c r="C548" s="308"/>
      <c r="D548" s="308"/>
      <c r="E548" s="308"/>
      <c r="F548" s="308"/>
      <c r="H548" s="308"/>
    </row>
    <row r="549" spans="2:8">
      <c r="B549" s="309"/>
      <c r="C549" s="308"/>
      <c r="D549" s="308"/>
      <c r="E549" s="308"/>
      <c r="F549" s="308"/>
      <c r="H549" s="308"/>
    </row>
    <row r="550" spans="2:8">
      <c r="B550" s="309"/>
      <c r="C550" s="308"/>
      <c r="D550" s="308"/>
      <c r="E550" s="308"/>
      <c r="F550" s="308"/>
      <c r="H550" s="308"/>
    </row>
    <row r="551" spans="2:8">
      <c r="B551" s="309"/>
      <c r="C551" s="308"/>
      <c r="D551" s="308"/>
      <c r="E551" s="308"/>
      <c r="F551" s="308"/>
      <c r="H551" s="308"/>
    </row>
    <row r="552" spans="2:8">
      <c r="B552" s="309"/>
      <c r="C552" s="308"/>
      <c r="D552" s="308"/>
      <c r="E552" s="308"/>
      <c r="F552" s="308"/>
      <c r="H552" s="308"/>
    </row>
    <row r="553" spans="2:8">
      <c r="B553" s="309"/>
      <c r="C553" s="308"/>
      <c r="D553" s="308"/>
      <c r="E553" s="308"/>
      <c r="F553" s="308"/>
      <c r="H553" s="308"/>
    </row>
    <row r="554" spans="2:8">
      <c r="B554" s="309"/>
      <c r="C554" s="308"/>
      <c r="D554" s="308"/>
      <c r="E554" s="308"/>
      <c r="F554" s="308"/>
      <c r="H554" s="308"/>
    </row>
    <row r="555" spans="2:8">
      <c r="B555" s="309"/>
      <c r="C555" s="308"/>
      <c r="D555" s="308"/>
      <c r="E555" s="308"/>
      <c r="F555" s="308"/>
      <c r="H555" s="308"/>
    </row>
    <row r="556" spans="2:8">
      <c r="B556" s="309"/>
      <c r="C556" s="308"/>
      <c r="D556" s="308"/>
      <c r="E556" s="308"/>
      <c r="F556" s="308"/>
      <c r="H556" s="308"/>
    </row>
    <row r="557" spans="2:8">
      <c r="B557" s="309"/>
      <c r="C557" s="308"/>
      <c r="D557" s="308"/>
      <c r="E557" s="308"/>
      <c r="F557" s="308"/>
      <c r="H557" s="308"/>
    </row>
    <row r="558" spans="2:8">
      <c r="B558" s="309"/>
      <c r="C558" s="308"/>
      <c r="D558" s="308"/>
      <c r="E558" s="308"/>
      <c r="F558" s="308"/>
      <c r="H558" s="308"/>
    </row>
    <row r="559" spans="2:8">
      <c r="B559" s="309"/>
      <c r="C559" s="308"/>
      <c r="D559" s="308"/>
      <c r="E559" s="308"/>
      <c r="F559" s="308"/>
      <c r="H559" s="308"/>
    </row>
    <row r="560" spans="2:8">
      <c r="B560" s="309"/>
      <c r="C560" s="308"/>
      <c r="D560" s="308"/>
      <c r="E560" s="308"/>
      <c r="F560" s="308"/>
      <c r="H560" s="308"/>
    </row>
    <row r="561" spans="2:8">
      <c r="B561" s="309"/>
      <c r="C561" s="308"/>
      <c r="D561" s="308"/>
      <c r="E561" s="308"/>
      <c r="F561" s="308"/>
      <c r="H561" s="308"/>
    </row>
    <row r="562" spans="2:8">
      <c r="B562" s="309"/>
      <c r="C562" s="308"/>
      <c r="D562" s="308"/>
      <c r="E562" s="308"/>
      <c r="F562" s="308"/>
      <c r="H562" s="308"/>
    </row>
    <row r="563" spans="2:8">
      <c r="B563" s="309"/>
      <c r="C563" s="308"/>
      <c r="D563" s="308"/>
      <c r="E563" s="308"/>
      <c r="F563" s="308"/>
      <c r="H563" s="308"/>
    </row>
    <row r="564" spans="2:8">
      <c r="B564" s="309"/>
      <c r="C564" s="308"/>
      <c r="D564" s="308"/>
      <c r="E564" s="308"/>
      <c r="F564" s="308"/>
      <c r="H564" s="308"/>
    </row>
    <row r="565" spans="2:8">
      <c r="B565" s="309"/>
      <c r="C565" s="308"/>
      <c r="D565" s="308"/>
      <c r="E565" s="308"/>
      <c r="F565" s="308"/>
      <c r="H565" s="308"/>
    </row>
    <row r="566" spans="2:8">
      <c r="B566" s="309"/>
      <c r="C566" s="308"/>
      <c r="D566" s="308"/>
      <c r="E566" s="308"/>
      <c r="F566" s="308"/>
      <c r="H566" s="308"/>
    </row>
    <row r="567" spans="2:8">
      <c r="B567" s="309"/>
      <c r="C567" s="308"/>
      <c r="D567" s="308"/>
      <c r="E567" s="308"/>
      <c r="F567" s="308"/>
      <c r="H567" s="308"/>
    </row>
    <row r="568" spans="2:8">
      <c r="B568" s="309"/>
      <c r="C568" s="308"/>
      <c r="D568" s="308"/>
      <c r="E568" s="308"/>
      <c r="F568" s="308"/>
      <c r="H568" s="308"/>
    </row>
    <row r="569" spans="2:8">
      <c r="B569" s="309"/>
      <c r="C569" s="308"/>
      <c r="D569" s="308"/>
      <c r="E569" s="308"/>
      <c r="F569" s="308"/>
      <c r="H569" s="308"/>
    </row>
    <row r="570" spans="2:8">
      <c r="B570" s="309"/>
      <c r="C570" s="308"/>
      <c r="D570" s="308"/>
      <c r="E570" s="308"/>
      <c r="F570" s="308"/>
      <c r="H570" s="308"/>
    </row>
    <row r="571" spans="2:8">
      <c r="B571" s="309"/>
      <c r="C571" s="308"/>
      <c r="D571" s="308"/>
      <c r="E571" s="308"/>
      <c r="F571" s="308"/>
      <c r="H571" s="308"/>
    </row>
    <row r="572" spans="2:8">
      <c r="B572" s="309"/>
      <c r="C572" s="308"/>
      <c r="D572" s="308"/>
      <c r="E572" s="308"/>
      <c r="F572" s="308"/>
      <c r="H572" s="308"/>
    </row>
    <row r="573" spans="2:8">
      <c r="B573" s="309"/>
      <c r="C573" s="308"/>
      <c r="D573" s="308"/>
      <c r="E573" s="308"/>
      <c r="F573" s="308"/>
      <c r="H573" s="308"/>
    </row>
    <row r="574" spans="2:8">
      <c r="B574" s="309"/>
      <c r="C574" s="308"/>
      <c r="D574" s="308"/>
      <c r="E574" s="308"/>
      <c r="F574" s="308"/>
      <c r="H574" s="308"/>
    </row>
    <row r="575" spans="2:8">
      <c r="B575" s="309"/>
      <c r="C575" s="308"/>
      <c r="D575" s="308"/>
      <c r="E575" s="308"/>
      <c r="F575" s="308"/>
      <c r="H575" s="308"/>
    </row>
    <row r="576" spans="2:8">
      <c r="B576" s="309"/>
      <c r="C576" s="308"/>
      <c r="D576" s="308"/>
      <c r="E576" s="308"/>
      <c r="F576" s="308"/>
      <c r="H576" s="308"/>
    </row>
    <row r="577" spans="2:8">
      <c r="B577" s="309"/>
      <c r="C577" s="308"/>
      <c r="D577" s="308"/>
      <c r="E577" s="308"/>
      <c r="F577" s="308"/>
      <c r="H577" s="308"/>
    </row>
    <row r="578" spans="2:8">
      <c r="B578" s="309"/>
      <c r="C578" s="308"/>
      <c r="D578" s="308"/>
      <c r="E578" s="308"/>
      <c r="F578" s="308"/>
      <c r="H578" s="308"/>
    </row>
    <row r="579" spans="2:8">
      <c r="B579" s="309"/>
      <c r="C579" s="308"/>
      <c r="D579" s="308"/>
      <c r="E579" s="308"/>
      <c r="F579" s="308"/>
      <c r="H579" s="308"/>
    </row>
    <row r="580" spans="2:8">
      <c r="B580" s="309"/>
      <c r="C580" s="308"/>
      <c r="D580" s="308"/>
      <c r="E580" s="308"/>
      <c r="F580" s="308"/>
      <c r="H580" s="308"/>
    </row>
    <row r="581" spans="2:8">
      <c r="B581" s="309"/>
      <c r="C581" s="308"/>
      <c r="D581" s="308"/>
      <c r="E581" s="308"/>
      <c r="F581" s="308"/>
      <c r="H581" s="308"/>
    </row>
    <row r="582" spans="2:8">
      <c r="B582" s="309"/>
      <c r="C582" s="308"/>
      <c r="D582" s="308"/>
      <c r="E582" s="308"/>
      <c r="F582" s="308"/>
      <c r="H582" s="308"/>
    </row>
    <row r="583" spans="2:8">
      <c r="B583" s="309"/>
      <c r="C583" s="308"/>
      <c r="D583" s="308"/>
      <c r="E583" s="308"/>
      <c r="F583" s="308"/>
      <c r="H583" s="308"/>
    </row>
    <row r="584" spans="2:8">
      <c r="B584" s="309"/>
      <c r="C584" s="308"/>
      <c r="D584" s="308"/>
      <c r="E584" s="308"/>
      <c r="F584" s="308"/>
      <c r="H584" s="308"/>
    </row>
    <row r="585" spans="2:8">
      <c r="B585" s="309"/>
      <c r="C585" s="308"/>
      <c r="D585" s="308"/>
      <c r="E585" s="308"/>
      <c r="F585" s="308"/>
      <c r="H585" s="308"/>
    </row>
    <row r="586" spans="2:8">
      <c r="B586" s="309"/>
      <c r="C586" s="308"/>
      <c r="D586" s="308"/>
      <c r="E586" s="308"/>
      <c r="F586" s="308"/>
      <c r="H586" s="308"/>
    </row>
    <row r="587" spans="2:8">
      <c r="B587" s="309"/>
      <c r="C587" s="308"/>
      <c r="D587" s="308"/>
      <c r="E587" s="308"/>
      <c r="F587" s="308"/>
      <c r="H587" s="308"/>
    </row>
    <row r="588" spans="2:8">
      <c r="B588" s="309"/>
      <c r="C588" s="308"/>
      <c r="D588" s="308"/>
      <c r="E588" s="308"/>
      <c r="F588" s="308"/>
      <c r="H588" s="308"/>
    </row>
    <row r="589" spans="2:8">
      <c r="B589" s="309"/>
      <c r="C589" s="308"/>
      <c r="D589" s="308"/>
      <c r="E589" s="308"/>
      <c r="F589" s="308"/>
      <c r="H589" s="308"/>
    </row>
    <row r="590" spans="2:8">
      <c r="B590" s="309"/>
      <c r="C590" s="308"/>
      <c r="D590" s="308"/>
      <c r="E590" s="308"/>
      <c r="F590" s="308"/>
      <c r="H590" s="308"/>
    </row>
    <row r="591" spans="2:8">
      <c r="B591" s="309"/>
      <c r="C591" s="308"/>
      <c r="D591" s="308"/>
      <c r="E591" s="308"/>
      <c r="F591" s="308"/>
      <c r="H591" s="308"/>
    </row>
    <row r="592" spans="2:8">
      <c r="B592" s="309"/>
      <c r="C592" s="308"/>
      <c r="D592" s="308"/>
      <c r="E592" s="308"/>
      <c r="F592" s="308"/>
      <c r="H592" s="308"/>
    </row>
    <row r="593" spans="2:8">
      <c r="B593" s="309"/>
      <c r="C593" s="308"/>
      <c r="D593" s="308"/>
      <c r="E593" s="308"/>
      <c r="F593" s="308"/>
      <c r="H593" s="308"/>
    </row>
    <row r="594" spans="2:8">
      <c r="B594" s="309"/>
      <c r="C594" s="308"/>
      <c r="D594" s="308"/>
      <c r="E594" s="308"/>
      <c r="F594" s="308"/>
      <c r="H594" s="308"/>
    </row>
    <row r="595" spans="2:8">
      <c r="B595" s="309"/>
      <c r="C595" s="308"/>
      <c r="D595" s="308"/>
      <c r="E595" s="308"/>
      <c r="F595" s="308"/>
      <c r="H595" s="308"/>
    </row>
    <row r="596" spans="2:8">
      <c r="B596" s="309"/>
      <c r="C596" s="308"/>
      <c r="D596" s="308"/>
      <c r="E596" s="308"/>
      <c r="F596" s="308"/>
      <c r="H596" s="308"/>
    </row>
    <row r="597" spans="2:8">
      <c r="B597" s="309"/>
      <c r="C597" s="308"/>
      <c r="D597" s="308"/>
      <c r="E597" s="308"/>
      <c r="F597" s="308"/>
      <c r="H597" s="308"/>
    </row>
    <row r="598" spans="2:8">
      <c r="B598" s="309"/>
      <c r="C598" s="308"/>
      <c r="D598" s="308"/>
      <c r="E598" s="308"/>
      <c r="F598" s="308"/>
      <c r="H598" s="308"/>
    </row>
    <row r="599" spans="2:8">
      <c r="B599" s="309"/>
      <c r="C599" s="308"/>
      <c r="D599" s="308"/>
      <c r="E599" s="308"/>
      <c r="F599" s="308"/>
      <c r="H599" s="308"/>
    </row>
    <row r="600" spans="2:8">
      <c r="B600" s="309"/>
      <c r="C600" s="308"/>
      <c r="D600" s="308"/>
      <c r="E600" s="308"/>
      <c r="F600" s="308"/>
      <c r="H600" s="308"/>
    </row>
    <row r="601" spans="2:8">
      <c r="B601" s="309"/>
      <c r="C601" s="308"/>
      <c r="D601" s="308"/>
      <c r="E601" s="308"/>
      <c r="F601" s="308"/>
      <c r="H601" s="308"/>
    </row>
    <row r="602" spans="2:8">
      <c r="B602" s="309"/>
      <c r="C602" s="308"/>
      <c r="D602" s="308"/>
      <c r="E602" s="308"/>
      <c r="F602" s="308"/>
      <c r="H602" s="308"/>
    </row>
    <row r="603" spans="2:8">
      <c r="B603" s="309"/>
      <c r="C603" s="308"/>
      <c r="D603" s="308"/>
      <c r="E603" s="308"/>
      <c r="F603" s="308"/>
      <c r="H603" s="308"/>
    </row>
    <row r="604" spans="2:8">
      <c r="B604" s="309"/>
      <c r="C604" s="308"/>
      <c r="D604" s="308"/>
      <c r="E604" s="308"/>
      <c r="F604" s="308"/>
      <c r="H604" s="308"/>
    </row>
    <row r="605" spans="2:8">
      <c r="B605" s="309"/>
      <c r="C605" s="308"/>
      <c r="D605" s="308"/>
      <c r="E605" s="308"/>
      <c r="F605" s="308"/>
      <c r="H605" s="308"/>
    </row>
    <row r="606" spans="2:8">
      <c r="B606" s="309"/>
      <c r="C606" s="308"/>
      <c r="D606" s="308"/>
      <c r="E606" s="308"/>
      <c r="F606" s="308"/>
      <c r="H606" s="308"/>
    </row>
    <row r="607" spans="2:8">
      <c r="B607" s="309"/>
      <c r="C607" s="308"/>
      <c r="D607" s="308"/>
      <c r="E607" s="308"/>
      <c r="F607" s="308"/>
      <c r="H607" s="308"/>
    </row>
    <row r="608" spans="2:8">
      <c r="B608" s="309"/>
      <c r="C608" s="308"/>
      <c r="D608" s="308"/>
      <c r="E608" s="308"/>
      <c r="F608" s="308"/>
      <c r="H608" s="308"/>
    </row>
    <row r="609" spans="2:8">
      <c r="B609" s="309"/>
      <c r="C609" s="308"/>
      <c r="D609" s="308"/>
      <c r="E609" s="308"/>
      <c r="F609" s="308"/>
      <c r="H609" s="308"/>
    </row>
    <row r="610" spans="2:8">
      <c r="B610" s="309"/>
      <c r="C610" s="308"/>
      <c r="D610" s="308"/>
      <c r="E610" s="308"/>
      <c r="F610" s="308"/>
      <c r="H610" s="308"/>
    </row>
    <row r="611" spans="2:8">
      <c r="B611" s="309"/>
      <c r="C611" s="308"/>
      <c r="D611" s="308"/>
      <c r="E611" s="308"/>
      <c r="F611" s="308"/>
      <c r="H611" s="308"/>
    </row>
    <row r="612" spans="2:8">
      <c r="B612" s="309"/>
      <c r="C612" s="308"/>
      <c r="D612" s="308"/>
      <c r="E612" s="308"/>
      <c r="F612" s="308"/>
      <c r="H612" s="308"/>
    </row>
    <row r="613" spans="2:8">
      <c r="B613" s="309"/>
      <c r="C613" s="308"/>
      <c r="D613" s="308"/>
      <c r="E613" s="308"/>
      <c r="F613" s="308"/>
      <c r="H613" s="308"/>
    </row>
    <row r="614" spans="2:8">
      <c r="B614" s="309"/>
      <c r="C614" s="308"/>
      <c r="D614" s="308"/>
      <c r="E614" s="308"/>
      <c r="F614" s="308"/>
      <c r="H614" s="308"/>
    </row>
    <row r="615" spans="2:8">
      <c r="B615" s="309"/>
      <c r="C615" s="308"/>
      <c r="D615" s="308"/>
      <c r="E615" s="308"/>
      <c r="F615" s="308"/>
      <c r="H615" s="308"/>
    </row>
    <row r="616" spans="2:8">
      <c r="B616" s="309"/>
      <c r="C616" s="308"/>
      <c r="D616" s="308"/>
      <c r="E616" s="308"/>
      <c r="F616" s="308"/>
      <c r="H616" s="308"/>
    </row>
    <row r="617" spans="2:8">
      <c r="B617" s="309"/>
      <c r="C617" s="308"/>
      <c r="D617" s="308"/>
      <c r="E617" s="308"/>
      <c r="F617" s="308"/>
      <c r="H617" s="308"/>
    </row>
    <row r="618" spans="2:8">
      <c r="B618" s="309"/>
      <c r="C618" s="308"/>
      <c r="D618" s="308"/>
      <c r="E618" s="308"/>
      <c r="F618" s="308"/>
      <c r="H618" s="308"/>
    </row>
    <row r="619" spans="2:8">
      <c r="B619" s="309"/>
      <c r="C619" s="308"/>
      <c r="D619" s="308"/>
      <c r="E619" s="308"/>
      <c r="F619" s="308"/>
      <c r="H619" s="308"/>
    </row>
    <row r="620" spans="2:8">
      <c r="B620" s="309"/>
      <c r="C620" s="308"/>
      <c r="D620" s="308"/>
      <c r="E620" s="308"/>
      <c r="F620" s="308"/>
      <c r="H620" s="308"/>
    </row>
    <row r="621" spans="2:8">
      <c r="B621" s="309"/>
      <c r="C621" s="308"/>
      <c r="D621" s="308"/>
      <c r="E621" s="308"/>
      <c r="F621" s="308"/>
      <c r="H621" s="308"/>
    </row>
    <row r="622" spans="2:8">
      <c r="B622" s="309"/>
      <c r="C622" s="308"/>
      <c r="D622" s="308"/>
      <c r="E622" s="308"/>
      <c r="F622" s="308"/>
      <c r="H622" s="308"/>
    </row>
    <row r="623" spans="2:8">
      <c r="B623" s="309"/>
      <c r="C623" s="308"/>
      <c r="D623" s="308"/>
      <c r="E623" s="308"/>
      <c r="F623" s="308"/>
      <c r="H623" s="308"/>
    </row>
    <row r="624" spans="2:8">
      <c r="B624" s="309"/>
      <c r="C624" s="308"/>
      <c r="D624" s="308"/>
      <c r="E624" s="308"/>
      <c r="F624" s="308"/>
      <c r="H624" s="308"/>
    </row>
    <row r="625" spans="2:8">
      <c r="B625" s="309"/>
      <c r="C625" s="308"/>
      <c r="D625" s="308"/>
      <c r="E625" s="308"/>
      <c r="F625" s="308"/>
      <c r="H625" s="308"/>
    </row>
    <row r="626" spans="2:8">
      <c r="B626" s="309"/>
      <c r="C626" s="308"/>
      <c r="D626" s="308"/>
      <c r="E626" s="308"/>
      <c r="F626" s="308"/>
      <c r="H626" s="308"/>
    </row>
    <row r="627" spans="2:8">
      <c r="B627" s="309"/>
      <c r="C627" s="308"/>
      <c r="D627" s="308"/>
      <c r="E627" s="308"/>
      <c r="F627" s="308"/>
      <c r="H627" s="308"/>
    </row>
    <row r="628" spans="2:8">
      <c r="B628" s="309"/>
      <c r="C628" s="308"/>
      <c r="D628" s="308"/>
      <c r="E628" s="308"/>
      <c r="F628" s="308"/>
      <c r="H628" s="308"/>
    </row>
    <row r="629" spans="2:8">
      <c r="B629" s="309"/>
      <c r="C629" s="308"/>
      <c r="D629" s="308"/>
      <c r="E629" s="308"/>
      <c r="F629" s="308"/>
      <c r="H629" s="308"/>
    </row>
    <row r="630" spans="2:8">
      <c r="B630" s="309"/>
      <c r="C630" s="308"/>
      <c r="D630" s="308"/>
      <c r="E630" s="308"/>
      <c r="F630" s="308"/>
      <c r="H630" s="308"/>
    </row>
    <row r="631" spans="2:8">
      <c r="B631" s="309"/>
      <c r="C631" s="308"/>
      <c r="D631" s="308"/>
      <c r="E631" s="308"/>
      <c r="F631" s="308"/>
      <c r="H631" s="308"/>
    </row>
    <row r="632" spans="2:8">
      <c r="B632" s="309"/>
      <c r="C632" s="308"/>
      <c r="D632" s="308"/>
      <c r="E632" s="308"/>
      <c r="F632" s="308"/>
      <c r="H632" s="308"/>
    </row>
    <row r="633" spans="2:8">
      <c r="B633" s="309"/>
      <c r="C633" s="308"/>
      <c r="D633" s="308"/>
      <c r="E633" s="308"/>
      <c r="F633" s="308"/>
      <c r="H633" s="308"/>
    </row>
    <row r="634" spans="2:8">
      <c r="B634" s="309"/>
      <c r="C634" s="308"/>
      <c r="D634" s="308"/>
      <c r="E634" s="308"/>
      <c r="F634" s="308"/>
      <c r="H634" s="308"/>
    </row>
    <row r="635" spans="2:8">
      <c r="B635" s="309"/>
      <c r="C635" s="308"/>
      <c r="D635" s="308"/>
      <c r="E635" s="308"/>
      <c r="F635" s="308"/>
      <c r="H635" s="308"/>
    </row>
    <row r="636" spans="2:8">
      <c r="B636" s="309"/>
      <c r="C636" s="308"/>
      <c r="D636" s="308"/>
      <c r="E636" s="308"/>
      <c r="F636" s="308"/>
      <c r="H636" s="308"/>
    </row>
    <row r="637" spans="2:8">
      <c r="B637" s="309"/>
      <c r="C637" s="308"/>
      <c r="D637" s="308"/>
      <c r="E637" s="308"/>
      <c r="F637" s="308"/>
      <c r="H637" s="308"/>
    </row>
    <row r="638" spans="2:8">
      <c r="B638" s="309"/>
      <c r="C638" s="308"/>
      <c r="D638" s="308"/>
      <c r="E638" s="308"/>
      <c r="F638" s="308"/>
      <c r="H638" s="308"/>
    </row>
    <row r="639" spans="2:8">
      <c r="B639" s="309"/>
      <c r="C639" s="308"/>
      <c r="D639" s="308"/>
      <c r="E639" s="308"/>
      <c r="F639" s="308"/>
      <c r="H639" s="308"/>
    </row>
    <row r="640" spans="2:8">
      <c r="B640" s="309"/>
      <c r="C640" s="308"/>
      <c r="D640" s="308"/>
      <c r="E640" s="308"/>
      <c r="F640" s="308"/>
      <c r="H640" s="308"/>
    </row>
    <row r="641" spans="2:8">
      <c r="B641" s="309"/>
      <c r="C641" s="308"/>
      <c r="D641" s="308"/>
      <c r="E641" s="308"/>
      <c r="F641" s="308"/>
      <c r="H641" s="308"/>
    </row>
    <row r="642" spans="2:8">
      <c r="B642" s="309"/>
      <c r="C642" s="308"/>
      <c r="D642" s="308"/>
      <c r="E642" s="308"/>
      <c r="F642" s="308"/>
      <c r="H642" s="308"/>
    </row>
    <row r="643" spans="2:8">
      <c r="B643" s="309"/>
      <c r="C643" s="308"/>
      <c r="D643" s="308"/>
      <c r="E643" s="308"/>
      <c r="F643" s="308"/>
      <c r="H643" s="308"/>
    </row>
    <row r="644" spans="2:8">
      <c r="B644" s="309"/>
      <c r="C644" s="308"/>
      <c r="D644" s="308"/>
      <c r="E644" s="308"/>
      <c r="F644" s="308"/>
      <c r="H644" s="308"/>
    </row>
    <row r="645" spans="2:8">
      <c r="B645" s="309"/>
      <c r="C645" s="308"/>
      <c r="D645" s="308"/>
      <c r="E645" s="308"/>
      <c r="F645" s="308"/>
      <c r="H645" s="308"/>
    </row>
    <row r="646" spans="2:8">
      <c r="B646" s="309"/>
      <c r="C646" s="308"/>
      <c r="D646" s="308"/>
      <c r="E646" s="308"/>
      <c r="F646" s="308"/>
      <c r="H646" s="308"/>
    </row>
    <row r="647" spans="2:8">
      <c r="B647" s="309"/>
      <c r="C647" s="308"/>
      <c r="D647" s="308"/>
      <c r="E647" s="308"/>
      <c r="F647" s="308"/>
      <c r="H647" s="308"/>
    </row>
    <row r="648" spans="2:8">
      <c r="B648" s="309"/>
      <c r="C648" s="308"/>
      <c r="D648" s="308"/>
      <c r="E648" s="308"/>
      <c r="F648" s="308"/>
      <c r="H648" s="308"/>
    </row>
    <row r="649" spans="2:8">
      <c r="B649" s="309"/>
      <c r="C649" s="308"/>
      <c r="D649" s="308"/>
      <c r="E649" s="308"/>
      <c r="F649" s="308"/>
      <c r="H649" s="308"/>
    </row>
    <row r="650" spans="2:8">
      <c r="B650" s="309"/>
      <c r="C650" s="308"/>
      <c r="D650" s="308"/>
      <c r="E650" s="308"/>
      <c r="F650" s="308"/>
      <c r="H650" s="308"/>
    </row>
    <row r="651" spans="2:8">
      <c r="B651" s="309"/>
      <c r="C651" s="308"/>
      <c r="D651" s="308"/>
      <c r="E651" s="308"/>
      <c r="F651" s="308"/>
      <c r="H651" s="308"/>
    </row>
    <row r="652" spans="2:8">
      <c r="B652" s="309"/>
      <c r="C652" s="308"/>
      <c r="D652" s="308"/>
      <c r="E652" s="308"/>
      <c r="F652" s="308"/>
      <c r="H652" s="308"/>
    </row>
    <row r="653" spans="2:8">
      <c r="B653" s="309"/>
      <c r="C653" s="308"/>
      <c r="D653" s="308"/>
      <c r="E653" s="308"/>
      <c r="F653" s="308"/>
      <c r="H653" s="308"/>
    </row>
    <row r="654" spans="2:8">
      <c r="B654" s="309"/>
      <c r="C654" s="308"/>
      <c r="D654" s="308"/>
      <c r="E654" s="308"/>
      <c r="F654" s="308"/>
      <c r="H654" s="308"/>
    </row>
    <row r="655" spans="2:8">
      <c r="B655" s="309"/>
      <c r="C655" s="308"/>
      <c r="D655" s="308"/>
      <c r="E655" s="308"/>
      <c r="F655" s="308"/>
      <c r="H655" s="308"/>
    </row>
    <row r="656" spans="2:8">
      <c r="B656" s="309"/>
      <c r="C656" s="308"/>
      <c r="D656" s="308"/>
      <c r="E656" s="308"/>
      <c r="F656" s="308"/>
      <c r="H656" s="308"/>
    </row>
    <row r="657" spans="2:8">
      <c r="B657" s="309"/>
      <c r="C657" s="308"/>
      <c r="D657" s="308"/>
      <c r="E657" s="308"/>
      <c r="F657" s="308"/>
      <c r="H657" s="308"/>
    </row>
    <row r="658" spans="2:8">
      <c r="B658" s="309"/>
      <c r="C658" s="308"/>
      <c r="D658" s="308"/>
      <c r="E658" s="308"/>
      <c r="F658" s="308"/>
      <c r="H658" s="308"/>
    </row>
    <row r="659" spans="2:8">
      <c r="B659" s="309"/>
      <c r="C659" s="308"/>
      <c r="D659" s="308"/>
      <c r="E659" s="308"/>
      <c r="F659" s="308"/>
      <c r="H659" s="308"/>
    </row>
    <row r="660" spans="2:8">
      <c r="B660" s="309"/>
      <c r="C660" s="308"/>
      <c r="D660" s="308"/>
      <c r="E660" s="308"/>
      <c r="F660" s="308"/>
      <c r="H660" s="308"/>
    </row>
    <row r="661" spans="2:8">
      <c r="B661" s="309"/>
      <c r="C661" s="308"/>
      <c r="D661" s="308"/>
      <c r="E661" s="308"/>
      <c r="F661" s="308"/>
      <c r="H661" s="308"/>
    </row>
    <row r="662" spans="2:8">
      <c r="B662" s="309"/>
      <c r="C662" s="308"/>
      <c r="D662" s="308"/>
      <c r="E662" s="308"/>
      <c r="F662" s="308"/>
      <c r="H662" s="308"/>
    </row>
    <row r="663" spans="2:8">
      <c r="B663" s="309"/>
      <c r="C663" s="308"/>
      <c r="D663" s="308"/>
      <c r="E663" s="308"/>
      <c r="F663" s="308"/>
      <c r="H663" s="308"/>
    </row>
    <row r="664" spans="2:8">
      <c r="B664" s="309"/>
      <c r="C664" s="308"/>
      <c r="D664" s="308"/>
      <c r="E664" s="308"/>
      <c r="F664" s="308"/>
      <c r="H664" s="308"/>
    </row>
    <row r="665" spans="2:8">
      <c r="B665" s="309"/>
      <c r="C665" s="308"/>
      <c r="D665" s="308"/>
      <c r="E665" s="308"/>
      <c r="F665" s="308"/>
      <c r="H665" s="308"/>
    </row>
    <row r="666" spans="2:8">
      <c r="B666" s="309"/>
      <c r="C666" s="308"/>
      <c r="D666" s="308"/>
      <c r="E666" s="308"/>
      <c r="F666" s="308"/>
      <c r="H666" s="308"/>
    </row>
    <row r="667" spans="2:8">
      <c r="B667" s="309"/>
      <c r="C667" s="308"/>
      <c r="D667" s="308"/>
      <c r="E667" s="308"/>
      <c r="F667" s="308"/>
      <c r="H667" s="308"/>
    </row>
    <row r="668" spans="2:8">
      <c r="B668" s="309"/>
      <c r="C668" s="308"/>
      <c r="D668" s="308"/>
      <c r="E668" s="308"/>
      <c r="F668" s="308"/>
      <c r="H668" s="308"/>
    </row>
    <row r="669" spans="2:8">
      <c r="B669" s="309"/>
      <c r="C669" s="308"/>
      <c r="D669" s="308"/>
      <c r="E669" s="308"/>
      <c r="F669" s="308"/>
      <c r="H669" s="308"/>
    </row>
    <row r="670" spans="2:8">
      <c r="B670" s="309"/>
      <c r="C670" s="308"/>
      <c r="D670" s="308"/>
      <c r="E670" s="308"/>
      <c r="F670" s="308"/>
      <c r="H670" s="308"/>
    </row>
    <row r="671" spans="2:8">
      <c r="B671" s="309"/>
      <c r="C671" s="308"/>
      <c r="D671" s="308"/>
      <c r="E671" s="308"/>
      <c r="F671" s="308"/>
      <c r="H671" s="308"/>
    </row>
    <row r="672" spans="2:8">
      <c r="B672" s="309"/>
      <c r="C672" s="308"/>
      <c r="D672" s="308"/>
      <c r="E672" s="308"/>
      <c r="F672" s="308"/>
      <c r="H672" s="308"/>
    </row>
    <row r="673" spans="2:8">
      <c r="B673" s="309"/>
      <c r="C673" s="308"/>
      <c r="D673" s="308"/>
      <c r="E673" s="308"/>
      <c r="F673" s="308"/>
      <c r="H673" s="308"/>
    </row>
    <row r="674" spans="2:8">
      <c r="B674" s="309"/>
      <c r="C674" s="308"/>
      <c r="D674" s="308"/>
      <c r="E674" s="308"/>
      <c r="F674" s="308"/>
      <c r="H674" s="308"/>
    </row>
    <row r="675" spans="2:8">
      <c r="B675" s="309"/>
      <c r="C675" s="308"/>
      <c r="D675" s="308"/>
      <c r="E675" s="308"/>
      <c r="F675" s="308"/>
      <c r="H675" s="308"/>
    </row>
    <row r="676" spans="2:8">
      <c r="B676" s="309"/>
      <c r="C676" s="308"/>
      <c r="D676" s="308"/>
      <c r="E676" s="308"/>
      <c r="F676" s="308"/>
      <c r="H676" s="308"/>
    </row>
    <row r="677" spans="2:8">
      <c r="B677" s="309"/>
      <c r="C677" s="308"/>
      <c r="D677" s="308"/>
      <c r="E677" s="308"/>
      <c r="F677" s="308"/>
      <c r="H677" s="308"/>
    </row>
    <row r="678" spans="2:8">
      <c r="B678" s="309"/>
      <c r="C678" s="308"/>
      <c r="D678" s="308"/>
      <c r="E678" s="308"/>
      <c r="F678" s="308"/>
      <c r="H678" s="308"/>
    </row>
    <row r="679" spans="2:8">
      <c r="B679" s="309"/>
      <c r="C679" s="308"/>
      <c r="D679" s="308"/>
      <c r="E679" s="308"/>
      <c r="F679" s="308"/>
      <c r="H679" s="308"/>
    </row>
    <row r="680" spans="2:8">
      <c r="B680" s="309"/>
      <c r="C680" s="308"/>
      <c r="D680" s="308"/>
      <c r="E680" s="308"/>
      <c r="F680" s="308"/>
      <c r="H680" s="308"/>
    </row>
    <row r="681" spans="2:8">
      <c r="B681" s="309"/>
      <c r="C681" s="308"/>
      <c r="D681" s="308"/>
      <c r="E681" s="308"/>
      <c r="F681" s="308"/>
      <c r="H681" s="308"/>
    </row>
    <row r="682" spans="2:8">
      <c r="B682" s="309"/>
      <c r="C682" s="308"/>
      <c r="D682" s="308"/>
      <c r="E682" s="308"/>
      <c r="F682" s="308"/>
      <c r="H682" s="308"/>
    </row>
    <row r="683" spans="2:8">
      <c r="B683" s="309"/>
      <c r="C683" s="308"/>
      <c r="D683" s="308"/>
      <c r="E683" s="308"/>
      <c r="F683" s="308"/>
      <c r="H683" s="308"/>
    </row>
    <row r="684" spans="2:8">
      <c r="B684" s="309"/>
      <c r="C684" s="308"/>
      <c r="D684" s="308"/>
      <c r="E684" s="308"/>
      <c r="F684" s="308"/>
      <c r="H684" s="308"/>
    </row>
    <row r="685" spans="2:8">
      <c r="B685" s="309"/>
      <c r="C685" s="308"/>
      <c r="D685" s="308"/>
      <c r="E685" s="308"/>
      <c r="F685" s="308"/>
      <c r="H685" s="308"/>
    </row>
    <row r="686" spans="2:8">
      <c r="B686" s="309"/>
      <c r="C686" s="308"/>
      <c r="D686" s="308"/>
      <c r="E686" s="308"/>
      <c r="F686" s="308"/>
      <c r="H686" s="308"/>
    </row>
    <row r="687" spans="2:8">
      <c r="B687" s="309"/>
      <c r="C687" s="308"/>
      <c r="D687" s="308"/>
      <c r="E687" s="308"/>
      <c r="F687" s="308"/>
      <c r="H687" s="308"/>
    </row>
    <row r="688" spans="2:8">
      <c r="B688" s="309"/>
      <c r="C688" s="308"/>
      <c r="D688" s="308"/>
      <c r="E688" s="308"/>
      <c r="F688" s="308"/>
      <c r="H688" s="308"/>
    </row>
    <row r="689" spans="2:8">
      <c r="B689" s="309"/>
      <c r="C689" s="308"/>
      <c r="D689" s="308"/>
      <c r="E689" s="308"/>
      <c r="F689" s="308"/>
      <c r="H689" s="308"/>
    </row>
    <row r="690" spans="2:8">
      <c r="B690" s="309"/>
      <c r="C690" s="308"/>
      <c r="D690" s="308"/>
      <c r="E690" s="308"/>
      <c r="F690" s="308"/>
      <c r="H690" s="308"/>
    </row>
    <row r="691" spans="2:8">
      <c r="B691" s="309"/>
      <c r="C691" s="308"/>
      <c r="D691" s="308"/>
      <c r="E691" s="308"/>
      <c r="F691" s="308"/>
      <c r="H691" s="308"/>
    </row>
    <row r="692" spans="2:8">
      <c r="B692" s="309"/>
      <c r="C692" s="308"/>
      <c r="D692" s="308"/>
      <c r="E692" s="308"/>
      <c r="F692" s="308"/>
      <c r="H692" s="308"/>
    </row>
    <row r="693" spans="2:8">
      <c r="B693" s="309"/>
      <c r="C693" s="308"/>
      <c r="D693" s="308"/>
      <c r="E693" s="308"/>
      <c r="F693" s="308"/>
      <c r="H693" s="308"/>
    </row>
    <row r="694" spans="2:8">
      <c r="B694" s="309"/>
      <c r="C694" s="308"/>
      <c r="D694" s="308"/>
      <c r="E694" s="308"/>
      <c r="F694" s="308"/>
      <c r="H694" s="308"/>
    </row>
    <row r="695" spans="2:8">
      <c r="B695" s="309"/>
      <c r="C695" s="308"/>
      <c r="D695" s="308"/>
      <c r="E695" s="308"/>
      <c r="F695" s="308"/>
      <c r="H695" s="308"/>
    </row>
    <row r="696" spans="2:8">
      <c r="B696" s="309"/>
      <c r="C696" s="308"/>
      <c r="D696" s="308"/>
      <c r="E696" s="308"/>
      <c r="F696" s="308"/>
      <c r="H696" s="308"/>
    </row>
    <row r="697" spans="2:8">
      <c r="B697" s="309"/>
      <c r="C697" s="308"/>
      <c r="D697" s="308"/>
      <c r="E697" s="308"/>
      <c r="F697" s="308"/>
      <c r="H697" s="308"/>
    </row>
    <row r="698" spans="2:8">
      <c r="B698" s="309"/>
      <c r="C698" s="308"/>
      <c r="D698" s="308"/>
      <c r="E698" s="308"/>
      <c r="F698" s="308"/>
      <c r="H698" s="308"/>
    </row>
    <row r="699" spans="2:8">
      <c r="B699" s="309"/>
      <c r="C699" s="308"/>
      <c r="D699" s="308"/>
      <c r="E699" s="308"/>
      <c r="F699" s="308"/>
      <c r="H699" s="308"/>
    </row>
    <row r="700" spans="2:8">
      <c r="B700" s="309"/>
      <c r="C700" s="308"/>
      <c r="D700" s="308"/>
      <c r="E700" s="308"/>
      <c r="F700" s="308"/>
      <c r="H700" s="308"/>
    </row>
    <row r="701" spans="2:8">
      <c r="B701" s="309"/>
      <c r="C701" s="308"/>
      <c r="D701" s="308"/>
      <c r="E701" s="308"/>
      <c r="F701" s="308"/>
      <c r="H701" s="308"/>
    </row>
    <row r="702" spans="2:8">
      <c r="B702" s="309"/>
      <c r="C702" s="308"/>
      <c r="D702" s="308"/>
      <c r="E702" s="308"/>
      <c r="F702" s="308"/>
      <c r="H702" s="308"/>
    </row>
    <row r="703" spans="2:8">
      <c r="B703" s="309"/>
      <c r="C703" s="308"/>
      <c r="D703" s="308"/>
      <c r="E703" s="308"/>
      <c r="F703" s="308"/>
      <c r="H703" s="308"/>
    </row>
    <row r="704" spans="2:8">
      <c r="B704" s="309"/>
      <c r="C704" s="308"/>
      <c r="D704" s="308"/>
      <c r="E704" s="308"/>
      <c r="F704" s="308"/>
      <c r="H704" s="308"/>
    </row>
    <row r="705" spans="2:8">
      <c r="B705" s="309"/>
      <c r="C705" s="308"/>
      <c r="D705" s="308"/>
      <c r="E705" s="308"/>
      <c r="F705" s="308"/>
      <c r="H705" s="308"/>
    </row>
    <row r="706" spans="2:8">
      <c r="B706" s="309"/>
      <c r="C706" s="308"/>
      <c r="D706" s="308"/>
      <c r="E706" s="308"/>
      <c r="F706" s="308"/>
      <c r="H706" s="308"/>
    </row>
    <row r="707" spans="2:8">
      <c r="B707" s="309"/>
      <c r="C707" s="308"/>
      <c r="D707" s="308"/>
      <c r="E707" s="308"/>
      <c r="F707" s="308"/>
      <c r="H707" s="308"/>
    </row>
    <row r="708" spans="2:8">
      <c r="B708" s="309"/>
      <c r="C708" s="308"/>
      <c r="D708" s="308"/>
      <c r="E708" s="308"/>
      <c r="F708" s="308"/>
      <c r="H708" s="308"/>
    </row>
    <row r="709" spans="2:8">
      <c r="B709" s="309"/>
      <c r="C709" s="308"/>
      <c r="D709" s="308"/>
      <c r="E709" s="308"/>
      <c r="F709" s="308"/>
      <c r="H709" s="308"/>
    </row>
    <row r="710" spans="2:8">
      <c r="B710" s="309"/>
      <c r="C710" s="308"/>
      <c r="D710" s="308"/>
      <c r="E710" s="308"/>
      <c r="F710" s="308"/>
      <c r="H710" s="308"/>
    </row>
    <row r="711" spans="2:8">
      <c r="B711" s="309"/>
      <c r="C711" s="308"/>
      <c r="D711" s="308"/>
      <c r="E711" s="308"/>
      <c r="F711" s="308"/>
      <c r="H711" s="308"/>
    </row>
    <row r="712" spans="2:8">
      <c r="B712" s="309"/>
      <c r="C712" s="308"/>
      <c r="D712" s="308"/>
      <c r="E712" s="308"/>
      <c r="F712" s="308"/>
      <c r="H712" s="308"/>
    </row>
    <row r="713" spans="2:8">
      <c r="B713" s="309"/>
      <c r="C713" s="308"/>
      <c r="D713" s="308"/>
      <c r="E713" s="308"/>
      <c r="F713" s="308"/>
      <c r="H713" s="308"/>
    </row>
    <row r="714" spans="2:8">
      <c r="B714" s="309"/>
      <c r="C714" s="308"/>
      <c r="D714" s="308"/>
      <c r="E714" s="308"/>
      <c r="F714" s="308"/>
      <c r="H714" s="308"/>
    </row>
    <row r="715" spans="2:8">
      <c r="B715" s="309"/>
      <c r="C715" s="308"/>
      <c r="D715" s="308"/>
      <c r="E715" s="308"/>
      <c r="F715" s="308"/>
      <c r="H715" s="308"/>
    </row>
    <row r="716" spans="2:8">
      <c r="B716" s="309"/>
      <c r="C716" s="308"/>
      <c r="D716" s="308"/>
      <c r="E716" s="308"/>
      <c r="F716" s="308"/>
      <c r="H716" s="308"/>
    </row>
    <row r="717" spans="2:8">
      <c r="B717" s="309"/>
      <c r="C717" s="308"/>
      <c r="D717" s="308"/>
      <c r="E717" s="308"/>
      <c r="F717" s="308"/>
      <c r="H717" s="308"/>
    </row>
    <row r="718" spans="2:8">
      <c r="B718" s="309"/>
      <c r="C718" s="308"/>
      <c r="D718" s="308"/>
      <c r="E718" s="308"/>
      <c r="F718" s="308"/>
      <c r="H718" s="308"/>
    </row>
    <row r="719" spans="2:8">
      <c r="B719" s="309"/>
      <c r="C719" s="308"/>
      <c r="D719" s="308"/>
      <c r="E719" s="308"/>
      <c r="F719" s="308"/>
      <c r="H719" s="308"/>
    </row>
    <row r="720" spans="2:8">
      <c r="B720" s="309"/>
      <c r="C720" s="308"/>
      <c r="D720" s="308"/>
      <c r="E720" s="308"/>
      <c r="F720" s="308"/>
      <c r="H720" s="308"/>
    </row>
    <row r="721" spans="2:8">
      <c r="B721" s="309"/>
      <c r="C721" s="308"/>
      <c r="D721" s="308"/>
      <c r="E721" s="308"/>
      <c r="F721" s="308"/>
      <c r="H721" s="308"/>
    </row>
    <row r="722" spans="2:8">
      <c r="B722" s="309"/>
      <c r="C722" s="308"/>
      <c r="D722" s="308"/>
      <c r="E722" s="308"/>
      <c r="F722" s="308"/>
      <c r="H722" s="308"/>
    </row>
    <row r="723" spans="2:8">
      <c r="B723" s="309"/>
      <c r="C723" s="308"/>
      <c r="D723" s="308"/>
      <c r="E723" s="308"/>
      <c r="F723" s="308"/>
      <c r="H723" s="308"/>
    </row>
    <row r="724" spans="2:8">
      <c r="B724" s="309"/>
      <c r="C724" s="308"/>
      <c r="D724" s="308"/>
      <c r="E724" s="308"/>
      <c r="F724" s="308"/>
      <c r="H724" s="308"/>
    </row>
    <row r="725" spans="2:8">
      <c r="B725" s="309"/>
      <c r="C725" s="308"/>
      <c r="D725" s="308"/>
      <c r="E725" s="308"/>
      <c r="F725" s="308"/>
      <c r="H725" s="308"/>
    </row>
    <row r="726" spans="2:8">
      <c r="B726" s="309"/>
      <c r="C726" s="308"/>
      <c r="D726" s="308"/>
      <c r="E726" s="308"/>
      <c r="F726" s="308"/>
      <c r="H726" s="308"/>
    </row>
    <row r="727" spans="2:8">
      <c r="B727" s="309"/>
      <c r="C727" s="308"/>
      <c r="D727" s="308"/>
      <c r="E727" s="308"/>
      <c r="F727" s="308"/>
      <c r="H727" s="308"/>
    </row>
    <row r="728" spans="2:8">
      <c r="B728" s="309"/>
      <c r="C728" s="308"/>
      <c r="D728" s="308"/>
      <c r="E728" s="308"/>
      <c r="F728" s="308"/>
      <c r="H728" s="308"/>
    </row>
    <row r="729" spans="2:8">
      <c r="B729" s="309"/>
      <c r="C729" s="308"/>
      <c r="D729" s="308"/>
      <c r="E729" s="308"/>
      <c r="F729" s="308"/>
      <c r="H729" s="308"/>
    </row>
    <row r="730" spans="2:8">
      <c r="B730" s="309"/>
      <c r="C730" s="308"/>
      <c r="D730" s="308"/>
      <c r="E730" s="308"/>
      <c r="F730" s="308"/>
      <c r="H730" s="308"/>
    </row>
    <row r="731" spans="2:8">
      <c r="B731" s="309"/>
      <c r="C731" s="308"/>
      <c r="D731" s="308"/>
      <c r="E731" s="308"/>
      <c r="F731" s="308"/>
      <c r="H731" s="308"/>
    </row>
    <row r="732" spans="2:8">
      <c r="B732" s="309"/>
      <c r="C732" s="308"/>
      <c r="D732" s="308"/>
      <c r="E732" s="308"/>
      <c r="F732" s="308"/>
      <c r="H732" s="308"/>
    </row>
    <row r="733" spans="2:8">
      <c r="B733" s="309"/>
      <c r="C733" s="308"/>
      <c r="D733" s="308"/>
      <c r="E733" s="308"/>
      <c r="F733" s="308"/>
      <c r="H733" s="308"/>
    </row>
    <row r="734" spans="2:8">
      <c r="B734" s="309"/>
      <c r="C734" s="308"/>
      <c r="D734" s="308"/>
      <c r="E734" s="308"/>
      <c r="F734" s="308"/>
      <c r="H734" s="308"/>
    </row>
    <row r="735" spans="2:8">
      <c r="B735" s="309"/>
      <c r="C735" s="308"/>
      <c r="D735" s="308"/>
      <c r="E735" s="308"/>
      <c r="F735" s="308"/>
      <c r="H735" s="308"/>
    </row>
    <row r="736" spans="2:8">
      <c r="B736" s="309"/>
      <c r="C736" s="308"/>
      <c r="D736" s="308"/>
      <c r="E736" s="308"/>
      <c r="F736" s="308"/>
      <c r="H736" s="308"/>
    </row>
    <row r="737" spans="2:8">
      <c r="B737" s="309"/>
      <c r="C737" s="308"/>
      <c r="D737" s="308"/>
      <c r="E737" s="308"/>
      <c r="F737" s="308"/>
      <c r="H737" s="308"/>
    </row>
    <row r="738" spans="2:8">
      <c r="B738" s="309"/>
      <c r="C738" s="308"/>
      <c r="D738" s="308"/>
      <c r="E738" s="308"/>
      <c r="F738" s="308"/>
      <c r="H738" s="308"/>
    </row>
    <row r="739" spans="2:8">
      <c r="B739" s="309"/>
      <c r="C739" s="308"/>
      <c r="D739" s="308"/>
      <c r="E739" s="308"/>
      <c r="F739" s="308"/>
      <c r="H739" s="308"/>
    </row>
    <row r="740" spans="2:8">
      <c r="B740" s="309"/>
      <c r="C740" s="308"/>
      <c r="D740" s="308"/>
      <c r="E740" s="308"/>
      <c r="F740" s="308"/>
      <c r="H740" s="308"/>
    </row>
    <row r="741" spans="2:8">
      <c r="B741" s="309"/>
      <c r="C741" s="308"/>
      <c r="D741" s="308"/>
      <c r="E741" s="308"/>
      <c r="F741" s="308"/>
      <c r="H741" s="308"/>
    </row>
    <row r="742" spans="2:8">
      <c r="B742" s="309"/>
      <c r="C742" s="308"/>
      <c r="D742" s="308"/>
      <c r="E742" s="308"/>
      <c r="F742" s="308"/>
      <c r="H742" s="308"/>
    </row>
    <row r="743" spans="2:8">
      <c r="B743" s="309"/>
      <c r="C743" s="308"/>
      <c r="D743" s="308"/>
      <c r="E743" s="308"/>
      <c r="F743" s="308"/>
      <c r="H743" s="308"/>
    </row>
    <row r="744" spans="2:8">
      <c r="B744" s="309"/>
      <c r="C744" s="308"/>
      <c r="D744" s="308"/>
      <c r="E744" s="308"/>
      <c r="F744" s="308"/>
      <c r="H744" s="308"/>
    </row>
    <row r="745" spans="2:8">
      <c r="B745" s="309"/>
      <c r="C745" s="308"/>
      <c r="D745" s="308"/>
      <c r="E745" s="308"/>
      <c r="F745" s="308"/>
      <c r="H745" s="308"/>
    </row>
    <row r="746" spans="2:8">
      <c r="B746" s="309"/>
      <c r="C746" s="308"/>
      <c r="D746" s="308"/>
      <c r="E746" s="308"/>
      <c r="F746" s="308"/>
      <c r="H746" s="308"/>
    </row>
    <row r="747" spans="2:8">
      <c r="B747" s="309"/>
      <c r="C747" s="308"/>
      <c r="D747" s="308"/>
      <c r="E747" s="308"/>
      <c r="F747" s="308"/>
      <c r="H747" s="308"/>
    </row>
    <row r="748" spans="2:8">
      <c r="B748" s="309"/>
      <c r="C748" s="308"/>
      <c r="D748" s="308"/>
      <c r="E748" s="308"/>
      <c r="F748" s="308"/>
      <c r="H748" s="308"/>
    </row>
    <row r="749" spans="2:8">
      <c r="B749" s="309"/>
      <c r="C749" s="308"/>
      <c r="D749" s="308"/>
      <c r="E749" s="308"/>
      <c r="F749" s="308"/>
      <c r="H749" s="308"/>
    </row>
    <row r="750" spans="2:8">
      <c r="B750" s="309"/>
      <c r="C750" s="308"/>
      <c r="D750" s="308"/>
      <c r="E750" s="308"/>
      <c r="F750" s="308"/>
      <c r="H750" s="308"/>
    </row>
    <row r="751" spans="2:8">
      <c r="B751" s="309"/>
      <c r="C751" s="308"/>
      <c r="D751" s="308"/>
      <c r="E751" s="308"/>
      <c r="F751" s="308"/>
      <c r="H751" s="308"/>
    </row>
    <row r="752" spans="2:8">
      <c r="B752" s="309"/>
      <c r="C752" s="308"/>
      <c r="D752" s="308"/>
      <c r="E752" s="308"/>
      <c r="F752" s="308"/>
      <c r="H752" s="308"/>
    </row>
    <row r="753" spans="2:8">
      <c r="B753" s="309"/>
      <c r="C753" s="308"/>
      <c r="D753" s="308"/>
      <c r="E753" s="308"/>
      <c r="F753" s="308"/>
      <c r="H753" s="308"/>
    </row>
    <row r="754" spans="2:8">
      <c r="B754" s="309"/>
      <c r="C754" s="308"/>
      <c r="D754" s="308"/>
      <c r="E754" s="308"/>
      <c r="F754" s="308"/>
      <c r="H754" s="308"/>
    </row>
    <row r="755" spans="2:8">
      <c r="B755" s="309"/>
      <c r="C755" s="308"/>
      <c r="D755" s="308"/>
      <c r="E755" s="308"/>
      <c r="F755" s="308"/>
      <c r="H755" s="308"/>
    </row>
    <row r="756" spans="2:8">
      <c r="B756" s="309"/>
      <c r="C756" s="308"/>
      <c r="D756" s="308"/>
      <c r="E756" s="308"/>
      <c r="F756" s="308"/>
      <c r="H756" s="308"/>
    </row>
    <row r="757" spans="2:8">
      <c r="B757" s="309"/>
      <c r="C757" s="308"/>
      <c r="D757" s="308"/>
      <c r="E757" s="308"/>
      <c r="F757" s="308"/>
      <c r="H757" s="308"/>
    </row>
    <row r="758" spans="2:8">
      <c r="B758" s="309"/>
      <c r="C758" s="308"/>
      <c r="D758" s="308"/>
      <c r="E758" s="308"/>
      <c r="F758" s="308"/>
      <c r="H758" s="308"/>
    </row>
    <row r="759" spans="2:8">
      <c r="B759" s="309"/>
      <c r="C759" s="308"/>
      <c r="D759" s="308"/>
      <c r="E759" s="308"/>
      <c r="F759" s="308"/>
      <c r="H759" s="308"/>
    </row>
    <row r="760" spans="2:8">
      <c r="B760" s="309"/>
      <c r="C760" s="308"/>
      <c r="D760" s="308"/>
      <c r="E760" s="308"/>
      <c r="F760" s="308"/>
      <c r="H760" s="308"/>
    </row>
    <row r="761" spans="2:8">
      <c r="B761" s="309"/>
      <c r="C761" s="308"/>
      <c r="D761" s="308"/>
      <c r="E761" s="308"/>
      <c r="F761" s="308"/>
      <c r="H761" s="308"/>
    </row>
    <row r="762" spans="2:8">
      <c r="B762" s="309"/>
      <c r="C762" s="308"/>
      <c r="D762" s="308"/>
      <c r="E762" s="308"/>
      <c r="F762" s="308"/>
      <c r="H762" s="308"/>
    </row>
    <row r="763" spans="2:8">
      <c r="B763" s="309"/>
      <c r="C763" s="308"/>
      <c r="D763" s="308"/>
      <c r="E763" s="308"/>
      <c r="F763" s="308"/>
      <c r="H763" s="308"/>
    </row>
    <row r="764" spans="2:8">
      <c r="B764" s="309"/>
      <c r="C764" s="308"/>
      <c r="D764" s="308"/>
      <c r="E764" s="308"/>
      <c r="F764" s="308"/>
      <c r="H764" s="308"/>
    </row>
    <row r="765" spans="2:8">
      <c r="B765" s="309"/>
      <c r="C765" s="308"/>
      <c r="D765" s="308"/>
      <c r="E765" s="308"/>
      <c r="F765" s="308"/>
      <c r="H765" s="308"/>
    </row>
    <row r="766" spans="2:8">
      <c r="B766" s="309"/>
      <c r="C766" s="308"/>
      <c r="D766" s="308"/>
      <c r="E766" s="308"/>
      <c r="F766" s="308"/>
      <c r="H766" s="308"/>
    </row>
    <row r="767" spans="2:8">
      <c r="B767" s="309"/>
      <c r="C767" s="308"/>
      <c r="D767" s="308"/>
      <c r="E767" s="308"/>
      <c r="F767" s="308"/>
      <c r="H767" s="308"/>
    </row>
    <row r="768" spans="2:8">
      <c r="B768" s="309"/>
      <c r="C768" s="308"/>
      <c r="D768" s="308"/>
      <c r="E768" s="308"/>
      <c r="F768" s="308"/>
      <c r="H768" s="308"/>
    </row>
    <row r="769" spans="2:8">
      <c r="B769" s="309"/>
      <c r="C769" s="308"/>
      <c r="D769" s="308"/>
      <c r="E769" s="308"/>
      <c r="F769" s="308"/>
      <c r="H769" s="308"/>
    </row>
    <row r="770" spans="2:8">
      <c r="B770" s="309"/>
      <c r="C770" s="308"/>
      <c r="D770" s="308"/>
      <c r="E770" s="308"/>
      <c r="F770" s="308"/>
      <c r="H770" s="308"/>
    </row>
    <row r="771" spans="2:8">
      <c r="B771" s="309"/>
      <c r="C771" s="308"/>
      <c r="D771" s="308"/>
      <c r="E771" s="308"/>
      <c r="F771" s="308"/>
      <c r="H771" s="308"/>
    </row>
    <row r="772" spans="2:8">
      <c r="B772" s="309"/>
      <c r="C772" s="308"/>
      <c r="D772" s="308"/>
      <c r="E772" s="308"/>
      <c r="F772" s="308"/>
      <c r="H772" s="308"/>
    </row>
    <row r="773" spans="2:8">
      <c r="B773" s="309"/>
      <c r="C773" s="308"/>
      <c r="D773" s="308"/>
      <c r="E773" s="308"/>
      <c r="F773" s="308"/>
      <c r="H773" s="308"/>
    </row>
    <row r="774" spans="2:8">
      <c r="B774" s="309"/>
      <c r="C774" s="308"/>
      <c r="D774" s="308"/>
      <c r="E774" s="308"/>
      <c r="F774" s="308"/>
      <c r="H774" s="308"/>
    </row>
    <row r="775" spans="2:8">
      <c r="B775" s="309"/>
      <c r="C775" s="308"/>
      <c r="D775" s="308"/>
      <c r="E775" s="308"/>
      <c r="F775" s="308"/>
      <c r="H775" s="308"/>
    </row>
    <row r="776" spans="2:8">
      <c r="B776" s="309"/>
      <c r="C776" s="308"/>
      <c r="D776" s="308"/>
      <c r="E776" s="308"/>
      <c r="F776" s="308"/>
      <c r="H776" s="308"/>
    </row>
    <row r="777" spans="2:8">
      <c r="B777" s="309"/>
      <c r="C777" s="308"/>
      <c r="D777" s="308"/>
      <c r="E777" s="308"/>
      <c r="F777" s="308"/>
      <c r="H777" s="308"/>
    </row>
    <row r="778" spans="2:8">
      <c r="B778" s="309"/>
      <c r="C778" s="308"/>
      <c r="D778" s="308"/>
      <c r="E778" s="308"/>
      <c r="F778" s="308"/>
      <c r="H778" s="308"/>
    </row>
    <row r="779" spans="2:8">
      <c r="B779" s="309"/>
      <c r="C779" s="308"/>
      <c r="D779" s="308"/>
      <c r="E779" s="308"/>
      <c r="F779" s="308"/>
      <c r="H779" s="308"/>
    </row>
    <row r="780" spans="2:8">
      <c r="B780" s="309"/>
      <c r="C780" s="308"/>
      <c r="D780" s="308"/>
      <c r="E780" s="308"/>
      <c r="F780" s="308"/>
      <c r="H780" s="308"/>
    </row>
    <row r="781" spans="2:8">
      <c r="B781" s="309"/>
      <c r="C781" s="308"/>
      <c r="D781" s="308"/>
      <c r="E781" s="308"/>
      <c r="F781" s="308"/>
      <c r="H781" s="308"/>
    </row>
    <row r="782" spans="2:8">
      <c r="B782" s="309"/>
      <c r="C782" s="308"/>
      <c r="D782" s="308"/>
      <c r="E782" s="308"/>
      <c r="F782" s="308"/>
      <c r="H782" s="308"/>
    </row>
    <row r="783" spans="2:8">
      <c r="B783" s="309"/>
      <c r="C783" s="308"/>
      <c r="D783" s="308"/>
      <c r="E783" s="308"/>
      <c r="F783" s="308"/>
      <c r="H783" s="308"/>
    </row>
    <row r="784" spans="2:8">
      <c r="B784" s="309"/>
      <c r="C784" s="308"/>
      <c r="D784" s="308"/>
      <c r="E784" s="308"/>
      <c r="F784" s="308"/>
      <c r="H784" s="308"/>
    </row>
    <row r="785" spans="2:8">
      <c r="B785" s="309"/>
      <c r="C785" s="308"/>
      <c r="D785" s="308"/>
      <c r="E785" s="308"/>
      <c r="F785" s="308"/>
      <c r="H785" s="308"/>
    </row>
    <row r="786" spans="2:8">
      <c r="B786" s="309"/>
      <c r="C786" s="308"/>
      <c r="D786" s="308"/>
      <c r="E786" s="308"/>
      <c r="F786" s="308"/>
      <c r="H786" s="308"/>
    </row>
    <row r="787" spans="2:8">
      <c r="B787" s="309"/>
      <c r="C787" s="308"/>
      <c r="D787" s="308"/>
      <c r="E787" s="308"/>
      <c r="F787" s="308"/>
      <c r="H787" s="308"/>
    </row>
    <row r="788" spans="2:8">
      <c r="B788" s="309"/>
      <c r="C788" s="308"/>
      <c r="D788" s="308"/>
      <c r="E788" s="308"/>
      <c r="F788" s="308"/>
      <c r="H788" s="308"/>
    </row>
    <row r="789" spans="2:8">
      <c r="B789" s="309"/>
      <c r="C789" s="308"/>
      <c r="D789" s="308"/>
      <c r="E789" s="308"/>
      <c r="F789" s="308"/>
      <c r="H789" s="308"/>
    </row>
    <row r="790" spans="2:8">
      <c r="B790" s="309"/>
      <c r="C790" s="308"/>
      <c r="D790" s="308"/>
      <c r="E790" s="308"/>
      <c r="F790" s="308"/>
      <c r="H790" s="308"/>
    </row>
    <row r="791" spans="2:8">
      <c r="B791" s="309"/>
      <c r="C791" s="308"/>
      <c r="D791" s="308"/>
      <c r="E791" s="308"/>
      <c r="F791" s="308"/>
      <c r="H791" s="308"/>
    </row>
    <row r="792" spans="2:8">
      <c r="B792" s="309"/>
      <c r="C792" s="308"/>
      <c r="D792" s="308"/>
      <c r="E792" s="308"/>
      <c r="F792" s="308"/>
      <c r="H792" s="308"/>
    </row>
    <row r="793" spans="2:8">
      <c r="B793" s="309"/>
      <c r="C793" s="308"/>
      <c r="D793" s="308"/>
      <c r="E793" s="308"/>
      <c r="F793" s="308"/>
      <c r="H793" s="308"/>
    </row>
    <row r="794" spans="2:8">
      <c r="B794" s="309"/>
      <c r="C794" s="308"/>
      <c r="D794" s="308"/>
      <c r="E794" s="308"/>
      <c r="F794" s="308"/>
      <c r="H794" s="308"/>
    </row>
    <row r="795" spans="2:8">
      <c r="B795" s="309"/>
      <c r="C795" s="308"/>
      <c r="D795" s="308"/>
      <c r="E795" s="308"/>
      <c r="F795" s="308"/>
      <c r="H795" s="308"/>
    </row>
    <row r="796" spans="2:8">
      <c r="B796" s="309"/>
      <c r="C796" s="308"/>
      <c r="D796" s="308"/>
      <c r="E796" s="308"/>
      <c r="F796" s="308"/>
      <c r="H796" s="308"/>
    </row>
    <row r="797" spans="2:8">
      <c r="B797" s="309"/>
      <c r="C797" s="308"/>
      <c r="D797" s="308"/>
      <c r="E797" s="308"/>
      <c r="F797" s="308"/>
      <c r="H797" s="308"/>
    </row>
    <row r="798" spans="2:8">
      <c r="B798" s="309"/>
      <c r="C798" s="308"/>
      <c r="D798" s="308"/>
      <c r="E798" s="308"/>
      <c r="F798" s="308"/>
      <c r="H798" s="308"/>
    </row>
    <row r="799" spans="2:8">
      <c r="B799" s="309"/>
      <c r="C799" s="308"/>
      <c r="D799" s="308"/>
      <c r="E799" s="308"/>
      <c r="F799" s="308"/>
      <c r="H799" s="308"/>
    </row>
    <row r="800" spans="2:8">
      <c r="B800" s="309"/>
      <c r="C800" s="308"/>
      <c r="D800" s="308"/>
      <c r="E800" s="308"/>
      <c r="F800" s="308"/>
      <c r="H800" s="308"/>
    </row>
    <row r="801" spans="2:8">
      <c r="B801" s="309"/>
      <c r="C801" s="308"/>
      <c r="D801" s="308"/>
      <c r="E801" s="308"/>
      <c r="F801" s="308"/>
      <c r="H801" s="308"/>
    </row>
    <row r="802" spans="2:8">
      <c r="B802" s="309"/>
      <c r="C802" s="308"/>
      <c r="D802" s="308"/>
      <c r="E802" s="308"/>
      <c r="F802" s="308"/>
      <c r="H802" s="308"/>
    </row>
    <row r="803" spans="2:8">
      <c r="B803" s="309"/>
      <c r="C803" s="308"/>
      <c r="D803" s="308"/>
      <c r="E803" s="308"/>
      <c r="F803" s="308"/>
      <c r="H803" s="308"/>
    </row>
    <row r="804" spans="2:8">
      <c r="B804" s="309"/>
      <c r="C804" s="308"/>
      <c r="D804" s="308"/>
      <c r="E804" s="308"/>
      <c r="F804" s="308"/>
      <c r="H804" s="308"/>
    </row>
    <row r="805" spans="2:8">
      <c r="B805" s="309"/>
      <c r="C805" s="308"/>
      <c r="D805" s="308"/>
      <c r="E805" s="308"/>
      <c r="F805" s="308"/>
      <c r="H805" s="308"/>
    </row>
    <row r="806" spans="2:8">
      <c r="B806" s="309"/>
      <c r="C806" s="308"/>
      <c r="D806" s="308"/>
      <c r="E806" s="308"/>
      <c r="F806" s="308"/>
      <c r="H806" s="308"/>
    </row>
    <row r="807" spans="2:8">
      <c r="B807" s="309"/>
      <c r="C807" s="308"/>
      <c r="D807" s="308"/>
      <c r="E807" s="308"/>
      <c r="F807" s="308"/>
      <c r="H807" s="308"/>
    </row>
    <row r="808" spans="2:8">
      <c r="B808" s="309"/>
      <c r="C808" s="308"/>
      <c r="D808" s="308"/>
      <c r="E808" s="308"/>
      <c r="F808" s="308"/>
      <c r="H808" s="308"/>
    </row>
    <row r="809" spans="2:8">
      <c r="B809" s="309"/>
      <c r="C809" s="308"/>
      <c r="D809" s="308"/>
      <c r="E809" s="308"/>
      <c r="F809" s="308"/>
      <c r="H809" s="308"/>
    </row>
    <row r="810" spans="2:8">
      <c r="B810" s="309"/>
      <c r="C810" s="308"/>
      <c r="D810" s="308"/>
      <c r="E810" s="308"/>
      <c r="F810" s="308"/>
      <c r="H810" s="308"/>
    </row>
    <row r="811" spans="2:8">
      <c r="B811" s="309"/>
      <c r="C811" s="308"/>
      <c r="D811" s="308"/>
      <c r="E811" s="308"/>
      <c r="F811" s="308"/>
      <c r="H811" s="308"/>
    </row>
    <row r="812" spans="2:8">
      <c r="B812" s="309"/>
      <c r="C812" s="308"/>
      <c r="D812" s="308"/>
      <c r="E812" s="308"/>
      <c r="F812" s="308"/>
      <c r="H812" s="308"/>
    </row>
    <row r="813" spans="2:8">
      <c r="B813" s="309"/>
      <c r="C813" s="308"/>
      <c r="D813" s="308"/>
      <c r="E813" s="308"/>
      <c r="F813" s="308"/>
      <c r="H813" s="308"/>
    </row>
    <row r="814" spans="2:8">
      <c r="B814" s="309"/>
      <c r="C814" s="308"/>
      <c r="D814" s="308"/>
      <c r="E814" s="308"/>
      <c r="F814" s="308"/>
      <c r="H814" s="308"/>
    </row>
    <row r="815" spans="2:8">
      <c r="B815" s="309"/>
      <c r="C815" s="308"/>
      <c r="D815" s="308"/>
      <c r="E815" s="308"/>
      <c r="F815" s="308"/>
      <c r="H815" s="308"/>
    </row>
    <row r="816" spans="2:8">
      <c r="B816" s="309"/>
      <c r="C816" s="308"/>
      <c r="D816" s="308"/>
      <c r="E816" s="308"/>
      <c r="F816" s="308"/>
      <c r="H816" s="308"/>
    </row>
    <row r="817" spans="2:8">
      <c r="B817" s="309"/>
      <c r="C817" s="308"/>
      <c r="D817" s="308"/>
      <c r="E817" s="308"/>
      <c r="F817" s="308"/>
      <c r="H817" s="308"/>
    </row>
    <row r="818" spans="2:8">
      <c r="B818" s="309"/>
      <c r="C818" s="308"/>
      <c r="D818" s="308"/>
      <c r="E818" s="308"/>
      <c r="F818" s="308"/>
      <c r="H818" s="308"/>
    </row>
    <row r="819" spans="2:8">
      <c r="B819" s="309"/>
      <c r="C819" s="308"/>
      <c r="D819" s="308"/>
      <c r="E819" s="308"/>
      <c r="F819" s="308"/>
      <c r="H819" s="308"/>
    </row>
    <row r="820" spans="2:8">
      <c r="B820" s="309"/>
      <c r="C820" s="308"/>
      <c r="D820" s="308"/>
      <c r="E820" s="308"/>
      <c r="F820" s="308"/>
      <c r="H820" s="308"/>
    </row>
    <row r="821" spans="2:8">
      <c r="B821" s="309"/>
      <c r="C821" s="308"/>
      <c r="D821" s="308"/>
      <c r="E821" s="308"/>
      <c r="F821" s="308"/>
      <c r="H821" s="308"/>
    </row>
    <row r="822" spans="2:8">
      <c r="B822" s="309"/>
      <c r="C822" s="308"/>
      <c r="D822" s="308"/>
      <c r="E822" s="308"/>
      <c r="F822" s="308"/>
      <c r="H822" s="308"/>
    </row>
    <row r="823" spans="2:8">
      <c r="B823" s="309"/>
      <c r="C823" s="308"/>
      <c r="D823" s="308"/>
      <c r="E823" s="308"/>
      <c r="F823" s="308"/>
      <c r="H823" s="308"/>
    </row>
    <row r="824" spans="2:8">
      <c r="B824" s="309"/>
      <c r="C824" s="308"/>
      <c r="D824" s="308"/>
      <c r="E824" s="308"/>
      <c r="F824" s="308"/>
      <c r="H824" s="308"/>
    </row>
    <row r="825" spans="2:8">
      <c r="B825" s="309"/>
      <c r="C825" s="308"/>
      <c r="D825" s="308"/>
      <c r="E825" s="308"/>
      <c r="F825" s="308"/>
      <c r="H825" s="308"/>
    </row>
    <row r="826" spans="2:8">
      <c r="B826" s="309"/>
      <c r="C826" s="308"/>
      <c r="D826" s="308"/>
      <c r="E826" s="308"/>
      <c r="F826" s="308"/>
      <c r="H826" s="308"/>
    </row>
    <row r="827" spans="2:8">
      <c r="B827" s="309"/>
      <c r="C827" s="308"/>
      <c r="D827" s="308"/>
      <c r="E827" s="308"/>
      <c r="F827" s="308"/>
      <c r="H827" s="308"/>
    </row>
    <row r="828" spans="2:8">
      <c r="B828" s="309"/>
      <c r="C828" s="308"/>
      <c r="D828" s="308"/>
      <c r="E828" s="308"/>
      <c r="F828" s="308"/>
      <c r="H828" s="308"/>
    </row>
    <row r="829" spans="2:8">
      <c r="B829" s="309"/>
      <c r="C829" s="308"/>
      <c r="D829" s="308"/>
      <c r="E829" s="308"/>
      <c r="F829" s="308"/>
      <c r="H829" s="308"/>
    </row>
    <row r="830" spans="2:8">
      <c r="B830" s="309"/>
      <c r="C830" s="308"/>
      <c r="D830" s="308"/>
      <c r="E830" s="308"/>
      <c r="F830" s="308"/>
      <c r="H830" s="308"/>
    </row>
    <row r="831" spans="2:8">
      <c r="B831" s="309"/>
      <c r="C831" s="308"/>
      <c r="D831" s="308"/>
      <c r="E831" s="308"/>
      <c r="F831" s="308"/>
      <c r="H831" s="308"/>
    </row>
    <row r="832" spans="2:8">
      <c r="B832" s="309"/>
      <c r="C832" s="308"/>
      <c r="D832" s="308"/>
      <c r="E832" s="308"/>
      <c r="F832" s="308"/>
      <c r="H832" s="308"/>
    </row>
    <row r="833" spans="2:8">
      <c r="B833" s="309"/>
      <c r="C833" s="308"/>
      <c r="D833" s="308"/>
      <c r="E833" s="308"/>
      <c r="F833" s="308"/>
      <c r="H833" s="308"/>
    </row>
    <row r="834" spans="2:8">
      <c r="B834" s="309"/>
      <c r="C834" s="308"/>
      <c r="D834" s="308"/>
      <c r="E834" s="308"/>
      <c r="F834" s="308"/>
      <c r="H834" s="308"/>
    </row>
    <row r="835" spans="2:8">
      <c r="B835" s="309"/>
      <c r="C835" s="308"/>
      <c r="D835" s="308"/>
      <c r="E835" s="308"/>
      <c r="F835" s="308"/>
      <c r="H835" s="308"/>
    </row>
    <row r="836" spans="2:8">
      <c r="B836" s="309"/>
      <c r="C836" s="308"/>
      <c r="D836" s="308"/>
      <c r="E836" s="308"/>
      <c r="F836" s="308"/>
      <c r="H836" s="308"/>
    </row>
    <row r="837" spans="2:8">
      <c r="B837" s="309"/>
      <c r="C837" s="308"/>
      <c r="D837" s="308"/>
      <c r="E837" s="308"/>
      <c r="F837" s="308"/>
      <c r="H837" s="308"/>
    </row>
    <row r="838" spans="2:8">
      <c r="B838" s="309"/>
      <c r="C838" s="308"/>
      <c r="D838" s="308"/>
      <c r="E838" s="308"/>
      <c r="F838" s="308"/>
      <c r="H838" s="308"/>
    </row>
    <row r="839" spans="2:8">
      <c r="B839" s="309"/>
      <c r="C839" s="308"/>
      <c r="D839" s="308"/>
      <c r="E839" s="308"/>
      <c r="F839" s="308"/>
      <c r="H839" s="308"/>
    </row>
    <row r="840" spans="2:8">
      <c r="B840" s="309"/>
      <c r="C840" s="308"/>
      <c r="D840" s="308"/>
      <c r="E840" s="308"/>
      <c r="F840" s="308"/>
      <c r="H840" s="308"/>
    </row>
    <row r="841" spans="2:8">
      <c r="B841" s="309"/>
      <c r="C841" s="308"/>
      <c r="D841" s="308"/>
      <c r="E841" s="308"/>
      <c r="F841" s="308"/>
      <c r="H841" s="308"/>
    </row>
    <row r="842" spans="2:8">
      <c r="B842" s="309"/>
      <c r="C842" s="308"/>
      <c r="D842" s="308"/>
      <c r="E842" s="308"/>
      <c r="F842" s="308"/>
      <c r="H842" s="308"/>
    </row>
    <row r="843" spans="2:8">
      <c r="B843" s="309"/>
      <c r="C843" s="308"/>
      <c r="D843" s="308"/>
      <c r="E843" s="308"/>
      <c r="F843" s="308"/>
      <c r="H843" s="308"/>
    </row>
    <row r="844" spans="2:8">
      <c r="B844" s="309"/>
      <c r="C844" s="308"/>
      <c r="D844" s="308"/>
      <c r="E844" s="308"/>
      <c r="F844" s="308"/>
      <c r="H844" s="308"/>
    </row>
    <row r="845" spans="2:8">
      <c r="B845" s="309"/>
      <c r="C845" s="308"/>
      <c r="D845" s="308"/>
      <c r="E845" s="308"/>
      <c r="F845" s="308"/>
      <c r="H845" s="308"/>
    </row>
    <row r="846" spans="2:8">
      <c r="B846" s="309"/>
      <c r="C846" s="308"/>
      <c r="D846" s="308"/>
      <c r="E846" s="308"/>
      <c r="F846" s="308"/>
      <c r="H846" s="308"/>
    </row>
    <row r="847" spans="2:8">
      <c r="B847" s="309"/>
      <c r="C847" s="308"/>
      <c r="D847" s="308"/>
      <c r="E847" s="308"/>
      <c r="F847" s="308"/>
      <c r="H847" s="308"/>
    </row>
    <row r="848" spans="2:8">
      <c r="B848" s="309"/>
      <c r="C848" s="308"/>
      <c r="D848" s="308"/>
      <c r="E848" s="308"/>
      <c r="F848" s="308"/>
      <c r="H848" s="308"/>
    </row>
    <row r="849" spans="2:8">
      <c r="B849" s="309"/>
      <c r="C849" s="308"/>
      <c r="D849" s="308"/>
      <c r="E849" s="308"/>
      <c r="F849" s="308"/>
      <c r="H849" s="308"/>
    </row>
    <row r="850" spans="2:8">
      <c r="B850" s="309"/>
      <c r="C850" s="308"/>
      <c r="D850" s="308"/>
      <c r="E850" s="308"/>
      <c r="F850" s="308"/>
      <c r="H850" s="308"/>
    </row>
    <row r="851" spans="2:8">
      <c r="B851" s="309"/>
      <c r="C851" s="308"/>
      <c r="D851" s="308"/>
      <c r="E851" s="308"/>
      <c r="F851" s="308"/>
      <c r="H851" s="308"/>
    </row>
    <row r="852" spans="2:8">
      <c r="B852" s="309"/>
      <c r="C852" s="308"/>
      <c r="D852" s="308"/>
      <c r="E852" s="308"/>
      <c r="F852" s="308"/>
      <c r="H852" s="308"/>
    </row>
    <row r="853" spans="2:8">
      <c r="B853" s="309"/>
      <c r="C853" s="308"/>
      <c r="D853" s="308"/>
      <c r="E853" s="308"/>
      <c r="F853" s="308"/>
      <c r="H853" s="308"/>
    </row>
    <row r="854" spans="2:8">
      <c r="B854" s="309"/>
      <c r="C854" s="308"/>
      <c r="D854" s="308"/>
      <c r="E854" s="308"/>
      <c r="F854" s="308"/>
      <c r="H854" s="308"/>
    </row>
    <row r="855" spans="2:8">
      <c r="B855" s="309"/>
      <c r="C855" s="308"/>
      <c r="D855" s="308"/>
      <c r="E855" s="308"/>
      <c r="F855" s="308"/>
      <c r="H855" s="308"/>
    </row>
    <row r="856" spans="2:8">
      <c r="B856" s="309"/>
      <c r="C856" s="308"/>
      <c r="D856" s="308"/>
      <c r="E856" s="308"/>
      <c r="F856" s="308"/>
      <c r="H856" s="308"/>
    </row>
    <row r="857" spans="2:8">
      <c r="B857" s="309"/>
      <c r="C857" s="308"/>
      <c r="D857" s="308"/>
      <c r="E857" s="308"/>
      <c r="F857" s="308"/>
      <c r="H857" s="308"/>
    </row>
    <row r="858" spans="2:8">
      <c r="B858" s="309"/>
      <c r="C858" s="308"/>
      <c r="D858" s="308"/>
      <c r="E858" s="308"/>
      <c r="F858" s="308"/>
      <c r="H858" s="308"/>
    </row>
    <row r="859" spans="2:8">
      <c r="B859" s="309"/>
      <c r="C859" s="308"/>
      <c r="D859" s="308"/>
      <c r="E859" s="308"/>
      <c r="F859" s="308"/>
      <c r="H859" s="308"/>
    </row>
    <row r="860" spans="2:8">
      <c r="B860" s="309"/>
      <c r="C860" s="308"/>
      <c r="D860" s="308"/>
      <c r="E860" s="308"/>
      <c r="F860" s="308"/>
      <c r="H860" s="308"/>
    </row>
    <row r="861" spans="2:8">
      <c r="B861" s="309"/>
      <c r="C861" s="308"/>
      <c r="D861" s="308"/>
      <c r="E861" s="308"/>
      <c r="F861" s="308"/>
      <c r="H861" s="308"/>
    </row>
    <row r="862" spans="2:8">
      <c r="B862" s="309"/>
      <c r="C862" s="308"/>
      <c r="D862" s="308"/>
      <c r="E862" s="308"/>
      <c r="F862" s="308"/>
      <c r="H862" s="308"/>
    </row>
    <row r="863" spans="2:8">
      <c r="B863" s="309"/>
      <c r="C863" s="308"/>
      <c r="D863" s="308"/>
      <c r="E863" s="308"/>
      <c r="F863" s="308"/>
      <c r="H863" s="308"/>
    </row>
    <row r="864" spans="2:8">
      <c r="B864" s="309"/>
      <c r="C864" s="308"/>
      <c r="D864" s="308"/>
      <c r="E864" s="308"/>
      <c r="F864" s="308"/>
      <c r="H864" s="308"/>
    </row>
    <row r="865" spans="2:8">
      <c r="B865" s="309"/>
      <c r="C865" s="308"/>
      <c r="D865" s="308"/>
      <c r="E865" s="308"/>
      <c r="F865" s="308"/>
      <c r="H865" s="308"/>
    </row>
    <row r="866" spans="2:8">
      <c r="B866" s="309"/>
      <c r="C866" s="308"/>
      <c r="D866" s="308"/>
      <c r="E866" s="308"/>
      <c r="F866" s="308"/>
      <c r="H866" s="308"/>
    </row>
    <row r="867" spans="2:8">
      <c r="B867" s="309"/>
      <c r="C867" s="308"/>
      <c r="D867" s="308"/>
      <c r="E867" s="308"/>
      <c r="F867" s="308"/>
      <c r="H867" s="308"/>
    </row>
    <row r="868" spans="2:8">
      <c r="B868" s="309"/>
      <c r="C868" s="308"/>
      <c r="D868" s="308"/>
      <c r="E868" s="308"/>
      <c r="F868" s="308"/>
      <c r="H868" s="308"/>
    </row>
    <row r="869" spans="2:8">
      <c r="B869" s="309"/>
      <c r="C869" s="308"/>
      <c r="D869" s="308"/>
      <c r="E869" s="308"/>
      <c r="F869" s="308"/>
      <c r="H869" s="308"/>
    </row>
    <row r="870" spans="2:8">
      <c r="B870" s="309"/>
      <c r="C870" s="308"/>
      <c r="D870" s="308"/>
      <c r="E870" s="308"/>
      <c r="F870" s="308"/>
      <c r="H870" s="308"/>
    </row>
    <row r="871" spans="2:8">
      <c r="B871" s="309"/>
      <c r="C871" s="308"/>
      <c r="D871" s="308"/>
      <c r="E871" s="308"/>
      <c r="F871" s="308"/>
      <c r="H871" s="308"/>
    </row>
    <row r="872" spans="2:8">
      <c r="B872" s="309"/>
      <c r="C872" s="308"/>
      <c r="D872" s="308"/>
      <c r="E872" s="308"/>
      <c r="F872" s="308"/>
      <c r="H872" s="308"/>
    </row>
    <row r="873" spans="2:8">
      <c r="B873" s="309"/>
      <c r="C873" s="308"/>
      <c r="D873" s="308"/>
      <c r="E873" s="308"/>
      <c r="F873" s="308"/>
      <c r="H873" s="308"/>
    </row>
    <row r="874" spans="2:8">
      <c r="B874" s="309"/>
      <c r="C874" s="308"/>
      <c r="D874" s="308"/>
      <c r="E874" s="308"/>
      <c r="F874" s="308"/>
      <c r="H874" s="308"/>
    </row>
    <row r="875" spans="2:8">
      <c r="B875" s="309"/>
      <c r="C875" s="308"/>
      <c r="D875" s="308"/>
      <c r="E875" s="308"/>
      <c r="F875" s="308"/>
      <c r="H875" s="308"/>
    </row>
    <row r="876" spans="2:8">
      <c r="B876" s="309"/>
      <c r="C876" s="308"/>
      <c r="D876" s="308"/>
      <c r="E876" s="308"/>
      <c r="F876" s="308"/>
      <c r="H876" s="308"/>
    </row>
    <row r="877" spans="2:8">
      <c r="B877" s="309"/>
      <c r="C877" s="308"/>
      <c r="D877" s="308"/>
      <c r="E877" s="308"/>
      <c r="F877" s="308"/>
      <c r="H877" s="308"/>
    </row>
    <row r="878" spans="2:8">
      <c r="B878" s="309"/>
      <c r="C878" s="308"/>
      <c r="D878" s="308"/>
      <c r="E878" s="308"/>
      <c r="F878" s="308"/>
      <c r="H878" s="308"/>
    </row>
    <row r="879" spans="2:8">
      <c r="B879" s="309"/>
      <c r="C879" s="308"/>
      <c r="D879" s="308"/>
      <c r="E879" s="308"/>
      <c r="F879" s="308"/>
      <c r="H879" s="308"/>
    </row>
    <row r="880" spans="2:8">
      <c r="B880" s="309"/>
      <c r="C880" s="308"/>
      <c r="D880" s="308"/>
      <c r="E880" s="308"/>
      <c r="F880" s="308"/>
      <c r="H880" s="308"/>
    </row>
    <row r="881" spans="2:8">
      <c r="B881" s="309"/>
      <c r="C881" s="308"/>
      <c r="D881" s="308"/>
      <c r="E881" s="308"/>
      <c r="F881" s="308"/>
      <c r="H881" s="308"/>
    </row>
    <row r="882" spans="2:8">
      <c r="B882" s="309"/>
      <c r="C882" s="308"/>
      <c r="D882" s="308"/>
      <c r="E882" s="308"/>
      <c r="F882" s="308"/>
      <c r="H882" s="308"/>
    </row>
    <row r="883" spans="2:8">
      <c r="B883" s="309"/>
      <c r="C883" s="308"/>
      <c r="D883" s="308"/>
      <c r="E883" s="308"/>
      <c r="F883" s="308"/>
      <c r="H883" s="308"/>
    </row>
    <row r="884" spans="2:8">
      <c r="B884" s="309"/>
      <c r="C884" s="308"/>
      <c r="D884" s="308"/>
      <c r="E884" s="308"/>
      <c r="F884" s="308"/>
      <c r="H884" s="308"/>
    </row>
    <row r="885" spans="2:8">
      <c r="B885" s="309"/>
      <c r="C885" s="308"/>
      <c r="D885" s="308"/>
      <c r="E885" s="308"/>
      <c r="F885" s="308"/>
      <c r="H885" s="308"/>
    </row>
    <row r="886" spans="2:8">
      <c r="B886" s="309"/>
      <c r="C886" s="308"/>
      <c r="D886" s="308"/>
      <c r="E886" s="308"/>
      <c r="F886" s="308"/>
      <c r="H886" s="308"/>
    </row>
    <row r="887" spans="2:8">
      <c r="B887" s="309"/>
      <c r="C887" s="308"/>
      <c r="D887" s="308"/>
      <c r="E887" s="308"/>
      <c r="F887" s="308"/>
      <c r="H887" s="308"/>
    </row>
    <row r="888" spans="2:8">
      <c r="B888" s="309"/>
      <c r="C888" s="308"/>
      <c r="D888" s="308"/>
      <c r="E888" s="308"/>
      <c r="F888" s="308"/>
      <c r="H888" s="308"/>
    </row>
    <row r="889" spans="2:8">
      <c r="B889" s="309"/>
      <c r="C889" s="308"/>
      <c r="D889" s="308"/>
      <c r="E889" s="308"/>
      <c r="F889" s="308"/>
      <c r="H889" s="308"/>
    </row>
    <row r="890" spans="2:8">
      <c r="B890" s="309"/>
      <c r="C890" s="308"/>
      <c r="D890" s="308"/>
      <c r="E890" s="308"/>
      <c r="F890" s="308"/>
      <c r="H890" s="308"/>
    </row>
    <row r="891" spans="2:8">
      <c r="B891" s="309"/>
      <c r="C891" s="308"/>
      <c r="D891" s="308"/>
      <c r="E891" s="308"/>
      <c r="F891" s="308"/>
      <c r="H891" s="308"/>
    </row>
    <row r="892" spans="2:8">
      <c r="B892" s="309"/>
      <c r="C892" s="308"/>
      <c r="D892" s="308"/>
      <c r="E892" s="308"/>
      <c r="F892" s="308"/>
      <c r="H892" s="308"/>
    </row>
    <row r="893" spans="2:8">
      <c r="B893" s="309"/>
      <c r="C893" s="308"/>
      <c r="D893" s="308"/>
      <c r="E893" s="308"/>
      <c r="F893" s="308"/>
      <c r="H893" s="308"/>
    </row>
    <row r="894" spans="2:8">
      <c r="B894" s="309"/>
      <c r="C894" s="308"/>
      <c r="D894" s="308"/>
      <c r="E894" s="308"/>
      <c r="F894" s="308"/>
      <c r="H894" s="308"/>
    </row>
    <row r="895" spans="2:8">
      <c r="B895" s="309"/>
      <c r="C895" s="308"/>
      <c r="D895" s="308"/>
      <c r="E895" s="308"/>
      <c r="F895" s="308"/>
      <c r="H895" s="308"/>
    </row>
    <row r="896" spans="2:8">
      <c r="B896" s="309"/>
      <c r="C896" s="308"/>
      <c r="D896" s="308"/>
      <c r="E896" s="308"/>
      <c r="F896" s="308"/>
      <c r="H896" s="308"/>
    </row>
    <row r="897" spans="2:8">
      <c r="B897" s="309"/>
      <c r="C897" s="308"/>
      <c r="D897" s="308"/>
      <c r="E897" s="308"/>
      <c r="F897" s="308"/>
      <c r="H897" s="308"/>
    </row>
    <row r="898" spans="2:8">
      <c r="B898" s="309"/>
      <c r="C898" s="308"/>
      <c r="D898" s="308"/>
      <c r="E898" s="308"/>
      <c r="F898" s="308"/>
      <c r="H898" s="308"/>
    </row>
    <row r="899" spans="2:8">
      <c r="B899" s="309"/>
      <c r="C899" s="308"/>
      <c r="D899" s="308"/>
      <c r="E899" s="308"/>
      <c r="F899" s="308"/>
      <c r="H899" s="308"/>
    </row>
    <row r="900" spans="2:8">
      <c r="B900" s="309"/>
      <c r="C900" s="308"/>
      <c r="D900" s="308"/>
      <c r="E900" s="308"/>
      <c r="F900" s="308"/>
      <c r="H900" s="308"/>
    </row>
    <row r="901" spans="2:8">
      <c r="B901" s="309"/>
      <c r="C901" s="308"/>
      <c r="D901" s="308"/>
      <c r="E901" s="308"/>
      <c r="F901" s="308"/>
      <c r="H901" s="308"/>
    </row>
    <row r="902" spans="2:8">
      <c r="B902" s="309"/>
      <c r="C902" s="308"/>
      <c r="D902" s="308"/>
      <c r="E902" s="308"/>
      <c r="F902" s="308"/>
      <c r="H902" s="308"/>
    </row>
    <row r="903" spans="2:8">
      <c r="B903" s="309"/>
      <c r="C903" s="308"/>
      <c r="D903" s="308"/>
      <c r="E903" s="308"/>
      <c r="F903" s="308"/>
      <c r="H903" s="308"/>
    </row>
    <row r="904" spans="2:8">
      <c r="B904" s="309"/>
      <c r="C904" s="308"/>
      <c r="D904" s="308"/>
      <c r="E904" s="308"/>
      <c r="F904" s="308"/>
      <c r="H904" s="308"/>
    </row>
    <row r="905" spans="2:8">
      <c r="B905" s="309"/>
      <c r="C905" s="308"/>
      <c r="D905" s="308"/>
      <c r="E905" s="308"/>
      <c r="F905" s="308"/>
      <c r="H905" s="308"/>
    </row>
    <row r="906" spans="2:8">
      <c r="B906" s="309"/>
      <c r="C906" s="308"/>
      <c r="D906" s="308"/>
      <c r="E906" s="308"/>
      <c r="F906" s="308"/>
      <c r="H906" s="308"/>
    </row>
    <row r="907" spans="2:8">
      <c r="B907" s="309"/>
      <c r="C907" s="308"/>
      <c r="D907" s="308"/>
      <c r="E907" s="308"/>
      <c r="F907" s="308"/>
      <c r="H907" s="308"/>
    </row>
    <row r="908" spans="2:8">
      <c r="B908" s="309"/>
      <c r="C908" s="308"/>
      <c r="D908" s="308"/>
      <c r="E908" s="308"/>
      <c r="F908" s="308"/>
      <c r="H908" s="308"/>
    </row>
    <row r="909" spans="2:8">
      <c r="B909" s="309"/>
      <c r="C909" s="308"/>
      <c r="D909" s="308"/>
      <c r="E909" s="308"/>
      <c r="F909" s="308"/>
      <c r="H909" s="308"/>
    </row>
    <row r="910" spans="2:8">
      <c r="B910" s="309"/>
      <c r="C910" s="308"/>
      <c r="D910" s="308"/>
      <c r="E910" s="308"/>
      <c r="F910" s="308"/>
      <c r="H910" s="308"/>
    </row>
    <row r="911" spans="2:8">
      <c r="B911" s="309"/>
      <c r="C911" s="308"/>
      <c r="D911" s="308"/>
      <c r="E911" s="308"/>
      <c r="F911" s="308"/>
      <c r="H911" s="308"/>
    </row>
    <row r="912" spans="2:8">
      <c r="B912" s="309"/>
      <c r="C912" s="308"/>
      <c r="D912" s="308"/>
      <c r="E912" s="308"/>
      <c r="F912" s="308"/>
      <c r="H912" s="308"/>
    </row>
    <row r="913" spans="2:8">
      <c r="B913" s="309"/>
      <c r="C913" s="308"/>
      <c r="D913" s="308"/>
      <c r="E913" s="308"/>
      <c r="F913" s="308"/>
      <c r="H913" s="308"/>
    </row>
    <row r="914" spans="2:8">
      <c r="B914" s="309"/>
      <c r="C914" s="308"/>
      <c r="D914" s="308"/>
      <c r="E914" s="308"/>
      <c r="F914" s="308"/>
      <c r="H914" s="308"/>
    </row>
    <row r="915" spans="2:8">
      <c r="B915" s="309"/>
      <c r="C915" s="308"/>
      <c r="D915" s="308"/>
      <c r="E915" s="308"/>
      <c r="F915" s="308"/>
      <c r="H915" s="308"/>
    </row>
    <row r="916" spans="2:8">
      <c r="B916" s="309"/>
      <c r="C916" s="308"/>
      <c r="D916" s="308"/>
      <c r="E916" s="308"/>
      <c r="F916" s="308"/>
      <c r="H916" s="308"/>
    </row>
    <row r="917" spans="2:8">
      <c r="B917" s="309"/>
      <c r="C917" s="308"/>
      <c r="D917" s="308"/>
      <c r="E917" s="308"/>
      <c r="F917" s="308"/>
      <c r="H917" s="308"/>
    </row>
    <row r="918" spans="2:8">
      <c r="B918" s="309"/>
      <c r="C918" s="308"/>
      <c r="D918" s="308"/>
      <c r="E918" s="308"/>
      <c r="F918" s="308"/>
      <c r="H918" s="308"/>
    </row>
    <row r="919" spans="2:8">
      <c r="B919" s="309"/>
      <c r="C919" s="308"/>
      <c r="D919" s="308"/>
      <c r="E919" s="308"/>
      <c r="F919" s="308"/>
      <c r="H919" s="308"/>
    </row>
    <row r="920" spans="2:8">
      <c r="B920" s="309"/>
      <c r="C920" s="308"/>
      <c r="D920" s="308"/>
      <c r="E920" s="308"/>
      <c r="F920" s="308"/>
      <c r="H920" s="308"/>
    </row>
    <row r="921" spans="2:8">
      <c r="B921" s="309"/>
      <c r="C921" s="308"/>
      <c r="D921" s="308"/>
      <c r="E921" s="308"/>
      <c r="F921" s="308"/>
      <c r="H921" s="308"/>
    </row>
    <row r="922" spans="2:8">
      <c r="B922" s="309"/>
      <c r="C922" s="308"/>
      <c r="D922" s="308"/>
      <c r="E922" s="308"/>
      <c r="F922" s="308"/>
      <c r="H922" s="308"/>
    </row>
    <row r="923" spans="2:8">
      <c r="B923" s="309"/>
      <c r="C923" s="308"/>
      <c r="D923" s="308"/>
      <c r="E923" s="308"/>
      <c r="F923" s="308"/>
      <c r="H923" s="308"/>
    </row>
    <row r="924" spans="2:8">
      <c r="B924" s="309"/>
      <c r="C924" s="308"/>
      <c r="D924" s="308"/>
      <c r="E924" s="308"/>
      <c r="F924" s="308"/>
      <c r="H924" s="308"/>
    </row>
    <row r="925" spans="2:8">
      <c r="B925" s="309"/>
      <c r="C925" s="308"/>
      <c r="D925" s="308"/>
      <c r="E925" s="308"/>
      <c r="F925" s="308"/>
      <c r="H925" s="308"/>
    </row>
    <row r="926" spans="2:8">
      <c r="B926" s="309"/>
      <c r="C926" s="308"/>
      <c r="D926" s="308"/>
      <c r="E926" s="308"/>
      <c r="F926" s="308"/>
      <c r="H926" s="308"/>
    </row>
    <row r="927" spans="2:8">
      <c r="B927" s="309"/>
      <c r="C927" s="308"/>
      <c r="D927" s="308"/>
      <c r="E927" s="308"/>
      <c r="F927" s="308"/>
      <c r="H927" s="308"/>
    </row>
    <row r="928" spans="2:8">
      <c r="B928" s="309"/>
      <c r="C928" s="308"/>
      <c r="D928" s="308"/>
      <c r="E928" s="308"/>
      <c r="F928" s="308"/>
      <c r="H928" s="308"/>
    </row>
    <row r="929" spans="2:8">
      <c r="B929" s="309"/>
      <c r="C929" s="308"/>
      <c r="D929" s="308"/>
      <c r="E929" s="308"/>
      <c r="F929" s="308"/>
      <c r="H929" s="308"/>
    </row>
    <row r="930" spans="2:8">
      <c r="B930" s="309"/>
      <c r="C930" s="308"/>
      <c r="D930" s="308"/>
      <c r="E930" s="308"/>
      <c r="F930" s="308"/>
      <c r="H930" s="308"/>
    </row>
    <row r="931" spans="2:8">
      <c r="B931" s="309"/>
      <c r="C931" s="308"/>
      <c r="D931" s="308"/>
      <c r="E931" s="308"/>
      <c r="F931" s="308"/>
      <c r="H931" s="308"/>
    </row>
    <row r="932" spans="2:8">
      <c r="B932" s="309"/>
      <c r="C932" s="308"/>
      <c r="D932" s="308"/>
      <c r="E932" s="308"/>
      <c r="F932" s="308"/>
      <c r="H932" s="308"/>
    </row>
    <row r="933" spans="2:8">
      <c r="B933" s="309"/>
      <c r="C933" s="308"/>
      <c r="D933" s="308"/>
      <c r="E933" s="308"/>
      <c r="F933" s="308"/>
      <c r="H933" s="308"/>
    </row>
    <row r="934" spans="2:8">
      <c r="B934" s="309"/>
      <c r="C934" s="308"/>
      <c r="D934" s="308"/>
      <c r="E934" s="308"/>
      <c r="F934" s="308"/>
      <c r="H934" s="308"/>
    </row>
    <row r="935" spans="2:8">
      <c r="B935" s="309"/>
      <c r="C935" s="308"/>
      <c r="D935" s="308"/>
      <c r="E935" s="308"/>
      <c r="F935" s="308"/>
      <c r="H935" s="308"/>
    </row>
    <row r="936" spans="2:8">
      <c r="B936" s="309"/>
      <c r="C936" s="308"/>
      <c r="D936" s="308"/>
      <c r="E936" s="308"/>
      <c r="F936" s="308"/>
      <c r="H936" s="308"/>
    </row>
    <row r="937" spans="2:8">
      <c r="B937" s="309"/>
      <c r="C937" s="308"/>
      <c r="D937" s="308"/>
      <c r="E937" s="308"/>
      <c r="F937" s="308"/>
      <c r="H937" s="308"/>
    </row>
    <row r="938" spans="2:8">
      <c r="B938" s="309"/>
      <c r="C938" s="308"/>
      <c r="D938" s="308"/>
      <c r="E938" s="308"/>
      <c r="F938" s="308"/>
      <c r="H938" s="308"/>
    </row>
    <row r="939" spans="2:8">
      <c r="B939" s="309"/>
      <c r="C939" s="308"/>
      <c r="D939" s="308"/>
      <c r="E939" s="308"/>
      <c r="F939" s="308"/>
      <c r="H939" s="308"/>
    </row>
    <row r="940" spans="2:8">
      <c r="B940" s="309"/>
      <c r="C940" s="308"/>
      <c r="D940" s="308"/>
      <c r="E940" s="308"/>
      <c r="F940" s="308"/>
      <c r="H940" s="308"/>
    </row>
    <row r="941" spans="2:8">
      <c r="B941" s="309"/>
      <c r="C941" s="308"/>
      <c r="D941" s="308"/>
      <c r="E941" s="308"/>
      <c r="F941" s="308"/>
      <c r="H941" s="308"/>
    </row>
    <row r="942" spans="2:8">
      <c r="B942" s="309"/>
      <c r="C942" s="308"/>
      <c r="D942" s="308"/>
      <c r="E942" s="308"/>
      <c r="F942" s="308"/>
      <c r="H942" s="308"/>
    </row>
    <row r="943" spans="2:8">
      <c r="B943" s="309"/>
      <c r="C943" s="308"/>
      <c r="D943" s="308"/>
      <c r="E943" s="308"/>
      <c r="F943" s="308"/>
      <c r="H943" s="308"/>
    </row>
    <row r="944" spans="2:8">
      <c r="B944" s="309"/>
      <c r="C944" s="308"/>
      <c r="D944" s="308"/>
      <c r="E944" s="308"/>
      <c r="F944" s="308"/>
      <c r="H944" s="308"/>
    </row>
    <row r="945" spans="2:8">
      <c r="B945" s="309"/>
      <c r="C945" s="308"/>
      <c r="D945" s="308"/>
      <c r="E945" s="308"/>
      <c r="F945" s="308"/>
      <c r="H945" s="308"/>
    </row>
    <row r="946" spans="2:8">
      <c r="B946" s="309"/>
      <c r="C946" s="308"/>
      <c r="D946" s="308"/>
      <c r="E946" s="308"/>
      <c r="F946" s="308"/>
      <c r="H946" s="308"/>
    </row>
    <row r="947" spans="2:8">
      <c r="B947" s="309"/>
      <c r="C947" s="308"/>
      <c r="D947" s="308"/>
      <c r="E947" s="308"/>
      <c r="F947" s="308"/>
      <c r="H947" s="308"/>
    </row>
    <row r="948" spans="2:8">
      <c r="B948" s="309"/>
      <c r="C948" s="308"/>
      <c r="D948" s="308"/>
      <c r="E948" s="308"/>
      <c r="F948" s="308"/>
      <c r="H948" s="308"/>
    </row>
    <row r="949" spans="2:8">
      <c r="B949" s="309"/>
      <c r="C949" s="308"/>
      <c r="D949" s="308"/>
      <c r="E949" s="308"/>
      <c r="F949" s="308"/>
      <c r="H949" s="308"/>
    </row>
    <row r="950" spans="2:8">
      <c r="B950" s="309"/>
      <c r="C950" s="308"/>
      <c r="D950" s="308"/>
      <c r="E950" s="308"/>
      <c r="F950" s="308"/>
      <c r="H950" s="308"/>
    </row>
    <row r="951" spans="2:8">
      <c r="B951" s="309"/>
      <c r="C951" s="308"/>
      <c r="D951" s="308"/>
      <c r="E951" s="308"/>
      <c r="F951" s="308"/>
      <c r="H951" s="308"/>
    </row>
    <row r="952" spans="2:8">
      <c r="B952" s="309"/>
      <c r="C952" s="308"/>
      <c r="D952" s="308"/>
      <c r="E952" s="308"/>
      <c r="F952" s="308"/>
      <c r="H952" s="308"/>
    </row>
    <row r="953" spans="2:8">
      <c r="B953" s="309"/>
      <c r="C953" s="308"/>
      <c r="D953" s="308"/>
      <c r="E953" s="308"/>
      <c r="F953" s="308"/>
      <c r="H953" s="308"/>
    </row>
    <row r="954" spans="2:8">
      <c r="B954" s="309"/>
      <c r="C954" s="308"/>
      <c r="D954" s="308"/>
      <c r="E954" s="308"/>
      <c r="F954" s="308"/>
      <c r="H954" s="308"/>
    </row>
    <row r="955" spans="2:8">
      <c r="B955" s="309"/>
      <c r="C955" s="308"/>
      <c r="D955" s="308"/>
      <c r="E955" s="308"/>
      <c r="F955" s="308"/>
      <c r="H955" s="308"/>
    </row>
    <row r="956" spans="2:8">
      <c r="B956" s="309"/>
      <c r="C956" s="308"/>
      <c r="D956" s="308"/>
      <c r="E956" s="308"/>
      <c r="F956" s="308"/>
      <c r="H956" s="308"/>
    </row>
    <row r="957" spans="2:8">
      <c r="B957" s="309"/>
      <c r="C957" s="308"/>
      <c r="D957" s="308"/>
      <c r="E957" s="308"/>
      <c r="F957" s="308"/>
      <c r="H957" s="308"/>
    </row>
    <row r="958" spans="2:8">
      <c r="B958" s="309"/>
      <c r="C958" s="308"/>
      <c r="D958" s="308"/>
      <c r="E958" s="308"/>
      <c r="F958" s="308"/>
      <c r="H958" s="308"/>
    </row>
    <row r="959" spans="2:8">
      <c r="B959" s="309"/>
      <c r="C959" s="308"/>
      <c r="D959" s="308"/>
      <c r="E959" s="308"/>
      <c r="F959" s="308"/>
      <c r="H959" s="308"/>
    </row>
  </sheetData>
  <printOptions horizontalCentered="1"/>
  <pageMargins left="0.75" right="0.75" top="0.75" bottom="0.5" header="0.25" footer="0.25"/>
  <pageSetup scale="58" orientation="portrait" horizontalDpi="1200" verticalDpi="1200" r:id="rId1"/>
  <headerFooter alignWithMargins="0">
    <oddFooter xml:space="preserve">&amp;C &amp;R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  <pageSetUpPr fitToPage="1"/>
  </sheetPr>
  <dimension ref="A1:BG298"/>
  <sheetViews>
    <sheetView topLeftCell="K49" zoomScale="86" zoomScaleNormal="86" workbookViewId="0">
      <selection activeCell="K49" sqref="K49:X100"/>
    </sheetView>
  </sheetViews>
  <sheetFormatPr defaultRowHeight="15"/>
  <cols>
    <col min="1" max="1" width="6" style="137" customWidth="1"/>
    <col min="2" max="2" width="1.44140625" style="137" customWidth="1"/>
    <col min="3" max="3" width="51.21875" style="137" customWidth="1"/>
    <col min="4" max="4" width="1.44140625" style="137" customWidth="1"/>
    <col min="5" max="5" width="37.109375" style="137" customWidth="1"/>
    <col min="6" max="6" width="1.6640625" style="137" customWidth="1"/>
    <col min="7" max="7" width="14.109375" style="137" customWidth="1"/>
    <col min="8" max="8" width="1.44140625" style="137" customWidth="1"/>
    <col min="9" max="9" width="12.77734375" style="137" customWidth="1"/>
    <col min="10" max="10" width="5.109375" style="137" customWidth="1"/>
    <col min="11" max="11" width="6.44140625" style="137" customWidth="1"/>
    <col min="12" max="12" width="3.21875" style="137" customWidth="1"/>
    <col min="13" max="13" width="27.21875" style="137" customWidth="1"/>
    <col min="14" max="14" width="12" style="137" customWidth="1"/>
    <col min="15" max="15" width="10.33203125" style="137" customWidth="1"/>
    <col min="16" max="16" width="13" style="137" customWidth="1"/>
    <col min="17" max="17" width="13.77734375" style="137" customWidth="1"/>
    <col min="18" max="18" width="12" style="137" customWidth="1"/>
    <col min="19" max="19" width="13.77734375" style="137" customWidth="1"/>
    <col min="20" max="20" width="13.33203125" style="137" customWidth="1"/>
    <col min="21" max="21" width="12.5546875" style="137" bestFit="1" customWidth="1"/>
    <col min="22" max="22" width="17.5546875" style="137" customWidth="1"/>
    <col min="23" max="23" width="12" style="137" customWidth="1"/>
    <col min="24" max="24" width="15.6640625" style="137" customWidth="1"/>
    <col min="25" max="250" width="8.88671875" style="137"/>
    <col min="251" max="251" width="6" style="137" customWidth="1"/>
    <col min="252" max="252" width="1.44140625" style="137" customWidth="1"/>
    <col min="253" max="253" width="39.109375" style="137" customWidth="1"/>
    <col min="254" max="254" width="12" style="137" customWidth="1"/>
    <col min="255" max="255" width="14.44140625" style="137" customWidth="1"/>
    <col min="256" max="256" width="11.88671875" style="137" customWidth="1"/>
    <col min="257" max="257" width="14.109375" style="137" customWidth="1"/>
    <col min="258" max="258" width="13.88671875" style="137" customWidth="1"/>
    <col min="259" max="260" width="12.77734375" style="137" customWidth="1"/>
    <col min="261" max="261" width="13.5546875" style="137" customWidth="1"/>
    <col min="262" max="262" width="15.33203125" style="137" customWidth="1"/>
    <col min="263" max="263" width="12.77734375" style="137" customWidth="1"/>
    <col min="264" max="264" width="13.88671875" style="137" customWidth="1"/>
    <col min="265" max="265" width="1.88671875" style="137" customWidth="1"/>
    <col min="266" max="266" width="13" style="137" customWidth="1"/>
    <col min="267" max="506" width="8.88671875" style="137"/>
    <col min="507" max="507" width="6" style="137" customWidth="1"/>
    <col min="508" max="508" width="1.44140625" style="137" customWidth="1"/>
    <col min="509" max="509" width="39.109375" style="137" customWidth="1"/>
    <col min="510" max="510" width="12" style="137" customWidth="1"/>
    <col min="511" max="511" width="14.44140625" style="137" customWidth="1"/>
    <col min="512" max="512" width="11.88671875" style="137" customWidth="1"/>
    <col min="513" max="513" width="14.109375" style="137" customWidth="1"/>
    <col min="514" max="514" width="13.88671875" style="137" customWidth="1"/>
    <col min="515" max="516" width="12.77734375" style="137" customWidth="1"/>
    <col min="517" max="517" width="13.5546875" style="137" customWidth="1"/>
    <col min="518" max="518" width="15.33203125" style="137" customWidth="1"/>
    <col min="519" max="519" width="12.77734375" style="137" customWidth="1"/>
    <col min="520" max="520" width="13.88671875" style="137" customWidth="1"/>
    <col min="521" max="521" width="1.88671875" style="137" customWidth="1"/>
    <col min="522" max="522" width="13" style="137" customWidth="1"/>
    <col min="523" max="762" width="8.88671875" style="137"/>
    <col min="763" max="763" width="6" style="137" customWidth="1"/>
    <col min="764" max="764" width="1.44140625" style="137" customWidth="1"/>
    <col min="765" max="765" width="39.109375" style="137" customWidth="1"/>
    <col min="766" max="766" width="12" style="137" customWidth="1"/>
    <col min="767" max="767" width="14.44140625" style="137" customWidth="1"/>
    <col min="768" max="768" width="11.88671875" style="137" customWidth="1"/>
    <col min="769" max="769" width="14.109375" style="137" customWidth="1"/>
    <col min="770" max="770" width="13.88671875" style="137" customWidth="1"/>
    <col min="771" max="772" width="12.77734375" style="137" customWidth="1"/>
    <col min="773" max="773" width="13.5546875" style="137" customWidth="1"/>
    <col min="774" max="774" width="15.33203125" style="137" customWidth="1"/>
    <col min="775" max="775" width="12.77734375" style="137" customWidth="1"/>
    <col min="776" max="776" width="13.88671875" style="137" customWidth="1"/>
    <col min="777" max="777" width="1.88671875" style="137" customWidth="1"/>
    <col min="778" max="778" width="13" style="137" customWidth="1"/>
    <col min="779" max="1018" width="8.88671875" style="137"/>
    <col min="1019" max="1019" width="6" style="137" customWidth="1"/>
    <col min="1020" max="1020" width="1.44140625" style="137" customWidth="1"/>
    <col min="1021" max="1021" width="39.109375" style="137" customWidth="1"/>
    <col min="1022" max="1022" width="12" style="137" customWidth="1"/>
    <col min="1023" max="1023" width="14.44140625" style="137" customWidth="1"/>
    <col min="1024" max="1024" width="11.88671875" style="137" customWidth="1"/>
    <col min="1025" max="1025" width="14.109375" style="137" customWidth="1"/>
    <col min="1026" max="1026" width="13.88671875" style="137" customWidth="1"/>
    <col min="1027" max="1028" width="12.77734375" style="137" customWidth="1"/>
    <col min="1029" max="1029" width="13.5546875" style="137" customWidth="1"/>
    <col min="1030" max="1030" width="15.33203125" style="137" customWidth="1"/>
    <col min="1031" max="1031" width="12.77734375" style="137" customWidth="1"/>
    <col min="1032" max="1032" width="13.88671875" style="137" customWidth="1"/>
    <col min="1033" max="1033" width="1.88671875" style="137" customWidth="1"/>
    <col min="1034" max="1034" width="13" style="137" customWidth="1"/>
    <col min="1035" max="1274" width="8.88671875" style="137"/>
    <col min="1275" max="1275" width="6" style="137" customWidth="1"/>
    <col min="1276" max="1276" width="1.44140625" style="137" customWidth="1"/>
    <col min="1277" max="1277" width="39.109375" style="137" customWidth="1"/>
    <col min="1278" max="1278" width="12" style="137" customWidth="1"/>
    <col min="1279" max="1279" width="14.44140625" style="137" customWidth="1"/>
    <col min="1280" max="1280" width="11.88671875" style="137" customWidth="1"/>
    <col min="1281" max="1281" width="14.109375" style="137" customWidth="1"/>
    <col min="1282" max="1282" width="13.88671875" style="137" customWidth="1"/>
    <col min="1283" max="1284" width="12.77734375" style="137" customWidth="1"/>
    <col min="1285" max="1285" width="13.5546875" style="137" customWidth="1"/>
    <col min="1286" max="1286" width="15.33203125" style="137" customWidth="1"/>
    <col min="1287" max="1287" width="12.77734375" style="137" customWidth="1"/>
    <col min="1288" max="1288" width="13.88671875" style="137" customWidth="1"/>
    <col min="1289" max="1289" width="1.88671875" style="137" customWidth="1"/>
    <col min="1290" max="1290" width="13" style="137" customWidth="1"/>
    <col min="1291" max="1530" width="8.88671875" style="137"/>
    <col min="1531" max="1531" width="6" style="137" customWidth="1"/>
    <col min="1532" max="1532" width="1.44140625" style="137" customWidth="1"/>
    <col min="1533" max="1533" width="39.109375" style="137" customWidth="1"/>
    <col min="1534" max="1534" width="12" style="137" customWidth="1"/>
    <col min="1535" max="1535" width="14.44140625" style="137" customWidth="1"/>
    <col min="1536" max="1536" width="11.88671875" style="137" customWidth="1"/>
    <col min="1537" max="1537" width="14.109375" style="137" customWidth="1"/>
    <col min="1538" max="1538" width="13.88671875" style="137" customWidth="1"/>
    <col min="1539" max="1540" width="12.77734375" style="137" customWidth="1"/>
    <col min="1541" max="1541" width="13.5546875" style="137" customWidth="1"/>
    <col min="1542" max="1542" width="15.33203125" style="137" customWidth="1"/>
    <col min="1543" max="1543" width="12.77734375" style="137" customWidth="1"/>
    <col min="1544" max="1544" width="13.88671875" style="137" customWidth="1"/>
    <col min="1545" max="1545" width="1.88671875" style="137" customWidth="1"/>
    <col min="1546" max="1546" width="13" style="137" customWidth="1"/>
    <col min="1547" max="1786" width="8.88671875" style="137"/>
    <col min="1787" max="1787" width="6" style="137" customWidth="1"/>
    <col min="1788" max="1788" width="1.44140625" style="137" customWidth="1"/>
    <col min="1789" max="1789" width="39.109375" style="137" customWidth="1"/>
    <col min="1790" max="1790" width="12" style="137" customWidth="1"/>
    <col min="1791" max="1791" width="14.44140625" style="137" customWidth="1"/>
    <col min="1792" max="1792" width="11.88671875" style="137" customWidth="1"/>
    <col min="1793" max="1793" width="14.109375" style="137" customWidth="1"/>
    <col min="1794" max="1794" width="13.88671875" style="137" customWidth="1"/>
    <col min="1795" max="1796" width="12.77734375" style="137" customWidth="1"/>
    <col min="1797" max="1797" width="13.5546875" style="137" customWidth="1"/>
    <col min="1798" max="1798" width="15.33203125" style="137" customWidth="1"/>
    <col min="1799" max="1799" width="12.77734375" style="137" customWidth="1"/>
    <col min="1800" max="1800" width="13.88671875" style="137" customWidth="1"/>
    <col min="1801" max="1801" width="1.88671875" style="137" customWidth="1"/>
    <col min="1802" max="1802" width="13" style="137" customWidth="1"/>
    <col min="1803" max="2042" width="8.88671875" style="137"/>
    <col min="2043" max="2043" width="6" style="137" customWidth="1"/>
    <col min="2044" max="2044" width="1.44140625" style="137" customWidth="1"/>
    <col min="2045" max="2045" width="39.109375" style="137" customWidth="1"/>
    <col min="2046" max="2046" width="12" style="137" customWidth="1"/>
    <col min="2047" max="2047" width="14.44140625" style="137" customWidth="1"/>
    <col min="2048" max="2048" width="11.88671875" style="137" customWidth="1"/>
    <col min="2049" max="2049" width="14.109375" style="137" customWidth="1"/>
    <col min="2050" max="2050" width="13.88671875" style="137" customWidth="1"/>
    <col min="2051" max="2052" width="12.77734375" style="137" customWidth="1"/>
    <col min="2053" max="2053" width="13.5546875" style="137" customWidth="1"/>
    <col min="2054" max="2054" width="15.33203125" style="137" customWidth="1"/>
    <col min="2055" max="2055" width="12.77734375" style="137" customWidth="1"/>
    <col min="2056" max="2056" width="13.88671875" style="137" customWidth="1"/>
    <col min="2057" max="2057" width="1.88671875" style="137" customWidth="1"/>
    <col min="2058" max="2058" width="13" style="137" customWidth="1"/>
    <col min="2059" max="2298" width="8.88671875" style="137"/>
    <col min="2299" max="2299" width="6" style="137" customWidth="1"/>
    <col min="2300" max="2300" width="1.44140625" style="137" customWidth="1"/>
    <col min="2301" max="2301" width="39.109375" style="137" customWidth="1"/>
    <col min="2302" max="2302" width="12" style="137" customWidth="1"/>
    <col min="2303" max="2303" width="14.44140625" style="137" customWidth="1"/>
    <col min="2304" max="2304" width="11.88671875" style="137" customWidth="1"/>
    <col min="2305" max="2305" width="14.109375" style="137" customWidth="1"/>
    <col min="2306" max="2306" width="13.88671875" style="137" customWidth="1"/>
    <col min="2307" max="2308" width="12.77734375" style="137" customWidth="1"/>
    <col min="2309" max="2309" width="13.5546875" style="137" customWidth="1"/>
    <col min="2310" max="2310" width="15.33203125" style="137" customWidth="1"/>
    <col min="2311" max="2311" width="12.77734375" style="137" customWidth="1"/>
    <col min="2312" max="2312" width="13.88671875" style="137" customWidth="1"/>
    <col min="2313" max="2313" width="1.88671875" style="137" customWidth="1"/>
    <col min="2314" max="2314" width="13" style="137" customWidth="1"/>
    <col min="2315" max="2554" width="8.88671875" style="137"/>
    <col min="2555" max="2555" width="6" style="137" customWidth="1"/>
    <col min="2556" max="2556" width="1.44140625" style="137" customWidth="1"/>
    <col min="2557" max="2557" width="39.109375" style="137" customWidth="1"/>
    <col min="2558" max="2558" width="12" style="137" customWidth="1"/>
    <col min="2559" max="2559" width="14.44140625" style="137" customWidth="1"/>
    <col min="2560" max="2560" width="11.88671875" style="137" customWidth="1"/>
    <col min="2561" max="2561" width="14.109375" style="137" customWidth="1"/>
    <col min="2562" max="2562" width="13.88671875" style="137" customWidth="1"/>
    <col min="2563" max="2564" width="12.77734375" style="137" customWidth="1"/>
    <col min="2565" max="2565" width="13.5546875" style="137" customWidth="1"/>
    <col min="2566" max="2566" width="15.33203125" style="137" customWidth="1"/>
    <col min="2567" max="2567" width="12.77734375" style="137" customWidth="1"/>
    <col min="2568" max="2568" width="13.88671875" style="137" customWidth="1"/>
    <col min="2569" max="2569" width="1.88671875" style="137" customWidth="1"/>
    <col min="2570" max="2570" width="13" style="137" customWidth="1"/>
    <col min="2571" max="2810" width="8.88671875" style="137"/>
    <col min="2811" max="2811" width="6" style="137" customWidth="1"/>
    <col min="2812" max="2812" width="1.44140625" style="137" customWidth="1"/>
    <col min="2813" max="2813" width="39.109375" style="137" customWidth="1"/>
    <col min="2814" max="2814" width="12" style="137" customWidth="1"/>
    <col min="2815" max="2815" width="14.44140625" style="137" customWidth="1"/>
    <col min="2816" max="2816" width="11.88671875" style="137" customWidth="1"/>
    <col min="2817" max="2817" width="14.109375" style="137" customWidth="1"/>
    <col min="2818" max="2818" width="13.88671875" style="137" customWidth="1"/>
    <col min="2819" max="2820" width="12.77734375" style="137" customWidth="1"/>
    <col min="2821" max="2821" width="13.5546875" style="137" customWidth="1"/>
    <col min="2822" max="2822" width="15.33203125" style="137" customWidth="1"/>
    <col min="2823" max="2823" width="12.77734375" style="137" customWidth="1"/>
    <col min="2824" max="2824" width="13.88671875" style="137" customWidth="1"/>
    <col min="2825" max="2825" width="1.88671875" style="137" customWidth="1"/>
    <col min="2826" max="2826" width="13" style="137" customWidth="1"/>
    <col min="2827" max="3066" width="8.88671875" style="137"/>
    <col min="3067" max="3067" width="6" style="137" customWidth="1"/>
    <col min="3068" max="3068" width="1.44140625" style="137" customWidth="1"/>
    <col min="3069" max="3069" width="39.109375" style="137" customWidth="1"/>
    <col min="3070" max="3070" width="12" style="137" customWidth="1"/>
    <col min="3071" max="3071" width="14.44140625" style="137" customWidth="1"/>
    <col min="3072" max="3072" width="11.88671875" style="137" customWidth="1"/>
    <col min="3073" max="3073" width="14.109375" style="137" customWidth="1"/>
    <col min="3074" max="3074" width="13.88671875" style="137" customWidth="1"/>
    <col min="3075" max="3076" width="12.77734375" style="137" customWidth="1"/>
    <col min="3077" max="3077" width="13.5546875" style="137" customWidth="1"/>
    <col min="3078" max="3078" width="15.33203125" style="137" customWidth="1"/>
    <col min="3079" max="3079" width="12.77734375" style="137" customWidth="1"/>
    <col min="3080" max="3080" width="13.88671875" style="137" customWidth="1"/>
    <col min="3081" max="3081" width="1.88671875" style="137" customWidth="1"/>
    <col min="3082" max="3082" width="13" style="137" customWidth="1"/>
    <col min="3083" max="3322" width="8.88671875" style="137"/>
    <col min="3323" max="3323" width="6" style="137" customWidth="1"/>
    <col min="3324" max="3324" width="1.44140625" style="137" customWidth="1"/>
    <col min="3325" max="3325" width="39.109375" style="137" customWidth="1"/>
    <col min="3326" max="3326" width="12" style="137" customWidth="1"/>
    <col min="3327" max="3327" width="14.44140625" style="137" customWidth="1"/>
    <col min="3328" max="3328" width="11.88671875" style="137" customWidth="1"/>
    <col min="3329" max="3329" width="14.109375" style="137" customWidth="1"/>
    <col min="3330" max="3330" width="13.88671875" style="137" customWidth="1"/>
    <col min="3331" max="3332" width="12.77734375" style="137" customWidth="1"/>
    <col min="3333" max="3333" width="13.5546875" style="137" customWidth="1"/>
    <col min="3334" max="3334" width="15.33203125" style="137" customWidth="1"/>
    <col min="3335" max="3335" width="12.77734375" style="137" customWidth="1"/>
    <col min="3336" max="3336" width="13.88671875" style="137" customWidth="1"/>
    <col min="3337" max="3337" width="1.88671875" style="137" customWidth="1"/>
    <col min="3338" max="3338" width="13" style="137" customWidth="1"/>
    <col min="3339" max="3578" width="8.88671875" style="137"/>
    <col min="3579" max="3579" width="6" style="137" customWidth="1"/>
    <col min="3580" max="3580" width="1.44140625" style="137" customWidth="1"/>
    <col min="3581" max="3581" width="39.109375" style="137" customWidth="1"/>
    <col min="3582" max="3582" width="12" style="137" customWidth="1"/>
    <col min="3583" max="3583" width="14.44140625" style="137" customWidth="1"/>
    <col min="3584" max="3584" width="11.88671875" style="137" customWidth="1"/>
    <col min="3585" max="3585" width="14.109375" style="137" customWidth="1"/>
    <col min="3586" max="3586" width="13.88671875" style="137" customWidth="1"/>
    <col min="3587" max="3588" width="12.77734375" style="137" customWidth="1"/>
    <col min="3589" max="3589" width="13.5546875" style="137" customWidth="1"/>
    <col min="3590" max="3590" width="15.33203125" style="137" customWidth="1"/>
    <col min="3591" max="3591" width="12.77734375" style="137" customWidth="1"/>
    <col min="3592" max="3592" width="13.88671875" style="137" customWidth="1"/>
    <col min="3593" max="3593" width="1.88671875" style="137" customWidth="1"/>
    <col min="3594" max="3594" width="13" style="137" customWidth="1"/>
    <col min="3595" max="3834" width="8.88671875" style="137"/>
    <col min="3835" max="3835" width="6" style="137" customWidth="1"/>
    <col min="3836" max="3836" width="1.44140625" style="137" customWidth="1"/>
    <col min="3837" max="3837" width="39.109375" style="137" customWidth="1"/>
    <col min="3838" max="3838" width="12" style="137" customWidth="1"/>
    <col min="3839" max="3839" width="14.44140625" style="137" customWidth="1"/>
    <col min="3840" max="3840" width="11.88671875" style="137" customWidth="1"/>
    <col min="3841" max="3841" width="14.109375" style="137" customWidth="1"/>
    <col min="3842" max="3842" width="13.88671875" style="137" customWidth="1"/>
    <col min="3843" max="3844" width="12.77734375" style="137" customWidth="1"/>
    <col min="3845" max="3845" width="13.5546875" style="137" customWidth="1"/>
    <col min="3846" max="3846" width="15.33203125" style="137" customWidth="1"/>
    <col min="3847" max="3847" width="12.77734375" style="137" customWidth="1"/>
    <col min="3848" max="3848" width="13.88671875" style="137" customWidth="1"/>
    <col min="3849" max="3849" width="1.88671875" style="137" customWidth="1"/>
    <col min="3850" max="3850" width="13" style="137" customWidth="1"/>
    <col min="3851" max="4090" width="8.88671875" style="137"/>
    <col min="4091" max="4091" width="6" style="137" customWidth="1"/>
    <col min="4092" max="4092" width="1.44140625" style="137" customWidth="1"/>
    <col min="4093" max="4093" width="39.109375" style="137" customWidth="1"/>
    <col min="4094" max="4094" width="12" style="137" customWidth="1"/>
    <col min="4095" max="4095" width="14.44140625" style="137" customWidth="1"/>
    <col min="4096" max="4096" width="11.88671875" style="137" customWidth="1"/>
    <col min="4097" max="4097" width="14.109375" style="137" customWidth="1"/>
    <col min="4098" max="4098" width="13.88671875" style="137" customWidth="1"/>
    <col min="4099" max="4100" width="12.77734375" style="137" customWidth="1"/>
    <col min="4101" max="4101" width="13.5546875" style="137" customWidth="1"/>
    <col min="4102" max="4102" width="15.33203125" style="137" customWidth="1"/>
    <col min="4103" max="4103" width="12.77734375" style="137" customWidth="1"/>
    <col min="4104" max="4104" width="13.88671875" style="137" customWidth="1"/>
    <col min="4105" max="4105" width="1.88671875" style="137" customWidth="1"/>
    <col min="4106" max="4106" width="13" style="137" customWidth="1"/>
    <col min="4107" max="4346" width="8.88671875" style="137"/>
    <col min="4347" max="4347" width="6" style="137" customWidth="1"/>
    <col min="4348" max="4348" width="1.44140625" style="137" customWidth="1"/>
    <col min="4349" max="4349" width="39.109375" style="137" customWidth="1"/>
    <col min="4350" max="4350" width="12" style="137" customWidth="1"/>
    <col min="4351" max="4351" width="14.44140625" style="137" customWidth="1"/>
    <col min="4352" max="4352" width="11.88671875" style="137" customWidth="1"/>
    <col min="4353" max="4353" width="14.109375" style="137" customWidth="1"/>
    <col min="4354" max="4354" width="13.88671875" style="137" customWidth="1"/>
    <col min="4355" max="4356" width="12.77734375" style="137" customWidth="1"/>
    <col min="4357" max="4357" width="13.5546875" style="137" customWidth="1"/>
    <col min="4358" max="4358" width="15.33203125" style="137" customWidth="1"/>
    <col min="4359" max="4359" width="12.77734375" style="137" customWidth="1"/>
    <col min="4360" max="4360" width="13.88671875" style="137" customWidth="1"/>
    <col min="4361" max="4361" width="1.88671875" style="137" customWidth="1"/>
    <col min="4362" max="4362" width="13" style="137" customWidth="1"/>
    <col min="4363" max="4602" width="8.88671875" style="137"/>
    <col min="4603" max="4603" width="6" style="137" customWidth="1"/>
    <col min="4604" max="4604" width="1.44140625" style="137" customWidth="1"/>
    <col min="4605" max="4605" width="39.109375" style="137" customWidth="1"/>
    <col min="4606" max="4606" width="12" style="137" customWidth="1"/>
    <col min="4607" max="4607" width="14.44140625" style="137" customWidth="1"/>
    <col min="4608" max="4608" width="11.88671875" style="137" customWidth="1"/>
    <col min="4609" max="4609" width="14.109375" style="137" customWidth="1"/>
    <col min="4610" max="4610" width="13.88671875" style="137" customWidth="1"/>
    <col min="4611" max="4612" width="12.77734375" style="137" customWidth="1"/>
    <col min="4613" max="4613" width="13.5546875" style="137" customWidth="1"/>
    <col min="4614" max="4614" width="15.33203125" style="137" customWidth="1"/>
    <col min="4615" max="4615" width="12.77734375" style="137" customWidth="1"/>
    <col min="4616" max="4616" width="13.88671875" style="137" customWidth="1"/>
    <col min="4617" max="4617" width="1.88671875" style="137" customWidth="1"/>
    <col min="4618" max="4618" width="13" style="137" customWidth="1"/>
    <col min="4619" max="4858" width="8.88671875" style="137"/>
    <col min="4859" max="4859" width="6" style="137" customWidth="1"/>
    <col min="4860" max="4860" width="1.44140625" style="137" customWidth="1"/>
    <col min="4861" max="4861" width="39.109375" style="137" customWidth="1"/>
    <col min="4862" max="4862" width="12" style="137" customWidth="1"/>
    <col min="4863" max="4863" width="14.44140625" style="137" customWidth="1"/>
    <col min="4864" max="4864" width="11.88671875" style="137" customWidth="1"/>
    <col min="4865" max="4865" width="14.109375" style="137" customWidth="1"/>
    <col min="4866" max="4866" width="13.88671875" style="137" customWidth="1"/>
    <col min="4867" max="4868" width="12.77734375" style="137" customWidth="1"/>
    <col min="4869" max="4869" width="13.5546875" style="137" customWidth="1"/>
    <col min="4870" max="4870" width="15.33203125" style="137" customWidth="1"/>
    <col min="4871" max="4871" width="12.77734375" style="137" customWidth="1"/>
    <col min="4872" max="4872" width="13.88671875" style="137" customWidth="1"/>
    <col min="4873" max="4873" width="1.88671875" style="137" customWidth="1"/>
    <col min="4874" max="4874" width="13" style="137" customWidth="1"/>
    <col min="4875" max="5114" width="8.88671875" style="137"/>
    <col min="5115" max="5115" width="6" style="137" customWidth="1"/>
    <col min="5116" max="5116" width="1.44140625" style="137" customWidth="1"/>
    <col min="5117" max="5117" width="39.109375" style="137" customWidth="1"/>
    <col min="5118" max="5118" width="12" style="137" customWidth="1"/>
    <col min="5119" max="5119" width="14.44140625" style="137" customWidth="1"/>
    <col min="5120" max="5120" width="11.88671875" style="137" customWidth="1"/>
    <col min="5121" max="5121" width="14.109375" style="137" customWidth="1"/>
    <col min="5122" max="5122" width="13.88671875" style="137" customWidth="1"/>
    <col min="5123" max="5124" width="12.77734375" style="137" customWidth="1"/>
    <col min="5125" max="5125" width="13.5546875" style="137" customWidth="1"/>
    <col min="5126" max="5126" width="15.33203125" style="137" customWidth="1"/>
    <col min="5127" max="5127" width="12.77734375" style="137" customWidth="1"/>
    <col min="5128" max="5128" width="13.88671875" style="137" customWidth="1"/>
    <col min="5129" max="5129" width="1.88671875" style="137" customWidth="1"/>
    <col min="5130" max="5130" width="13" style="137" customWidth="1"/>
    <col min="5131" max="5370" width="8.88671875" style="137"/>
    <col min="5371" max="5371" width="6" style="137" customWidth="1"/>
    <col min="5372" max="5372" width="1.44140625" style="137" customWidth="1"/>
    <col min="5373" max="5373" width="39.109375" style="137" customWidth="1"/>
    <col min="5374" max="5374" width="12" style="137" customWidth="1"/>
    <col min="5375" max="5375" width="14.44140625" style="137" customWidth="1"/>
    <col min="5376" max="5376" width="11.88671875" style="137" customWidth="1"/>
    <col min="5377" max="5377" width="14.109375" style="137" customWidth="1"/>
    <col min="5378" max="5378" width="13.88671875" style="137" customWidth="1"/>
    <col min="5379" max="5380" width="12.77734375" style="137" customWidth="1"/>
    <col min="5381" max="5381" width="13.5546875" style="137" customWidth="1"/>
    <col min="5382" max="5382" width="15.33203125" style="137" customWidth="1"/>
    <col min="5383" max="5383" width="12.77734375" style="137" customWidth="1"/>
    <col min="5384" max="5384" width="13.88671875" style="137" customWidth="1"/>
    <col min="5385" max="5385" width="1.88671875" style="137" customWidth="1"/>
    <col min="5386" max="5386" width="13" style="137" customWidth="1"/>
    <col min="5387" max="5626" width="8.88671875" style="137"/>
    <col min="5627" max="5627" width="6" style="137" customWidth="1"/>
    <col min="5628" max="5628" width="1.44140625" style="137" customWidth="1"/>
    <col min="5629" max="5629" width="39.109375" style="137" customWidth="1"/>
    <col min="5630" max="5630" width="12" style="137" customWidth="1"/>
    <col min="5631" max="5631" width="14.44140625" style="137" customWidth="1"/>
    <col min="5632" max="5632" width="11.88671875" style="137" customWidth="1"/>
    <col min="5633" max="5633" width="14.109375" style="137" customWidth="1"/>
    <col min="5634" max="5634" width="13.88671875" style="137" customWidth="1"/>
    <col min="5635" max="5636" width="12.77734375" style="137" customWidth="1"/>
    <col min="5637" max="5637" width="13.5546875" style="137" customWidth="1"/>
    <col min="5638" max="5638" width="15.33203125" style="137" customWidth="1"/>
    <col min="5639" max="5639" width="12.77734375" style="137" customWidth="1"/>
    <col min="5640" max="5640" width="13.88671875" style="137" customWidth="1"/>
    <col min="5641" max="5641" width="1.88671875" style="137" customWidth="1"/>
    <col min="5642" max="5642" width="13" style="137" customWidth="1"/>
    <col min="5643" max="5882" width="8.88671875" style="137"/>
    <col min="5883" max="5883" width="6" style="137" customWidth="1"/>
    <col min="5884" max="5884" width="1.44140625" style="137" customWidth="1"/>
    <col min="5885" max="5885" width="39.109375" style="137" customWidth="1"/>
    <col min="5886" max="5886" width="12" style="137" customWidth="1"/>
    <col min="5887" max="5887" width="14.44140625" style="137" customWidth="1"/>
    <col min="5888" max="5888" width="11.88671875" style="137" customWidth="1"/>
    <col min="5889" max="5889" width="14.109375" style="137" customWidth="1"/>
    <col min="5890" max="5890" width="13.88671875" style="137" customWidth="1"/>
    <col min="5891" max="5892" width="12.77734375" style="137" customWidth="1"/>
    <col min="5893" max="5893" width="13.5546875" style="137" customWidth="1"/>
    <col min="5894" max="5894" width="15.33203125" style="137" customWidth="1"/>
    <col min="5895" max="5895" width="12.77734375" style="137" customWidth="1"/>
    <col min="5896" max="5896" width="13.88671875" style="137" customWidth="1"/>
    <col min="5897" max="5897" width="1.88671875" style="137" customWidth="1"/>
    <col min="5898" max="5898" width="13" style="137" customWidth="1"/>
    <col min="5899" max="6138" width="8.88671875" style="137"/>
    <col min="6139" max="6139" width="6" style="137" customWidth="1"/>
    <col min="6140" max="6140" width="1.44140625" style="137" customWidth="1"/>
    <col min="6141" max="6141" width="39.109375" style="137" customWidth="1"/>
    <col min="6142" max="6142" width="12" style="137" customWidth="1"/>
    <col min="6143" max="6143" width="14.44140625" style="137" customWidth="1"/>
    <col min="6144" max="6144" width="11.88671875" style="137" customWidth="1"/>
    <col min="6145" max="6145" width="14.109375" style="137" customWidth="1"/>
    <col min="6146" max="6146" width="13.88671875" style="137" customWidth="1"/>
    <col min="6147" max="6148" width="12.77734375" style="137" customWidth="1"/>
    <col min="6149" max="6149" width="13.5546875" style="137" customWidth="1"/>
    <col min="6150" max="6150" width="15.33203125" style="137" customWidth="1"/>
    <col min="6151" max="6151" width="12.77734375" style="137" customWidth="1"/>
    <col min="6152" max="6152" width="13.88671875" style="137" customWidth="1"/>
    <col min="6153" max="6153" width="1.88671875" style="137" customWidth="1"/>
    <col min="6154" max="6154" width="13" style="137" customWidth="1"/>
    <col min="6155" max="6394" width="8.88671875" style="137"/>
    <col min="6395" max="6395" width="6" style="137" customWidth="1"/>
    <col min="6396" max="6396" width="1.44140625" style="137" customWidth="1"/>
    <col min="6397" max="6397" width="39.109375" style="137" customWidth="1"/>
    <col min="6398" max="6398" width="12" style="137" customWidth="1"/>
    <col min="6399" max="6399" width="14.44140625" style="137" customWidth="1"/>
    <col min="6400" max="6400" width="11.88671875" style="137" customWidth="1"/>
    <col min="6401" max="6401" width="14.109375" style="137" customWidth="1"/>
    <col min="6402" max="6402" width="13.88671875" style="137" customWidth="1"/>
    <col min="6403" max="6404" width="12.77734375" style="137" customWidth="1"/>
    <col min="6405" max="6405" width="13.5546875" style="137" customWidth="1"/>
    <col min="6406" max="6406" width="15.33203125" style="137" customWidth="1"/>
    <col min="6407" max="6407" width="12.77734375" style="137" customWidth="1"/>
    <col min="6408" max="6408" width="13.88671875" style="137" customWidth="1"/>
    <col min="6409" max="6409" width="1.88671875" style="137" customWidth="1"/>
    <col min="6410" max="6410" width="13" style="137" customWidth="1"/>
    <col min="6411" max="6650" width="8.88671875" style="137"/>
    <col min="6651" max="6651" width="6" style="137" customWidth="1"/>
    <col min="6652" max="6652" width="1.44140625" style="137" customWidth="1"/>
    <col min="6653" max="6653" width="39.109375" style="137" customWidth="1"/>
    <col min="6654" max="6654" width="12" style="137" customWidth="1"/>
    <col min="6655" max="6655" width="14.44140625" style="137" customWidth="1"/>
    <col min="6656" max="6656" width="11.88671875" style="137" customWidth="1"/>
    <col min="6657" max="6657" width="14.109375" style="137" customWidth="1"/>
    <col min="6658" max="6658" width="13.88671875" style="137" customWidth="1"/>
    <col min="6659" max="6660" width="12.77734375" style="137" customWidth="1"/>
    <col min="6661" max="6661" width="13.5546875" style="137" customWidth="1"/>
    <col min="6662" max="6662" width="15.33203125" style="137" customWidth="1"/>
    <col min="6663" max="6663" width="12.77734375" style="137" customWidth="1"/>
    <col min="6664" max="6664" width="13.88671875" style="137" customWidth="1"/>
    <col min="6665" max="6665" width="1.88671875" style="137" customWidth="1"/>
    <col min="6666" max="6666" width="13" style="137" customWidth="1"/>
    <col min="6667" max="6906" width="8.88671875" style="137"/>
    <col min="6907" max="6907" width="6" style="137" customWidth="1"/>
    <col min="6908" max="6908" width="1.44140625" style="137" customWidth="1"/>
    <col min="6909" max="6909" width="39.109375" style="137" customWidth="1"/>
    <col min="6910" max="6910" width="12" style="137" customWidth="1"/>
    <col min="6911" max="6911" width="14.44140625" style="137" customWidth="1"/>
    <col min="6912" max="6912" width="11.88671875" style="137" customWidth="1"/>
    <col min="6913" max="6913" width="14.109375" style="137" customWidth="1"/>
    <col min="6914" max="6914" width="13.88671875" style="137" customWidth="1"/>
    <col min="6915" max="6916" width="12.77734375" style="137" customWidth="1"/>
    <col min="6917" max="6917" width="13.5546875" style="137" customWidth="1"/>
    <col min="6918" max="6918" width="15.33203125" style="137" customWidth="1"/>
    <col min="6919" max="6919" width="12.77734375" style="137" customWidth="1"/>
    <col min="6920" max="6920" width="13.88671875" style="137" customWidth="1"/>
    <col min="6921" max="6921" width="1.88671875" style="137" customWidth="1"/>
    <col min="6922" max="6922" width="13" style="137" customWidth="1"/>
    <col min="6923" max="7162" width="8.88671875" style="137"/>
    <col min="7163" max="7163" width="6" style="137" customWidth="1"/>
    <col min="7164" max="7164" width="1.44140625" style="137" customWidth="1"/>
    <col min="7165" max="7165" width="39.109375" style="137" customWidth="1"/>
    <col min="7166" max="7166" width="12" style="137" customWidth="1"/>
    <col min="7167" max="7167" width="14.44140625" style="137" customWidth="1"/>
    <col min="7168" max="7168" width="11.88671875" style="137" customWidth="1"/>
    <col min="7169" max="7169" width="14.109375" style="137" customWidth="1"/>
    <col min="7170" max="7170" width="13.88671875" style="137" customWidth="1"/>
    <col min="7171" max="7172" width="12.77734375" style="137" customWidth="1"/>
    <col min="7173" max="7173" width="13.5546875" style="137" customWidth="1"/>
    <col min="7174" max="7174" width="15.33203125" style="137" customWidth="1"/>
    <col min="7175" max="7175" width="12.77734375" style="137" customWidth="1"/>
    <col min="7176" max="7176" width="13.88671875" style="137" customWidth="1"/>
    <col min="7177" max="7177" width="1.88671875" style="137" customWidth="1"/>
    <col min="7178" max="7178" width="13" style="137" customWidth="1"/>
    <col min="7179" max="7418" width="8.88671875" style="137"/>
    <col min="7419" max="7419" width="6" style="137" customWidth="1"/>
    <col min="7420" max="7420" width="1.44140625" style="137" customWidth="1"/>
    <col min="7421" max="7421" width="39.109375" style="137" customWidth="1"/>
    <col min="7422" max="7422" width="12" style="137" customWidth="1"/>
    <col min="7423" max="7423" width="14.44140625" style="137" customWidth="1"/>
    <col min="7424" max="7424" width="11.88671875" style="137" customWidth="1"/>
    <col min="7425" max="7425" width="14.109375" style="137" customWidth="1"/>
    <col min="7426" max="7426" width="13.88671875" style="137" customWidth="1"/>
    <col min="7427" max="7428" width="12.77734375" style="137" customWidth="1"/>
    <col min="7429" max="7429" width="13.5546875" style="137" customWidth="1"/>
    <col min="7430" max="7430" width="15.33203125" style="137" customWidth="1"/>
    <col min="7431" max="7431" width="12.77734375" style="137" customWidth="1"/>
    <col min="7432" max="7432" width="13.88671875" style="137" customWidth="1"/>
    <col min="7433" max="7433" width="1.88671875" style="137" customWidth="1"/>
    <col min="7434" max="7434" width="13" style="137" customWidth="1"/>
    <col min="7435" max="7674" width="8.88671875" style="137"/>
    <col min="7675" max="7675" width="6" style="137" customWidth="1"/>
    <col min="7676" max="7676" width="1.44140625" style="137" customWidth="1"/>
    <col min="7677" max="7677" width="39.109375" style="137" customWidth="1"/>
    <col min="7678" max="7678" width="12" style="137" customWidth="1"/>
    <col min="7679" max="7679" width="14.44140625" style="137" customWidth="1"/>
    <col min="7680" max="7680" width="11.88671875" style="137" customWidth="1"/>
    <col min="7681" max="7681" width="14.109375" style="137" customWidth="1"/>
    <col min="7682" max="7682" width="13.88671875" style="137" customWidth="1"/>
    <col min="7683" max="7684" width="12.77734375" style="137" customWidth="1"/>
    <col min="7685" max="7685" width="13.5546875" style="137" customWidth="1"/>
    <col min="7686" max="7686" width="15.33203125" style="137" customWidth="1"/>
    <col min="7687" max="7687" width="12.77734375" style="137" customWidth="1"/>
    <col min="7688" max="7688" width="13.88671875" style="137" customWidth="1"/>
    <col min="7689" max="7689" width="1.88671875" style="137" customWidth="1"/>
    <col min="7690" max="7690" width="13" style="137" customWidth="1"/>
    <col min="7691" max="7930" width="8.88671875" style="137"/>
    <col min="7931" max="7931" width="6" style="137" customWidth="1"/>
    <col min="7932" max="7932" width="1.44140625" style="137" customWidth="1"/>
    <col min="7933" max="7933" width="39.109375" style="137" customWidth="1"/>
    <col min="7934" max="7934" width="12" style="137" customWidth="1"/>
    <col min="7935" max="7935" width="14.44140625" style="137" customWidth="1"/>
    <col min="7936" max="7936" width="11.88671875" style="137" customWidth="1"/>
    <col min="7937" max="7937" width="14.109375" style="137" customWidth="1"/>
    <col min="7938" max="7938" width="13.88671875" style="137" customWidth="1"/>
    <col min="7939" max="7940" width="12.77734375" style="137" customWidth="1"/>
    <col min="7941" max="7941" width="13.5546875" style="137" customWidth="1"/>
    <col min="7942" max="7942" width="15.33203125" style="137" customWidth="1"/>
    <col min="7943" max="7943" width="12.77734375" style="137" customWidth="1"/>
    <col min="7944" max="7944" width="13.88671875" style="137" customWidth="1"/>
    <col min="7945" max="7945" width="1.88671875" style="137" customWidth="1"/>
    <col min="7946" max="7946" width="13" style="137" customWidth="1"/>
    <col min="7947" max="8186" width="8.88671875" style="137"/>
    <col min="8187" max="8187" width="6" style="137" customWidth="1"/>
    <col min="8188" max="8188" width="1.44140625" style="137" customWidth="1"/>
    <col min="8189" max="8189" width="39.109375" style="137" customWidth="1"/>
    <col min="8190" max="8190" width="12" style="137" customWidth="1"/>
    <col min="8191" max="8191" width="14.44140625" style="137" customWidth="1"/>
    <col min="8192" max="8192" width="11.88671875" style="137" customWidth="1"/>
    <col min="8193" max="8193" width="14.109375" style="137" customWidth="1"/>
    <col min="8194" max="8194" width="13.88671875" style="137" customWidth="1"/>
    <col min="8195" max="8196" width="12.77734375" style="137" customWidth="1"/>
    <col min="8197" max="8197" width="13.5546875" style="137" customWidth="1"/>
    <col min="8198" max="8198" width="15.33203125" style="137" customWidth="1"/>
    <col min="8199" max="8199" width="12.77734375" style="137" customWidth="1"/>
    <col min="8200" max="8200" width="13.88671875" style="137" customWidth="1"/>
    <col min="8201" max="8201" width="1.88671875" style="137" customWidth="1"/>
    <col min="8202" max="8202" width="13" style="137" customWidth="1"/>
    <col min="8203" max="8442" width="8.88671875" style="137"/>
    <col min="8443" max="8443" width="6" style="137" customWidth="1"/>
    <col min="8444" max="8444" width="1.44140625" style="137" customWidth="1"/>
    <col min="8445" max="8445" width="39.109375" style="137" customWidth="1"/>
    <col min="8446" max="8446" width="12" style="137" customWidth="1"/>
    <col min="8447" max="8447" width="14.44140625" style="137" customWidth="1"/>
    <col min="8448" max="8448" width="11.88671875" style="137" customWidth="1"/>
    <col min="8449" max="8449" width="14.109375" style="137" customWidth="1"/>
    <col min="8450" max="8450" width="13.88671875" style="137" customWidth="1"/>
    <col min="8451" max="8452" width="12.77734375" style="137" customWidth="1"/>
    <col min="8453" max="8453" width="13.5546875" style="137" customWidth="1"/>
    <col min="8454" max="8454" width="15.33203125" style="137" customWidth="1"/>
    <col min="8455" max="8455" width="12.77734375" style="137" customWidth="1"/>
    <col min="8456" max="8456" width="13.88671875" style="137" customWidth="1"/>
    <col min="8457" max="8457" width="1.88671875" style="137" customWidth="1"/>
    <col min="8458" max="8458" width="13" style="137" customWidth="1"/>
    <col min="8459" max="8698" width="8.88671875" style="137"/>
    <col min="8699" max="8699" width="6" style="137" customWidth="1"/>
    <col min="8700" max="8700" width="1.44140625" style="137" customWidth="1"/>
    <col min="8701" max="8701" width="39.109375" style="137" customWidth="1"/>
    <col min="8702" max="8702" width="12" style="137" customWidth="1"/>
    <col min="8703" max="8703" width="14.44140625" style="137" customWidth="1"/>
    <col min="8704" max="8704" width="11.88671875" style="137" customWidth="1"/>
    <col min="8705" max="8705" width="14.109375" style="137" customWidth="1"/>
    <col min="8706" max="8706" width="13.88671875" style="137" customWidth="1"/>
    <col min="8707" max="8708" width="12.77734375" style="137" customWidth="1"/>
    <col min="8709" max="8709" width="13.5546875" style="137" customWidth="1"/>
    <col min="8710" max="8710" width="15.33203125" style="137" customWidth="1"/>
    <col min="8711" max="8711" width="12.77734375" style="137" customWidth="1"/>
    <col min="8712" max="8712" width="13.88671875" style="137" customWidth="1"/>
    <col min="8713" max="8713" width="1.88671875" style="137" customWidth="1"/>
    <col min="8714" max="8714" width="13" style="137" customWidth="1"/>
    <col min="8715" max="8954" width="8.88671875" style="137"/>
    <col min="8955" max="8955" width="6" style="137" customWidth="1"/>
    <col min="8956" max="8956" width="1.44140625" style="137" customWidth="1"/>
    <col min="8957" max="8957" width="39.109375" style="137" customWidth="1"/>
    <col min="8958" max="8958" width="12" style="137" customWidth="1"/>
    <col min="8959" max="8959" width="14.44140625" style="137" customWidth="1"/>
    <col min="8960" max="8960" width="11.88671875" style="137" customWidth="1"/>
    <col min="8961" max="8961" width="14.109375" style="137" customWidth="1"/>
    <col min="8962" max="8962" width="13.88671875" style="137" customWidth="1"/>
    <col min="8963" max="8964" width="12.77734375" style="137" customWidth="1"/>
    <col min="8965" max="8965" width="13.5546875" style="137" customWidth="1"/>
    <col min="8966" max="8966" width="15.33203125" style="137" customWidth="1"/>
    <col min="8967" max="8967" width="12.77734375" style="137" customWidth="1"/>
    <col min="8968" max="8968" width="13.88671875" style="137" customWidth="1"/>
    <col min="8969" max="8969" width="1.88671875" style="137" customWidth="1"/>
    <col min="8970" max="8970" width="13" style="137" customWidth="1"/>
    <col min="8971" max="9210" width="8.88671875" style="137"/>
    <col min="9211" max="9211" width="6" style="137" customWidth="1"/>
    <col min="9212" max="9212" width="1.44140625" style="137" customWidth="1"/>
    <col min="9213" max="9213" width="39.109375" style="137" customWidth="1"/>
    <col min="9214" max="9214" width="12" style="137" customWidth="1"/>
    <col min="9215" max="9215" width="14.44140625" style="137" customWidth="1"/>
    <col min="9216" max="9216" width="11.88671875" style="137" customWidth="1"/>
    <col min="9217" max="9217" width="14.109375" style="137" customWidth="1"/>
    <col min="9218" max="9218" width="13.88671875" style="137" customWidth="1"/>
    <col min="9219" max="9220" width="12.77734375" style="137" customWidth="1"/>
    <col min="9221" max="9221" width="13.5546875" style="137" customWidth="1"/>
    <col min="9222" max="9222" width="15.33203125" style="137" customWidth="1"/>
    <col min="9223" max="9223" width="12.77734375" style="137" customWidth="1"/>
    <col min="9224" max="9224" width="13.88671875" style="137" customWidth="1"/>
    <col min="9225" max="9225" width="1.88671875" style="137" customWidth="1"/>
    <col min="9226" max="9226" width="13" style="137" customWidth="1"/>
    <col min="9227" max="9466" width="8.88671875" style="137"/>
    <col min="9467" max="9467" width="6" style="137" customWidth="1"/>
    <col min="9468" max="9468" width="1.44140625" style="137" customWidth="1"/>
    <col min="9469" max="9469" width="39.109375" style="137" customWidth="1"/>
    <col min="9470" max="9470" width="12" style="137" customWidth="1"/>
    <col min="9471" max="9471" width="14.44140625" style="137" customWidth="1"/>
    <col min="9472" max="9472" width="11.88671875" style="137" customWidth="1"/>
    <col min="9473" max="9473" width="14.109375" style="137" customWidth="1"/>
    <col min="9474" max="9474" width="13.88671875" style="137" customWidth="1"/>
    <col min="9475" max="9476" width="12.77734375" style="137" customWidth="1"/>
    <col min="9477" max="9477" width="13.5546875" style="137" customWidth="1"/>
    <col min="9478" max="9478" width="15.33203125" style="137" customWidth="1"/>
    <col min="9479" max="9479" width="12.77734375" style="137" customWidth="1"/>
    <col min="9480" max="9480" width="13.88671875" style="137" customWidth="1"/>
    <col min="9481" max="9481" width="1.88671875" style="137" customWidth="1"/>
    <col min="9482" max="9482" width="13" style="137" customWidth="1"/>
    <col min="9483" max="9722" width="8.88671875" style="137"/>
    <col min="9723" max="9723" width="6" style="137" customWidth="1"/>
    <col min="9724" max="9724" width="1.44140625" style="137" customWidth="1"/>
    <col min="9725" max="9725" width="39.109375" style="137" customWidth="1"/>
    <col min="9726" max="9726" width="12" style="137" customWidth="1"/>
    <col min="9727" max="9727" width="14.44140625" style="137" customWidth="1"/>
    <col min="9728" max="9728" width="11.88671875" style="137" customWidth="1"/>
    <col min="9729" max="9729" width="14.109375" style="137" customWidth="1"/>
    <col min="9730" max="9730" width="13.88671875" style="137" customWidth="1"/>
    <col min="9731" max="9732" width="12.77734375" style="137" customWidth="1"/>
    <col min="9733" max="9733" width="13.5546875" style="137" customWidth="1"/>
    <col min="9734" max="9734" width="15.33203125" style="137" customWidth="1"/>
    <col min="9735" max="9735" width="12.77734375" style="137" customWidth="1"/>
    <col min="9736" max="9736" width="13.88671875" style="137" customWidth="1"/>
    <col min="9737" max="9737" width="1.88671875" style="137" customWidth="1"/>
    <col min="9738" max="9738" width="13" style="137" customWidth="1"/>
    <col min="9739" max="9978" width="8.88671875" style="137"/>
    <col min="9979" max="9979" width="6" style="137" customWidth="1"/>
    <col min="9980" max="9980" width="1.44140625" style="137" customWidth="1"/>
    <col min="9981" max="9981" width="39.109375" style="137" customWidth="1"/>
    <col min="9982" max="9982" width="12" style="137" customWidth="1"/>
    <col min="9983" max="9983" width="14.44140625" style="137" customWidth="1"/>
    <col min="9984" max="9984" width="11.88671875" style="137" customWidth="1"/>
    <col min="9985" max="9985" width="14.109375" style="137" customWidth="1"/>
    <col min="9986" max="9986" width="13.88671875" style="137" customWidth="1"/>
    <col min="9987" max="9988" width="12.77734375" style="137" customWidth="1"/>
    <col min="9989" max="9989" width="13.5546875" style="137" customWidth="1"/>
    <col min="9990" max="9990" width="15.33203125" style="137" customWidth="1"/>
    <col min="9991" max="9991" width="12.77734375" style="137" customWidth="1"/>
    <col min="9992" max="9992" width="13.88671875" style="137" customWidth="1"/>
    <col min="9993" max="9993" width="1.88671875" style="137" customWidth="1"/>
    <col min="9994" max="9994" width="13" style="137" customWidth="1"/>
    <col min="9995" max="10234" width="8.88671875" style="137"/>
    <col min="10235" max="10235" width="6" style="137" customWidth="1"/>
    <col min="10236" max="10236" width="1.44140625" style="137" customWidth="1"/>
    <col min="10237" max="10237" width="39.109375" style="137" customWidth="1"/>
    <col min="10238" max="10238" width="12" style="137" customWidth="1"/>
    <col min="10239" max="10239" width="14.44140625" style="137" customWidth="1"/>
    <col min="10240" max="10240" width="11.88671875" style="137" customWidth="1"/>
    <col min="10241" max="10241" width="14.109375" style="137" customWidth="1"/>
    <col min="10242" max="10242" width="13.88671875" style="137" customWidth="1"/>
    <col min="10243" max="10244" width="12.77734375" style="137" customWidth="1"/>
    <col min="10245" max="10245" width="13.5546875" style="137" customWidth="1"/>
    <col min="10246" max="10246" width="15.33203125" style="137" customWidth="1"/>
    <col min="10247" max="10247" width="12.77734375" style="137" customWidth="1"/>
    <col min="10248" max="10248" width="13.88671875" style="137" customWidth="1"/>
    <col min="10249" max="10249" width="1.88671875" style="137" customWidth="1"/>
    <col min="10250" max="10250" width="13" style="137" customWidth="1"/>
    <col min="10251" max="10490" width="8.88671875" style="137"/>
    <col min="10491" max="10491" width="6" style="137" customWidth="1"/>
    <col min="10492" max="10492" width="1.44140625" style="137" customWidth="1"/>
    <col min="10493" max="10493" width="39.109375" style="137" customWidth="1"/>
    <col min="10494" max="10494" width="12" style="137" customWidth="1"/>
    <col min="10495" max="10495" width="14.44140625" style="137" customWidth="1"/>
    <col min="10496" max="10496" width="11.88671875" style="137" customWidth="1"/>
    <col min="10497" max="10497" width="14.109375" style="137" customWidth="1"/>
    <col min="10498" max="10498" width="13.88671875" style="137" customWidth="1"/>
    <col min="10499" max="10500" width="12.77734375" style="137" customWidth="1"/>
    <col min="10501" max="10501" width="13.5546875" style="137" customWidth="1"/>
    <col min="10502" max="10502" width="15.33203125" style="137" customWidth="1"/>
    <col min="10503" max="10503" width="12.77734375" style="137" customWidth="1"/>
    <col min="10504" max="10504" width="13.88671875" style="137" customWidth="1"/>
    <col min="10505" max="10505" width="1.88671875" style="137" customWidth="1"/>
    <col min="10506" max="10506" width="13" style="137" customWidth="1"/>
    <col min="10507" max="10746" width="8.88671875" style="137"/>
    <col min="10747" max="10747" width="6" style="137" customWidth="1"/>
    <col min="10748" max="10748" width="1.44140625" style="137" customWidth="1"/>
    <col min="10749" max="10749" width="39.109375" style="137" customWidth="1"/>
    <col min="10750" max="10750" width="12" style="137" customWidth="1"/>
    <col min="10751" max="10751" width="14.44140625" style="137" customWidth="1"/>
    <col min="10752" max="10752" width="11.88671875" style="137" customWidth="1"/>
    <col min="10753" max="10753" width="14.109375" style="137" customWidth="1"/>
    <col min="10754" max="10754" width="13.88671875" style="137" customWidth="1"/>
    <col min="10755" max="10756" width="12.77734375" style="137" customWidth="1"/>
    <col min="10757" max="10757" width="13.5546875" style="137" customWidth="1"/>
    <col min="10758" max="10758" width="15.33203125" style="137" customWidth="1"/>
    <col min="10759" max="10759" width="12.77734375" style="137" customWidth="1"/>
    <col min="10760" max="10760" width="13.88671875" style="137" customWidth="1"/>
    <col min="10761" max="10761" width="1.88671875" style="137" customWidth="1"/>
    <col min="10762" max="10762" width="13" style="137" customWidth="1"/>
    <col min="10763" max="11002" width="8.88671875" style="137"/>
    <col min="11003" max="11003" width="6" style="137" customWidth="1"/>
    <col min="11004" max="11004" width="1.44140625" style="137" customWidth="1"/>
    <col min="11005" max="11005" width="39.109375" style="137" customWidth="1"/>
    <col min="11006" max="11006" width="12" style="137" customWidth="1"/>
    <col min="11007" max="11007" width="14.44140625" style="137" customWidth="1"/>
    <col min="11008" max="11008" width="11.88671875" style="137" customWidth="1"/>
    <col min="11009" max="11009" width="14.109375" style="137" customWidth="1"/>
    <col min="11010" max="11010" width="13.88671875" style="137" customWidth="1"/>
    <col min="11011" max="11012" width="12.77734375" style="137" customWidth="1"/>
    <col min="11013" max="11013" width="13.5546875" style="137" customWidth="1"/>
    <col min="11014" max="11014" width="15.33203125" style="137" customWidth="1"/>
    <col min="11015" max="11015" width="12.77734375" style="137" customWidth="1"/>
    <col min="11016" max="11016" width="13.88671875" style="137" customWidth="1"/>
    <col min="11017" max="11017" width="1.88671875" style="137" customWidth="1"/>
    <col min="11018" max="11018" width="13" style="137" customWidth="1"/>
    <col min="11019" max="11258" width="8.88671875" style="137"/>
    <col min="11259" max="11259" width="6" style="137" customWidth="1"/>
    <col min="11260" max="11260" width="1.44140625" style="137" customWidth="1"/>
    <col min="11261" max="11261" width="39.109375" style="137" customWidth="1"/>
    <col min="11262" max="11262" width="12" style="137" customWidth="1"/>
    <col min="11263" max="11263" width="14.44140625" style="137" customWidth="1"/>
    <col min="11264" max="11264" width="11.88671875" style="137" customWidth="1"/>
    <col min="11265" max="11265" width="14.109375" style="137" customWidth="1"/>
    <col min="11266" max="11266" width="13.88671875" style="137" customWidth="1"/>
    <col min="11267" max="11268" width="12.77734375" style="137" customWidth="1"/>
    <col min="11269" max="11269" width="13.5546875" style="137" customWidth="1"/>
    <col min="11270" max="11270" width="15.33203125" style="137" customWidth="1"/>
    <col min="11271" max="11271" width="12.77734375" style="137" customWidth="1"/>
    <col min="11272" max="11272" width="13.88671875" style="137" customWidth="1"/>
    <col min="11273" max="11273" width="1.88671875" style="137" customWidth="1"/>
    <col min="11274" max="11274" width="13" style="137" customWidth="1"/>
    <col min="11275" max="11514" width="8.88671875" style="137"/>
    <col min="11515" max="11515" width="6" style="137" customWidth="1"/>
    <col min="11516" max="11516" width="1.44140625" style="137" customWidth="1"/>
    <col min="11517" max="11517" width="39.109375" style="137" customWidth="1"/>
    <col min="11518" max="11518" width="12" style="137" customWidth="1"/>
    <col min="11519" max="11519" width="14.44140625" style="137" customWidth="1"/>
    <col min="11520" max="11520" width="11.88671875" style="137" customWidth="1"/>
    <col min="11521" max="11521" width="14.109375" style="137" customWidth="1"/>
    <col min="11522" max="11522" width="13.88671875" style="137" customWidth="1"/>
    <col min="11523" max="11524" width="12.77734375" style="137" customWidth="1"/>
    <col min="11525" max="11525" width="13.5546875" style="137" customWidth="1"/>
    <col min="11526" max="11526" width="15.33203125" style="137" customWidth="1"/>
    <col min="11527" max="11527" width="12.77734375" style="137" customWidth="1"/>
    <col min="11528" max="11528" width="13.88671875" style="137" customWidth="1"/>
    <col min="11529" max="11529" width="1.88671875" style="137" customWidth="1"/>
    <col min="11530" max="11530" width="13" style="137" customWidth="1"/>
    <col min="11531" max="11770" width="8.88671875" style="137"/>
    <col min="11771" max="11771" width="6" style="137" customWidth="1"/>
    <col min="11772" max="11772" width="1.44140625" style="137" customWidth="1"/>
    <col min="11773" max="11773" width="39.109375" style="137" customWidth="1"/>
    <col min="11774" max="11774" width="12" style="137" customWidth="1"/>
    <col min="11775" max="11775" width="14.44140625" style="137" customWidth="1"/>
    <col min="11776" max="11776" width="11.88671875" style="137" customWidth="1"/>
    <col min="11777" max="11777" width="14.109375" style="137" customWidth="1"/>
    <col min="11778" max="11778" width="13.88671875" style="137" customWidth="1"/>
    <col min="11779" max="11780" width="12.77734375" style="137" customWidth="1"/>
    <col min="11781" max="11781" width="13.5546875" style="137" customWidth="1"/>
    <col min="11782" max="11782" width="15.33203125" style="137" customWidth="1"/>
    <col min="11783" max="11783" width="12.77734375" style="137" customWidth="1"/>
    <col min="11784" max="11784" width="13.88671875" style="137" customWidth="1"/>
    <col min="11785" max="11785" width="1.88671875" style="137" customWidth="1"/>
    <col min="11786" max="11786" width="13" style="137" customWidth="1"/>
    <col min="11787" max="12026" width="8.88671875" style="137"/>
    <col min="12027" max="12027" width="6" style="137" customWidth="1"/>
    <col min="12028" max="12028" width="1.44140625" style="137" customWidth="1"/>
    <col min="12029" max="12029" width="39.109375" style="137" customWidth="1"/>
    <col min="12030" max="12030" width="12" style="137" customWidth="1"/>
    <col min="12031" max="12031" width="14.44140625" style="137" customWidth="1"/>
    <col min="12032" max="12032" width="11.88671875" style="137" customWidth="1"/>
    <col min="12033" max="12033" width="14.109375" style="137" customWidth="1"/>
    <col min="12034" max="12034" width="13.88671875" style="137" customWidth="1"/>
    <col min="12035" max="12036" width="12.77734375" style="137" customWidth="1"/>
    <col min="12037" max="12037" width="13.5546875" style="137" customWidth="1"/>
    <col min="12038" max="12038" width="15.33203125" style="137" customWidth="1"/>
    <col min="12039" max="12039" width="12.77734375" style="137" customWidth="1"/>
    <col min="12040" max="12040" width="13.88671875" style="137" customWidth="1"/>
    <col min="12041" max="12041" width="1.88671875" style="137" customWidth="1"/>
    <col min="12042" max="12042" width="13" style="137" customWidth="1"/>
    <col min="12043" max="12282" width="8.88671875" style="137"/>
    <col min="12283" max="12283" width="6" style="137" customWidth="1"/>
    <col min="12284" max="12284" width="1.44140625" style="137" customWidth="1"/>
    <col min="12285" max="12285" width="39.109375" style="137" customWidth="1"/>
    <col min="12286" max="12286" width="12" style="137" customWidth="1"/>
    <col min="12287" max="12287" width="14.44140625" style="137" customWidth="1"/>
    <col min="12288" max="12288" width="11.88671875" style="137" customWidth="1"/>
    <col min="12289" max="12289" width="14.109375" style="137" customWidth="1"/>
    <col min="12290" max="12290" width="13.88671875" style="137" customWidth="1"/>
    <col min="12291" max="12292" width="12.77734375" style="137" customWidth="1"/>
    <col min="12293" max="12293" width="13.5546875" style="137" customWidth="1"/>
    <col min="12294" max="12294" width="15.33203125" style="137" customWidth="1"/>
    <col min="12295" max="12295" width="12.77734375" style="137" customWidth="1"/>
    <col min="12296" max="12296" width="13.88671875" style="137" customWidth="1"/>
    <col min="12297" max="12297" width="1.88671875" style="137" customWidth="1"/>
    <col min="12298" max="12298" width="13" style="137" customWidth="1"/>
    <col min="12299" max="12538" width="8.88671875" style="137"/>
    <col min="12539" max="12539" width="6" style="137" customWidth="1"/>
    <col min="12540" max="12540" width="1.44140625" style="137" customWidth="1"/>
    <col min="12541" max="12541" width="39.109375" style="137" customWidth="1"/>
    <col min="12542" max="12542" width="12" style="137" customWidth="1"/>
    <col min="12543" max="12543" width="14.44140625" style="137" customWidth="1"/>
    <col min="12544" max="12544" width="11.88671875" style="137" customWidth="1"/>
    <col min="12545" max="12545" width="14.109375" style="137" customWidth="1"/>
    <col min="12546" max="12546" width="13.88671875" style="137" customWidth="1"/>
    <col min="12547" max="12548" width="12.77734375" style="137" customWidth="1"/>
    <col min="12549" max="12549" width="13.5546875" style="137" customWidth="1"/>
    <col min="12550" max="12550" width="15.33203125" style="137" customWidth="1"/>
    <col min="12551" max="12551" width="12.77734375" style="137" customWidth="1"/>
    <col min="12552" max="12552" width="13.88671875" style="137" customWidth="1"/>
    <col min="12553" max="12553" width="1.88671875" style="137" customWidth="1"/>
    <col min="12554" max="12554" width="13" style="137" customWidth="1"/>
    <col min="12555" max="12794" width="8.88671875" style="137"/>
    <col min="12795" max="12795" width="6" style="137" customWidth="1"/>
    <col min="12796" max="12796" width="1.44140625" style="137" customWidth="1"/>
    <col min="12797" max="12797" width="39.109375" style="137" customWidth="1"/>
    <col min="12798" max="12798" width="12" style="137" customWidth="1"/>
    <col min="12799" max="12799" width="14.44140625" style="137" customWidth="1"/>
    <col min="12800" max="12800" width="11.88671875" style="137" customWidth="1"/>
    <col min="12801" max="12801" width="14.109375" style="137" customWidth="1"/>
    <col min="12802" max="12802" width="13.88671875" style="137" customWidth="1"/>
    <col min="12803" max="12804" width="12.77734375" style="137" customWidth="1"/>
    <col min="12805" max="12805" width="13.5546875" style="137" customWidth="1"/>
    <col min="12806" max="12806" width="15.33203125" style="137" customWidth="1"/>
    <col min="12807" max="12807" width="12.77734375" style="137" customWidth="1"/>
    <col min="12808" max="12808" width="13.88671875" style="137" customWidth="1"/>
    <col min="12809" max="12809" width="1.88671875" style="137" customWidth="1"/>
    <col min="12810" max="12810" width="13" style="137" customWidth="1"/>
    <col min="12811" max="13050" width="8.88671875" style="137"/>
    <col min="13051" max="13051" width="6" style="137" customWidth="1"/>
    <col min="13052" max="13052" width="1.44140625" style="137" customWidth="1"/>
    <col min="13053" max="13053" width="39.109375" style="137" customWidth="1"/>
    <col min="13054" max="13054" width="12" style="137" customWidth="1"/>
    <col min="13055" max="13055" width="14.44140625" style="137" customWidth="1"/>
    <col min="13056" max="13056" width="11.88671875" style="137" customWidth="1"/>
    <col min="13057" max="13057" width="14.109375" style="137" customWidth="1"/>
    <col min="13058" max="13058" width="13.88671875" style="137" customWidth="1"/>
    <col min="13059" max="13060" width="12.77734375" style="137" customWidth="1"/>
    <col min="13061" max="13061" width="13.5546875" style="137" customWidth="1"/>
    <col min="13062" max="13062" width="15.33203125" style="137" customWidth="1"/>
    <col min="13063" max="13063" width="12.77734375" style="137" customWidth="1"/>
    <col min="13064" max="13064" width="13.88671875" style="137" customWidth="1"/>
    <col min="13065" max="13065" width="1.88671875" style="137" customWidth="1"/>
    <col min="13066" max="13066" width="13" style="137" customWidth="1"/>
    <col min="13067" max="13306" width="8.88671875" style="137"/>
    <col min="13307" max="13307" width="6" style="137" customWidth="1"/>
    <col min="13308" max="13308" width="1.44140625" style="137" customWidth="1"/>
    <col min="13309" max="13309" width="39.109375" style="137" customWidth="1"/>
    <col min="13310" max="13310" width="12" style="137" customWidth="1"/>
    <col min="13311" max="13311" width="14.44140625" style="137" customWidth="1"/>
    <col min="13312" max="13312" width="11.88671875" style="137" customWidth="1"/>
    <col min="13313" max="13313" width="14.109375" style="137" customWidth="1"/>
    <col min="13314" max="13314" width="13.88671875" style="137" customWidth="1"/>
    <col min="13315" max="13316" width="12.77734375" style="137" customWidth="1"/>
    <col min="13317" max="13317" width="13.5546875" style="137" customWidth="1"/>
    <col min="13318" max="13318" width="15.33203125" style="137" customWidth="1"/>
    <col min="13319" max="13319" width="12.77734375" style="137" customWidth="1"/>
    <col min="13320" max="13320" width="13.88671875" style="137" customWidth="1"/>
    <col min="13321" max="13321" width="1.88671875" style="137" customWidth="1"/>
    <col min="13322" max="13322" width="13" style="137" customWidth="1"/>
    <col min="13323" max="13562" width="8.88671875" style="137"/>
    <col min="13563" max="13563" width="6" style="137" customWidth="1"/>
    <col min="13564" max="13564" width="1.44140625" style="137" customWidth="1"/>
    <col min="13565" max="13565" width="39.109375" style="137" customWidth="1"/>
    <col min="13566" max="13566" width="12" style="137" customWidth="1"/>
    <col min="13567" max="13567" width="14.44140625" style="137" customWidth="1"/>
    <col min="13568" max="13568" width="11.88671875" style="137" customWidth="1"/>
    <col min="13569" max="13569" width="14.109375" style="137" customWidth="1"/>
    <col min="13570" max="13570" width="13.88671875" style="137" customWidth="1"/>
    <col min="13571" max="13572" width="12.77734375" style="137" customWidth="1"/>
    <col min="13573" max="13573" width="13.5546875" style="137" customWidth="1"/>
    <col min="13574" max="13574" width="15.33203125" style="137" customWidth="1"/>
    <col min="13575" max="13575" width="12.77734375" style="137" customWidth="1"/>
    <col min="13576" max="13576" width="13.88671875" style="137" customWidth="1"/>
    <col min="13577" max="13577" width="1.88671875" style="137" customWidth="1"/>
    <col min="13578" max="13578" width="13" style="137" customWidth="1"/>
    <col min="13579" max="13818" width="8.88671875" style="137"/>
    <col min="13819" max="13819" width="6" style="137" customWidth="1"/>
    <col min="13820" max="13820" width="1.44140625" style="137" customWidth="1"/>
    <col min="13821" max="13821" width="39.109375" style="137" customWidth="1"/>
    <col min="13822" max="13822" width="12" style="137" customWidth="1"/>
    <col min="13823" max="13823" width="14.44140625" style="137" customWidth="1"/>
    <col min="13824" max="13824" width="11.88671875" style="137" customWidth="1"/>
    <col min="13825" max="13825" width="14.109375" style="137" customWidth="1"/>
    <col min="13826" max="13826" width="13.88671875" style="137" customWidth="1"/>
    <col min="13827" max="13828" width="12.77734375" style="137" customWidth="1"/>
    <col min="13829" max="13829" width="13.5546875" style="137" customWidth="1"/>
    <col min="13830" max="13830" width="15.33203125" style="137" customWidth="1"/>
    <col min="13831" max="13831" width="12.77734375" style="137" customWidth="1"/>
    <col min="13832" max="13832" width="13.88671875" style="137" customWidth="1"/>
    <col min="13833" max="13833" width="1.88671875" style="137" customWidth="1"/>
    <col min="13834" max="13834" width="13" style="137" customWidth="1"/>
    <col min="13835" max="14074" width="8.88671875" style="137"/>
    <col min="14075" max="14075" width="6" style="137" customWidth="1"/>
    <col min="14076" max="14076" width="1.44140625" style="137" customWidth="1"/>
    <col min="14077" max="14077" width="39.109375" style="137" customWidth="1"/>
    <col min="14078" max="14078" width="12" style="137" customWidth="1"/>
    <col min="14079" max="14079" width="14.44140625" style="137" customWidth="1"/>
    <col min="14080" max="14080" width="11.88671875" style="137" customWidth="1"/>
    <col min="14081" max="14081" width="14.109375" style="137" customWidth="1"/>
    <col min="14082" max="14082" width="13.88671875" style="137" customWidth="1"/>
    <col min="14083" max="14084" width="12.77734375" style="137" customWidth="1"/>
    <col min="14085" max="14085" width="13.5546875" style="137" customWidth="1"/>
    <col min="14086" max="14086" width="15.33203125" style="137" customWidth="1"/>
    <col min="14087" max="14087" width="12.77734375" style="137" customWidth="1"/>
    <col min="14088" max="14088" width="13.88671875" style="137" customWidth="1"/>
    <col min="14089" max="14089" width="1.88671875" style="137" customWidth="1"/>
    <col min="14090" max="14090" width="13" style="137" customWidth="1"/>
    <col min="14091" max="14330" width="8.88671875" style="137"/>
    <col min="14331" max="14331" width="6" style="137" customWidth="1"/>
    <col min="14332" max="14332" width="1.44140625" style="137" customWidth="1"/>
    <col min="14333" max="14333" width="39.109375" style="137" customWidth="1"/>
    <col min="14334" max="14334" width="12" style="137" customWidth="1"/>
    <col min="14335" max="14335" width="14.44140625" style="137" customWidth="1"/>
    <col min="14336" max="14336" width="11.88671875" style="137" customWidth="1"/>
    <col min="14337" max="14337" width="14.109375" style="137" customWidth="1"/>
    <col min="14338" max="14338" width="13.88671875" style="137" customWidth="1"/>
    <col min="14339" max="14340" width="12.77734375" style="137" customWidth="1"/>
    <col min="14341" max="14341" width="13.5546875" style="137" customWidth="1"/>
    <col min="14342" max="14342" width="15.33203125" style="137" customWidth="1"/>
    <col min="14343" max="14343" width="12.77734375" style="137" customWidth="1"/>
    <col min="14344" max="14344" width="13.88671875" style="137" customWidth="1"/>
    <col min="14345" max="14345" width="1.88671875" style="137" customWidth="1"/>
    <col min="14346" max="14346" width="13" style="137" customWidth="1"/>
    <col min="14347" max="14586" width="8.88671875" style="137"/>
    <col min="14587" max="14587" width="6" style="137" customWidth="1"/>
    <col min="14588" max="14588" width="1.44140625" style="137" customWidth="1"/>
    <col min="14589" max="14589" width="39.109375" style="137" customWidth="1"/>
    <col min="14590" max="14590" width="12" style="137" customWidth="1"/>
    <col min="14591" max="14591" width="14.44140625" style="137" customWidth="1"/>
    <col min="14592" max="14592" width="11.88671875" style="137" customWidth="1"/>
    <col min="14593" max="14593" width="14.109375" style="137" customWidth="1"/>
    <col min="14594" max="14594" width="13.88671875" style="137" customWidth="1"/>
    <col min="14595" max="14596" width="12.77734375" style="137" customWidth="1"/>
    <col min="14597" max="14597" width="13.5546875" style="137" customWidth="1"/>
    <col min="14598" max="14598" width="15.33203125" style="137" customWidth="1"/>
    <col min="14599" max="14599" width="12.77734375" style="137" customWidth="1"/>
    <col min="14600" max="14600" width="13.88671875" style="137" customWidth="1"/>
    <col min="14601" max="14601" width="1.88671875" style="137" customWidth="1"/>
    <col min="14602" max="14602" width="13" style="137" customWidth="1"/>
    <col min="14603" max="14842" width="8.88671875" style="137"/>
    <col min="14843" max="14843" width="6" style="137" customWidth="1"/>
    <col min="14844" max="14844" width="1.44140625" style="137" customWidth="1"/>
    <col min="14845" max="14845" width="39.109375" style="137" customWidth="1"/>
    <col min="14846" max="14846" width="12" style="137" customWidth="1"/>
    <col min="14847" max="14847" width="14.44140625" style="137" customWidth="1"/>
    <col min="14848" max="14848" width="11.88671875" style="137" customWidth="1"/>
    <col min="14849" max="14849" width="14.109375" style="137" customWidth="1"/>
    <col min="14850" max="14850" width="13.88671875" style="137" customWidth="1"/>
    <col min="14851" max="14852" width="12.77734375" style="137" customWidth="1"/>
    <col min="14853" max="14853" width="13.5546875" style="137" customWidth="1"/>
    <col min="14854" max="14854" width="15.33203125" style="137" customWidth="1"/>
    <col min="14855" max="14855" width="12.77734375" style="137" customWidth="1"/>
    <col min="14856" max="14856" width="13.88671875" style="137" customWidth="1"/>
    <col min="14857" max="14857" width="1.88671875" style="137" customWidth="1"/>
    <col min="14858" max="14858" width="13" style="137" customWidth="1"/>
    <col min="14859" max="15098" width="8.88671875" style="137"/>
    <col min="15099" max="15099" width="6" style="137" customWidth="1"/>
    <col min="15100" max="15100" width="1.44140625" style="137" customWidth="1"/>
    <col min="15101" max="15101" width="39.109375" style="137" customWidth="1"/>
    <col min="15102" max="15102" width="12" style="137" customWidth="1"/>
    <col min="15103" max="15103" width="14.44140625" style="137" customWidth="1"/>
    <col min="15104" max="15104" width="11.88671875" style="137" customWidth="1"/>
    <col min="15105" max="15105" width="14.109375" style="137" customWidth="1"/>
    <col min="15106" max="15106" width="13.88671875" style="137" customWidth="1"/>
    <col min="15107" max="15108" width="12.77734375" style="137" customWidth="1"/>
    <col min="15109" max="15109" width="13.5546875" style="137" customWidth="1"/>
    <col min="15110" max="15110" width="15.33203125" style="137" customWidth="1"/>
    <col min="15111" max="15111" width="12.77734375" style="137" customWidth="1"/>
    <col min="15112" max="15112" width="13.88671875" style="137" customWidth="1"/>
    <col min="15113" max="15113" width="1.88671875" style="137" customWidth="1"/>
    <col min="15114" max="15114" width="13" style="137" customWidth="1"/>
    <col min="15115" max="15354" width="8.88671875" style="137"/>
    <col min="15355" max="15355" width="6" style="137" customWidth="1"/>
    <col min="15356" max="15356" width="1.44140625" style="137" customWidth="1"/>
    <col min="15357" max="15357" width="39.109375" style="137" customWidth="1"/>
    <col min="15358" max="15358" width="12" style="137" customWidth="1"/>
    <col min="15359" max="15359" width="14.44140625" style="137" customWidth="1"/>
    <col min="15360" max="15360" width="11.88671875" style="137" customWidth="1"/>
    <col min="15361" max="15361" width="14.109375" style="137" customWidth="1"/>
    <col min="15362" max="15362" width="13.88671875" style="137" customWidth="1"/>
    <col min="15363" max="15364" width="12.77734375" style="137" customWidth="1"/>
    <col min="15365" max="15365" width="13.5546875" style="137" customWidth="1"/>
    <col min="15366" max="15366" width="15.33203125" style="137" customWidth="1"/>
    <col min="15367" max="15367" width="12.77734375" style="137" customWidth="1"/>
    <col min="15368" max="15368" width="13.88671875" style="137" customWidth="1"/>
    <col min="15369" max="15369" width="1.88671875" style="137" customWidth="1"/>
    <col min="15370" max="15370" width="13" style="137" customWidth="1"/>
    <col min="15371" max="15610" width="8.88671875" style="137"/>
    <col min="15611" max="15611" width="6" style="137" customWidth="1"/>
    <col min="15612" max="15612" width="1.44140625" style="137" customWidth="1"/>
    <col min="15613" max="15613" width="39.109375" style="137" customWidth="1"/>
    <col min="15614" max="15614" width="12" style="137" customWidth="1"/>
    <col min="15615" max="15615" width="14.44140625" style="137" customWidth="1"/>
    <col min="15616" max="15616" width="11.88671875" style="137" customWidth="1"/>
    <col min="15617" max="15617" width="14.109375" style="137" customWidth="1"/>
    <col min="15618" max="15618" width="13.88671875" style="137" customWidth="1"/>
    <col min="15619" max="15620" width="12.77734375" style="137" customWidth="1"/>
    <col min="15621" max="15621" width="13.5546875" style="137" customWidth="1"/>
    <col min="15622" max="15622" width="15.33203125" style="137" customWidth="1"/>
    <col min="15623" max="15623" width="12.77734375" style="137" customWidth="1"/>
    <col min="15624" max="15624" width="13.88671875" style="137" customWidth="1"/>
    <col min="15625" max="15625" width="1.88671875" style="137" customWidth="1"/>
    <col min="15626" max="15626" width="13" style="137" customWidth="1"/>
    <col min="15627" max="15866" width="8.88671875" style="137"/>
    <col min="15867" max="15867" width="6" style="137" customWidth="1"/>
    <col min="15868" max="15868" width="1.44140625" style="137" customWidth="1"/>
    <col min="15869" max="15869" width="39.109375" style="137" customWidth="1"/>
    <col min="15870" max="15870" width="12" style="137" customWidth="1"/>
    <col min="15871" max="15871" width="14.44140625" style="137" customWidth="1"/>
    <col min="15872" max="15872" width="11.88671875" style="137" customWidth="1"/>
    <col min="15873" max="15873" width="14.109375" style="137" customWidth="1"/>
    <col min="15874" max="15874" width="13.88671875" style="137" customWidth="1"/>
    <col min="15875" max="15876" width="12.77734375" style="137" customWidth="1"/>
    <col min="15877" max="15877" width="13.5546875" style="137" customWidth="1"/>
    <col min="15878" max="15878" width="15.33203125" style="137" customWidth="1"/>
    <col min="15879" max="15879" width="12.77734375" style="137" customWidth="1"/>
    <col min="15880" max="15880" width="13.88671875" style="137" customWidth="1"/>
    <col min="15881" max="15881" width="1.88671875" style="137" customWidth="1"/>
    <col min="15882" max="15882" width="13" style="137" customWidth="1"/>
    <col min="15883" max="16122" width="8.88671875" style="137"/>
    <col min="16123" max="16123" width="6" style="137" customWidth="1"/>
    <col min="16124" max="16124" width="1.44140625" style="137" customWidth="1"/>
    <col min="16125" max="16125" width="39.109375" style="137" customWidth="1"/>
    <col min="16126" max="16126" width="12" style="137" customWidth="1"/>
    <col min="16127" max="16127" width="14.44140625" style="137" customWidth="1"/>
    <col min="16128" max="16128" width="11.88671875" style="137" customWidth="1"/>
    <col min="16129" max="16129" width="14.109375" style="137" customWidth="1"/>
    <col min="16130" max="16130" width="13.88671875" style="137" customWidth="1"/>
    <col min="16131" max="16132" width="12.77734375" style="137" customWidth="1"/>
    <col min="16133" max="16133" width="13.5546875" style="137" customWidth="1"/>
    <col min="16134" max="16134" width="15.33203125" style="137" customWidth="1"/>
    <col min="16135" max="16135" width="12.77734375" style="137" customWidth="1"/>
    <col min="16136" max="16136" width="13.88671875" style="137" customWidth="1"/>
    <col min="16137" max="16137" width="1.88671875" style="137" customWidth="1"/>
    <col min="16138" max="16138" width="13" style="137" customWidth="1"/>
    <col min="16139" max="16378" width="8.88671875" style="137"/>
    <col min="16379" max="16384" width="8.88671875" style="137" customWidth="1"/>
  </cols>
  <sheetData>
    <row r="1" spans="1:59">
      <c r="I1" s="443" t="s">
        <v>365</v>
      </c>
    </row>
    <row r="2" spans="1:59">
      <c r="I2" s="443" t="s">
        <v>417</v>
      </c>
    </row>
    <row r="3" spans="1:59">
      <c r="I3" s="422" t="s">
        <v>231</v>
      </c>
    </row>
    <row r="4" spans="1:59">
      <c r="I4" s="138" t="str">
        <f>'DE Ohio &amp; Kentucky'!J7</f>
        <v>For the 12 months ended: 12/31/2016</v>
      </c>
    </row>
    <row r="5" spans="1:59">
      <c r="C5" s="112"/>
    </row>
    <row r="6" spans="1:59">
      <c r="A6" s="219" t="s">
        <v>309</v>
      </c>
      <c r="B6" s="281"/>
      <c r="C6" s="281"/>
      <c r="D6" s="219"/>
      <c r="E6" s="219"/>
      <c r="F6" s="219"/>
      <c r="G6" s="281"/>
      <c r="H6" s="219"/>
      <c r="I6" s="221"/>
      <c r="J6" s="219"/>
      <c r="K6" s="140"/>
      <c r="L6" s="139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</row>
    <row r="7" spans="1:59">
      <c r="A7" s="220" t="s">
        <v>366</v>
      </c>
      <c r="B7" s="281"/>
      <c r="C7" s="219"/>
      <c r="D7" s="219"/>
      <c r="E7" s="219"/>
      <c r="F7" s="219"/>
      <c r="G7" s="281"/>
      <c r="H7" s="219"/>
      <c r="I7" s="221"/>
      <c r="J7" s="219"/>
      <c r="K7" s="140"/>
      <c r="L7" s="139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</row>
    <row r="8" spans="1:59">
      <c r="A8" s="221"/>
      <c r="B8" s="281"/>
      <c r="C8" s="221"/>
      <c r="D8" s="221"/>
      <c r="E8" s="221"/>
      <c r="F8" s="221"/>
      <c r="G8" s="281"/>
      <c r="H8" s="221"/>
      <c r="I8" s="221"/>
      <c r="J8" s="110"/>
      <c r="K8" s="140"/>
      <c r="L8" s="139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</row>
    <row r="9" spans="1:59">
      <c r="A9" s="444" t="s">
        <v>524</v>
      </c>
      <c r="B9" s="281"/>
      <c r="C9" s="221"/>
      <c r="D9" s="221"/>
      <c r="E9" s="221"/>
      <c r="F9" s="221"/>
      <c r="G9" s="281"/>
      <c r="H9" s="284"/>
      <c r="I9" s="221"/>
      <c r="J9" s="221"/>
      <c r="K9" s="140"/>
      <c r="L9" s="139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</row>
    <row r="10" spans="1:59">
      <c r="A10" s="362" t="s">
        <v>363</v>
      </c>
      <c r="B10" s="281"/>
      <c r="C10" s="362"/>
      <c r="D10" s="221"/>
      <c r="E10" s="221"/>
      <c r="F10" s="221"/>
      <c r="G10" s="281"/>
      <c r="H10" s="284"/>
      <c r="I10" s="221"/>
      <c r="J10" s="221"/>
      <c r="K10" s="140"/>
      <c r="L10" s="139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</row>
    <row r="11" spans="1:59">
      <c r="A11" s="142"/>
      <c r="C11" s="110"/>
      <c r="D11" s="110"/>
      <c r="E11" s="110"/>
      <c r="F11" s="110"/>
      <c r="G11" s="143"/>
      <c r="H11" s="110"/>
      <c r="I11" s="110"/>
      <c r="J11" s="110"/>
      <c r="K11" s="140"/>
      <c r="L11" s="139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</row>
    <row r="12" spans="1:59">
      <c r="A12" s="221" t="s">
        <v>701</v>
      </c>
      <c r="B12" s="281"/>
      <c r="C12" s="281"/>
      <c r="D12" s="221"/>
      <c r="E12" s="221"/>
      <c r="F12" s="221"/>
      <c r="G12" s="284"/>
      <c r="H12" s="221"/>
      <c r="I12" s="221"/>
      <c r="J12" s="110"/>
      <c r="K12" s="140"/>
      <c r="L12" s="139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</row>
    <row r="13" spans="1:59">
      <c r="A13" s="142"/>
      <c r="C13" s="110"/>
      <c r="D13" s="110"/>
      <c r="E13" s="110"/>
      <c r="F13" s="110"/>
      <c r="G13" s="143"/>
      <c r="K13" s="139"/>
      <c r="L13" s="139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</row>
    <row r="14" spans="1:59">
      <c r="A14" s="142"/>
      <c r="C14" s="110"/>
      <c r="D14" s="110"/>
      <c r="E14" s="110"/>
      <c r="F14" s="110"/>
      <c r="G14" s="110"/>
      <c r="K14" s="139"/>
      <c r="L14" s="139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</row>
    <row r="15" spans="1:59">
      <c r="C15" s="108" t="s">
        <v>24</v>
      </c>
      <c r="D15" s="108"/>
      <c r="E15" s="108" t="s">
        <v>25</v>
      </c>
      <c r="F15" s="108"/>
      <c r="G15" s="108" t="s">
        <v>26</v>
      </c>
      <c r="I15" s="144" t="s">
        <v>27</v>
      </c>
      <c r="K15" s="145"/>
      <c r="L15" s="146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</row>
    <row r="16" spans="1:59">
      <c r="C16" s="107"/>
      <c r="D16" s="107"/>
      <c r="K16" s="148"/>
      <c r="L16" s="146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</row>
    <row r="17" spans="1:59">
      <c r="A17" s="373" t="s">
        <v>13</v>
      </c>
      <c r="B17" s="141"/>
      <c r="C17" s="107"/>
      <c r="D17" s="107"/>
      <c r="E17" s="153" t="s">
        <v>365</v>
      </c>
      <c r="F17" s="153"/>
      <c r="G17" s="111"/>
      <c r="H17" s="141"/>
      <c r="I17" s="141"/>
      <c r="K17" s="148"/>
      <c r="L17" s="146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</row>
    <row r="18" spans="1:59">
      <c r="A18" s="417" t="s">
        <v>15</v>
      </c>
      <c r="B18" s="418"/>
      <c r="C18" s="419"/>
      <c r="D18" s="419"/>
      <c r="E18" s="420" t="s">
        <v>31</v>
      </c>
      <c r="F18" s="420"/>
      <c r="G18" s="417" t="s">
        <v>30</v>
      </c>
      <c r="H18" s="418"/>
      <c r="I18" s="417" t="s">
        <v>18</v>
      </c>
      <c r="K18" s="145"/>
      <c r="L18" s="146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</row>
    <row r="19" spans="1:59" ht="15.75">
      <c r="A19" s="151"/>
      <c r="C19" s="107" t="s">
        <v>413</v>
      </c>
      <c r="D19" s="107"/>
      <c r="E19" s="111"/>
      <c r="F19" s="111"/>
      <c r="G19" s="111"/>
      <c r="I19" s="111"/>
      <c r="K19" s="145"/>
      <c r="L19" s="146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</row>
    <row r="20" spans="1:59">
      <c r="A20" s="152">
        <v>1</v>
      </c>
      <c r="C20" s="107" t="s">
        <v>266</v>
      </c>
      <c r="D20" s="107"/>
      <c r="E20" s="844" t="s">
        <v>788</v>
      </c>
      <c r="F20" s="153"/>
      <c r="G20" s="501">
        <f>'DE Ohio &amp; Kentucky'!J78</f>
        <v>812040325</v>
      </c>
      <c r="K20" s="145"/>
      <c r="L20" s="146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</row>
    <row r="21" spans="1:59">
      <c r="A21" s="152">
        <v>2</v>
      </c>
      <c r="C21" s="107" t="s">
        <v>267</v>
      </c>
      <c r="D21" s="107"/>
      <c r="E21" s="844" t="s">
        <v>789</v>
      </c>
      <c r="F21" s="153"/>
      <c r="G21" s="501">
        <f>'DE Ohio &amp; Kentucky'!J94</f>
        <v>554953709.26242137</v>
      </c>
      <c r="K21" s="145"/>
      <c r="L21" s="146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</row>
    <row r="22" spans="1:59">
      <c r="A22" s="152"/>
      <c r="E22" s="844"/>
      <c r="F22" s="153"/>
      <c r="K22" s="145"/>
      <c r="L22" s="146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</row>
    <row r="23" spans="1:59">
      <c r="A23" s="152"/>
      <c r="C23" s="107" t="s">
        <v>232</v>
      </c>
      <c r="D23" s="107"/>
      <c r="E23" s="844"/>
      <c r="F23" s="153"/>
      <c r="G23" s="111"/>
      <c r="I23" s="111"/>
      <c r="K23" s="145"/>
      <c r="L23" s="146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</row>
    <row r="24" spans="1:59">
      <c r="A24" s="152">
        <v>3</v>
      </c>
      <c r="C24" s="107" t="s">
        <v>268</v>
      </c>
      <c r="D24" s="107"/>
      <c r="E24" s="844" t="s">
        <v>790</v>
      </c>
      <c r="F24" s="153"/>
      <c r="G24" s="501">
        <f>'DE Ohio &amp; Kentucky'!J151</f>
        <v>26777760</v>
      </c>
      <c r="K24" s="145"/>
      <c r="L24" s="146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</row>
    <row r="25" spans="1:59">
      <c r="A25" s="152">
        <v>4</v>
      </c>
      <c r="C25" s="107" t="s">
        <v>269</v>
      </c>
      <c r="D25" s="107"/>
      <c r="E25" s="844" t="s">
        <v>692</v>
      </c>
      <c r="F25" s="153"/>
      <c r="G25" s="155">
        <f>IF(G24=0,0,G24/G20)</f>
        <v>3.2975899318793064E-2</v>
      </c>
      <c r="I25" s="156">
        <f>G25</f>
        <v>3.2975899318793064E-2</v>
      </c>
      <c r="K25" s="145"/>
      <c r="L25" s="146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</row>
    <row r="26" spans="1:59">
      <c r="A26" s="152"/>
      <c r="E26" s="844"/>
      <c r="F26" s="153"/>
      <c r="K26" s="145"/>
      <c r="L26" s="146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</row>
    <row r="27" spans="1:59">
      <c r="A27" s="152"/>
      <c r="C27" s="107" t="s">
        <v>316</v>
      </c>
      <c r="D27" s="107"/>
      <c r="E27" s="842"/>
      <c r="F27" s="153"/>
      <c r="K27" s="145"/>
      <c r="L27" s="146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</row>
    <row r="28" spans="1:59">
      <c r="A28" s="165" t="s">
        <v>270</v>
      </c>
      <c r="C28" s="107" t="s">
        <v>317</v>
      </c>
      <c r="D28" s="107"/>
      <c r="E28" s="844" t="s">
        <v>791</v>
      </c>
      <c r="F28" s="153"/>
      <c r="G28" s="501">
        <f>'DE Ohio &amp; Kentucky'!J155+'DE Ohio &amp; Kentucky'!J156</f>
        <v>2839878</v>
      </c>
      <c r="K28" s="145"/>
      <c r="L28" s="146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</row>
    <row r="29" spans="1:59">
      <c r="A29" s="165" t="s">
        <v>271</v>
      </c>
      <c r="C29" s="107" t="s">
        <v>318</v>
      </c>
      <c r="D29" s="107"/>
      <c r="E29" s="844" t="s">
        <v>693</v>
      </c>
      <c r="F29" s="153"/>
      <c r="G29" s="155">
        <f>IF(G28=0,0,G28/G20)</f>
        <v>3.4972130232571886E-3</v>
      </c>
      <c r="I29" s="156">
        <f>G29</f>
        <v>3.4972130232571886E-3</v>
      </c>
      <c r="K29" s="145"/>
      <c r="L29" s="146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</row>
    <row r="30" spans="1:59">
      <c r="A30" s="152"/>
      <c r="E30" s="844"/>
      <c r="F30" s="153"/>
      <c r="K30" s="145"/>
      <c r="L30" s="146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</row>
    <row r="31" spans="1:59">
      <c r="A31" s="159"/>
      <c r="C31" s="107" t="s">
        <v>235</v>
      </c>
      <c r="D31" s="107"/>
      <c r="E31" s="842"/>
      <c r="F31" s="113"/>
      <c r="G31" s="111"/>
      <c r="I31" s="111"/>
      <c r="K31" s="145"/>
      <c r="L31" s="146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</row>
    <row r="32" spans="1:59">
      <c r="A32" s="159" t="s">
        <v>273</v>
      </c>
      <c r="C32" s="107" t="s">
        <v>237</v>
      </c>
      <c r="D32" s="107"/>
      <c r="E32" s="844" t="s">
        <v>792</v>
      </c>
      <c r="F32" s="153"/>
      <c r="G32" s="501">
        <f>'DE Ohio &amp; Kentucky'!J168</f>
        <v>20223532</v>
      </c>
      <c r="K32" s="148"/>
      <c r="L32" s="146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</row>
    <row r="33" spans="1:59">
      <c r="A33" s="159" t="s">
        <v>275</v>
      </c>
      <c r="C33" s="107" t="s">
        <v>272</v>
      </c>
      <c r="D33" s="107"/>
      <c r="E33" s="844" t="s">
        <v>784</v>
      </c>
      <c r="F33" s="153"/>
      <c r="G33" s="155">
        <f>IF(G32=0,0,G32/G20)</f>
        <v>2.4904590791103878E-2</v>
      </c>
      <c r="I33" s="156">
        <f>G33</f>
        <v>2.4904590791103878E-2</v>
      </c>
      <c r="K33" s="148"/>
      <c r="L33" s="146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</row>
    <row r="34" spans="1:59">
      <c r="A34" s="159"/>
      <c r="C34" s="107"/>
      <c r="D34" s="107"/>
      <c r="E34" s="844"/>
      <c r="F34" s="153"/>
      <c r="G34" s="111"/>
      <c r="I34" s="111"/>
      <c r="K34" s="145"/>
      <c r="L34" s="146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</row>
    <row r="35" spans="1:59" ht="15.75">
      <c r="A35" s="161" t="s">
        <v>233</v>
      </c>
      <c r="B35" s="162"/>
      <c r="C35" s="150" t="s">
        <v>274</v>
      </c>
      <c r="D35" s="150"/>
      <c r="E35" s="843" t="s">
        <v>563</v>
      </c>
      <c r="F35" s="147"/>
      <c r="G35" s="163"/>
      <c r="I35" s="164">
        <f>I25+I29+I33</f>
        <v>6.1377703133154132E-2</v>
      </c>
      <c r="K35" s="145"/>
      <c r="L35" s="146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</row>
    <row r="36" spans="1:59">
      <c r="A36" s="369"/>
      <c r="C36" s="107"/>
      <c r="D36" s="107"/>
      <c r="E36" s="844"/>
      <c r="F36" s="153"/>
      <c r="G36" s="111"/>
      <c r="I36" s="111"/>
      <c r="K36" s="145"/>
      <c r="L36" s="146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</row>
    <row r="37" spans="1:59">
      <c r="A37" s="165"/>
      <c r="B37" s="166"/>
      <c r="C37" s="111" t="s">
        <v>239</v>
      </c>
      <c r="D37" s="111"/>
      <c r="E37" s="844"/>
      <c r="F37" s="153"/>
      <c r="G37" s="111"/>
      <c r="I37" s="111"/>
      <c r="K37" s="148"/>
      <c r="L37" s="145" t="s">
        <v>12</v>
      </c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</row>
    <row r="38" spans="1:59">
      <c r="A38" s="159" t="s">
        <v>234</v>
      </c>
      <c r="B38" s="166"/>
      <c r="C38" s="111" t="s">
        <v>150</v>
      </c>
      <c r="D38" s="111"/>
      <c r="E38" s="844" t="s">
        <v>793</v>
      </c>
      <c r="F38" s="153"/>
      <c r="G38" s="501">
        <f>'DE Ohio &amp; Kentucky'!J181</f>
        <v>13444872.882289305</v>
      </c>
      <c r="I38" s="111"/>
      <c r="K38" s="148"/>
      <c r="L38" s="145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</row>
    <row r="39" spans="1:59">
      <c r="A39" s="159" t="s">
        <v>236</v>
      </c>
      <c r="B39" s="166"/>
      <c r="C39" s="111" t="s">
        <v>276</v>
      </c>
      <c r="D39" s="111"/>
      <c r="E39" s="844" t="s">
        <v>694</v>
      </c>
      <c r="F39" s="153"/>
      <c r="G39" s="155">
        <f>IF(G38=0,0,G38/G21)</f>
        <v>2.4227016880666741E-2</v>
      </c>
      <c r="I39" s="156">
        <f>G39</f>
        <v>2.4227016880666741E-2</v>
      </c>
      <c r="K39" s="148"/>
      <c r="L39" s="145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</row>
    <row r="40" spans="1:59">
      <c r="A40" s="159"/>
      <c r="C40" s="111"/>
      <c r="D40" s="111"/>
      <c r="E40" s="844"/>
      <c r="F40" s="153"/>
      <c r="G40" s="111"/>
      <c r="I40" s="111"/>
      <c r="K40" s="139"/>
      <c r="L40" s="146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</row>
    <row r="41" spans="1:59">
      <c r="A41" s="159"/>
      <c r="C41" s="107" t="s">
        <v>73</v>
      </c>
      <c r="D41" s="107"/>
      <c r="E41" s="845"/>
      <c r="F41" s="167"/>
      <c r="K41" s="145"/>
      <c r="L41" s="14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</row>
    <row r="42" spans="1:59">
      <c r="A42" s="159" t="s">
        <v>238</v>
      </c>
      <c r="C42" s="107" t="s">
        <v>240</v>
      </c>
      <c r="D42" s="107"/>
      <c r="E42" s="844" t="s">
        <v>794</v>
      </c>
      <c r="F42" s="153"/>
      <c r="G42" s="501">
        <f>'DE Ohio &amp; Kentucky'!J183</f>
        <v>35481848</v>
      </c>
      <c r="I42" s="111"/>
      <c r="K42" s="145"/>
      <c r="L42" s="146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</row>
    <row r="43" spans="1:59">
      <c r="A43" s="159" t="s">
        <v>319</v>
      </c>
      <c r="B43" s="166"/>
      <c r="C43" s="111" t="s">
        <v>277</v>
      </c>
      <c r="D43" s="111"/>
      <c r="E43" s="844" t="s">
        <v>785</v>
      </c>
      <c r="F43" s="153"/>
      <c r="G43" s="168">
        <f>IF(G42=0,0,G42/G21)</f>
        <v>6.3936590399870041E-2</v>
      </c>
      <c r="I43" s="156">
        <f>G43</f>
        <v>6.3936590399870041E-2</v>
      </c>
      <c r="K43" s="148"/>
      <c r="L43" s="145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</row>
    <row r="44" spans="1:59">
      <c r="A44" s="159"/>
      <c r="C44" s="107"/>
      <c r="D44" s="107"/>
      <c r="E44" s="844"/>
      <c r="F44" s="153"/>
      <c r="G44" s="111"/>
      <c r="I44" s="111"/>
      <c r="K44" s="145"/>
      <c r="L44" s="146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</row>
    <row r="45" spans="1:59" ht="15.75">
      <c r="A45" s="161" t="s">
        <v>320</v>
      </c>
      <c r="B45" s="162"/>
      <c r="C45" s="150" t="s">
        <v>278</v>
      </c>
      <c r="D45" s="150"/>
      <c r="E45" s="843" t="s">
        <v>415</v>
      </c>
      <c r="F45" s="147"/>
      <c r="G45" s="163"/>
      <c r="I45" s="164">
        <f>I39+I43</f>
        <v>8.8163607280536779E-2</v>
      </c>
      <c r="K45" s="145"/>
      <c r="L45" s="146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</row>
    <row r="46" spans="1:59">
      <c r="K46" s="145"/>
      <c r="L46" s="146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</row>
    <row r="47" spans="1:59">
      <c r="A47" s="171"/>
      <c r="B47" s="141"/>
      <c r="C47" s="165"/>
      <c r="D47" s="165"/>
      <c r="E47" s="113"/>
      <c r="F47" s="113"/>
      <c r="G47" s="111"/>
      <c r="H47" s="106"/>
      <c r="I47" s="106"/>
      <c r="J47" s="155"/>
      <c r="K47" s="160"/>
      <c r="L47" s="145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</row>
    <row r="48" spans="1:59">
      <c r="A48" s="142"/>
      <c r="C48" s="106"/>
      <c r="D48" s="106"/>
      <c r="E48" s="106"/>
      <c r="F48" s="106"/>
      <c r="G48" s="111"/>
      <c r="H48" s="106"/>
      <c r="I48" s="106"/>
      <c r="J48" s="106"/>
      <c r="K48" s="148"/>
      <c r="L48" s="145" t="s">
        <v>12</v>
      </c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</row>
    <row r="49" spans="11:59">
      <c r="X49" s="443" t="s">
        <v>365</v>
      </c>
    </row>
    <row r="50" spans="11:59">
      <c r="X50" s="443" t="s">
        <v>417</v>
      </c>
    </row>
    <row r="51" spans="11:59">
      <c r="X51" s="172" t="s">
        <v>241</v>
      </c>
    </row>
    <row r="52" spans="11:59">
      <c r="K52" s="142"/>
      <c r="M52" s="106"/>
      <c r="N52" s="106"/>
      <c r="O52" s="106"/>
      <c r="P52" s="106"/>
      <c r="Q52" s="111"/>
      <c r="R52" s="106"/>
      <c r="S52" s="106"/>
      <c r="T52" s="106"/>
      <c r="U52" s="106"/>
      <c r="W52" s="111"/>
      <c r="X52" s="172" t="str">
        <f>I4</f>
        <v>For the 12 months ended: 12/31/2016</v>
      </c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</row>
    <row r="53" spans="11:59">
      <c r="K53" s="142"/>
      <c r="M53" s="107"/>
      <c r="N53" s="106"/>
      <c r="O53" s="106"/>
      <c r="P53" s="106"/>
      <c r="Q53" s="111"/>
      <c r="R53" s="106"/>
      <c r="S53" s="106"/>
      <c r="T53" s="106"/>
      <c r="U53" s="106"/>
      <c r="W53" s="11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</row>
    <row r="54" spans="11:59">
      <c r="K54" s="222" t="str">
        <f>A6</f>
        <v>Rate Formula Template</v>
      </c>
      <c r="L54" s="281"/>
      <c r="M54" s="281"/>
      <c r="N54" s="221"/>
      <c r="O54" s="222"/>
      <c r="P54" s="222"/>
      <c r="Q54" s="281"/>
      <c r="R54" s="222"/>
      <c r="S54" s="222"/>
      <c r="T54" s="222"/>
      <c r="U54" s="222"/>
      <c r="V54" s="281"/>
      <c r="W54" s="220"/>
      <c r="X54" s="28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</row>
    <row r="55" spans="11:59">
      <c r="K55" s="222" t="str">
        <f>A7</f>
        <v>Utilizing Attachment H-22A Data</v>
      </c>
      <c r="L55" s="281"/>
      <c r="M55" s="221"/>
      <c r="N55" s="221"/>
      <c r="O55" s="222"/>
      <c r="P55" s="222"/>
      <c r="Q55" s="281"/>
      <c r="R55" s="222"/>
      <c r="S55" s="222"/>
      <c r="T55" s="222"/>
      <c r="U55" s="222"/>
      <c r="V55" s="220"/>
      <c r="W55" s="220"/>
      <c r="X55" s="28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</row>
    <row r="56" spans="11:59" ht="14.25" customHeight="1">
      <c r="K56" s="280"/>
      <c r="M56" s="106"/>
      <c r="N56" s="106"/>
      <c r="O56" s="106"/>
      <c r="P56" s="106"/>
      <c r="R56" s="222"/>
      <c r="S56" s="106"/>
      <c r="T56" s="106"/>
      <c r="U56" s="106"/>
      <c r="W56" s="11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</row>
    <row r="57" spans="11:59">
      <c r="K57" s="222" t="str">
        <f>A9</f>
        <v>Duke Energy Ohio and Duke Energy Kentucky</v>
      </c>
      <c r="L57" s="281"/>
      <c r="M57" s="281"/>
      <c r="N57" s="281"/>
      <c r="O57" s="222"/>
      <c r="P57" s="222"/>
      <c r="Q57" s="281"/>
      <c r="R57" s="222"/>
      <c r="S57" s="222"/>
      <c r="T57" s="222"/>
      <c r="U57" s="222"/>
      <c r="V57" s="222"/>
      <c r="W57" s="220"/>
      <c r="X57" s="220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</row>
    <row r="58" spans="11:59">
      <c r="K58" s="222" t="str">
        <f>A10</f>
        <v>RTEP - Transmission Enhancement Charges</v>
      </c>
      <c r="L58" s="281"/>
      <c r="M58" s="281"/>
      <c r="N58" s="28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</row>
    <row r="59" spans="11:59">
      <c r="K59" s="222"/>
      <c r="L59" s="281"/>
      <c r="M59" s="281"/>
      <c r="N59" s="28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</row>
    <row r="60" spans="11:59" ht="15.75">
      <c r="K60" s="282" t="s">
        <v>329</v>
      </c>
      <c r="L60" s="281"/>
      <c r="M60" s="222"/>
      <c r="N60" s="222"/>
      <c r="O60" s="281"/>
      <c r="P60" s="282"/>
      <c r="Q60" s="281"/>
      <c r="R60" s="221"/>
      <c r="S60" s="221"/>
      <c r="T60" s="221"/>
      <c r="U60" s="221"/>
      <c r="V60" s="221"/>
      <c r="W60" s="220"/>
      <c r="X60" s="220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</row>
    <row r="61" spans="11:59" ht="15.75">
      <c r="K61" s="142"/>
      <c r="M61" s="106"/>
      <c r="N61" s="106"/>
      <c r="O61" s="150"/>
      <c r="P61" s="150"/>
      <c r="R61" s="110"/>
      <c r="S61" s="110"/>
      <c r="T61" s="110"/>
      <c r="U61" s="110"/>
      <c r="V61" s="110"/>
      <c r="W61" s="111"/>
      <c r="X61" s="11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</row>
    <row r="62" spans="11:59" ht="15.75">
      <c r="K62" s="142"/>
      <c r="M62" s="173">
        <v>-1</v>
      </c>
      <c r="N62" s="173">
        <v>-2</v>
      </c>
      <c r="O62" s="173">
        <v>-3</v>
      </c>
      <c r="P62" s="173">
        <v>-4</v>
      </c>
      <c r="Q62" s="173">
        <v>-5</v>
      </c>
      <c r="R62" s="173">
        <v>-6</v>
      </c>
      <c r="S62" s="173">
        <v>-7</v>
      </c>
      <c r="T62" s="173">
        <v>-8</v>
      </c>
      <c r="U62" s="173">
        <v>-9</v>
      </c>
      <c r="V62" s="173">
        <v>-10</v>
      </c>
      <c r="W62" s="173">
        <v>-11</v>
      </c>
      <c r="X62" s="173">
        <v>-12</v>
      </c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</row>
    <row r="63" spans="11:59" ht="63">
      <c r="K63" s="174" t="s">
        <v>279</v>
      </c>
      <c r="L63" s="175"/>
      <c r="M63" s="175" t="s">
        <v>249</v>
      </c>
      <c r="N63" s="176" t="s">
        <v>414</v>
      </c>
      <c r="O63" s="177" t="s">
        <v>281</v>
      </c>
      <c r="P63" s="177" t="s">
        <v>274</v>
      </c>
      <c r="Q63" s="178" t="s">
        <v>282</v>
      </c>
      <c r="R63" s="177" t="s">
        <v>283</v>
      </c>
      <c r="S63" s="177" t="s">
        <v>278</v>
      </c>
      <c r="T63" s="178" t="s">
        <v>284</v>
      </c>
      <c r="U63" s="177" t="s">
        <v>285</v>
      </c>
      <c r="V63" s="179" t="s">
        <v>286</v>
      </c>
      <c r="W63" s="180" t="s">
        <v>287</v>
      </c>
      <c r="X63" s="179" t="s">
        <v>288</v>
      </c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</row>
    <row r="64" spans="11:59" ht="46.5" customHeight="1">
      <c r="K64" s="181"/>
      <c r="L64" s="182"/>
      <c r="M64" s="182"/>
      <c r="N64" s="182"/>
      <c r="O64" s="183" t="s">
        <v>22</v>
      </c>
      <c r="P64" s="846" t="s">
        <v>780</v>
      </c>
      <c r="Q64" s="184" t="s">
        <v>289</v>
      </c>
      <c r="R64" s="183" t="s">
        <v>23</v>
      </c>
      <c r="S64" s="846" t="s">
        <v>781</v>
      </c>
      <c r="T64" s="184" t="s">
        <v>290</v>
      </c>
      <c r="U64" s="183" t="s">
        <v>291</v>
      </c>
      <c r="V64" s="184" t="s">
        <v>292</v>
      </c>
      <c r="W64" s="185" t="s">
        <v>242</v>
      </c>
      <c r="X64" s="186" t="s">
        <v>293</v>
      </c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</row>
    <row r="65" spans="11:59">
      <c r="K65" s="187"/>
      <c r="L65" s="110"/>
      <c r="M65" s="110"/>
      <c r="N65" s="110"/>
      <c r="O65" s="110"/>
      <c r="P65" s="110"/>
      <c r="Q65" s="188"/>
      <c r="R65" s="110"/>
      <c r="S65" s="110"/>
      <c r="T65" s="188"/>
      <c r="U65" s="110"/>
      <c r="V65" s="188"/>
      <c r="W65" s="111"/>
      <c r="X65" s="189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</row>
    <row r="66" spans="11:59">
      <c r="K66" s="881" t="s">
        <v>3</v>
      </c>
      <c r="L66" s="882"/>
      <c r="M66" s="883"/>
      <c r="N66" s="884"/>
      <c r="O66" s="890">
        <f>'Appx B - DEO(RTEP)'!O66</f>
        <v>0</v>
      </c>
      <c r="P66" s="886">
        <f>$I$35</f>
        <v>6.1377703133154132E-2</v>
      </c>
      <c r="Q66" s="887">
        <f>O66*P66</f>
        <v>0</v>
      </c>
      <c r="R66" s="891">
        <f>'Appx B - DEO(RTEP)'!R66</f>
        <v>0</v>
      </c>
      <c r="S66" s="886">
        <f>$I$45</f>
        <v>8.8163607280536779E-2</v>
      </c>
      <c r="T66" s="887">
        <f>R66*S66</f>
        <v>0</v>
      </c>
      <c r="U66" s="892">
        <f>'Appx B - DEO(RTEP)'!U66</f>
        <v>0</v>
      </c>
      <c r="V66" s="887">
        <f>Q66+T66+U66</f>
        <v>0</v>
      </c>
      <c r="W66" s="891">
        <f>'Appx B - DEO(RTEP)'!W66</f>
        <v>0</v>
      </c>
      <c r="X66" s="887">
        <f>V66+W66</f>
        <v>0</v>
      </c>
    </row>
    <row r="67" spans="11:59">
      <c r="K67" s="881" t="s">
        <v>296</v>
      </c>
      <c r="L67" s="882"/>
      <c r="M67" s="882"/>
      <c r="N67" s="882"/>
      <c r="O67" s="890">
        <v>0</v>
      </c>
      <c r="P67" s="886">
        <f>$I$35</f>
        <v>6.1377703133154132E-2</v>
      </c>
      <c r="Q67" s="887">
        <f>O67*P67</f>
        <v>0</v>
      </c>
      <c r="R67" s="891">
        <v>0</v>
      </c>
      <c r="S67" s="886">
        <f>$I$45</f>
        <v>8.8163607280536779E-2</v>
      </c>
      <c r="T67" s="887">
        <f>R67*S67</f>
        <v>0</v>
      </c>
      <c r="U67" s="892">
        <v>0</v>
      </c>
      <c r="V67" s="887">
        <f>Q67+T67+U67</f>
        <v>0</v>
      </c>
      <c r="W67" s="891">
        <v>0</v>
      </c>
      <c r="X67" s="887">
        <f>V67+W67</f>
        <v>0</v>
      </c>
    </row>
    <row r="68" spans="11:59">
      <c r="K68" s="881" t="s">
        <v>299</v>
      </c>
      <c r="L68" s="882"/>
      <c r="M68" s="882"/>
      <c r="N68" s="882"/>
      <c r="O68" s="885">
        <v>0</v>
      </c>
      <c r="P68" s="886">
        <f>$I$35</f>
        <v>6.1377703133154132E-2</v>
      </c>
      <c r="Q68" s="887">
        <f>O68*P68</f>
        <v>0</v>
      </c>
      <c r="R68" s="891">
        <v>0</v>
      </c>
      <c r="S68" s="886">
        <f>$I$45</f>
        <v>8.8163607280536779E-2</v>
      </c>
      <c r="T68" s="887">
        <f>R68*S68</f>
        <v>0</v>
      </c>
      <c r="U68" s="892">
        <v>0</v>
      </c>
      <c r="V68" s="887">
        <f>Q68+T68+U68</f>
        <v>0</v>
      </c>
      <c r="W68" s="891">
        <v>0</v>
      </c>
      <c r="X68" s="887">
        <f>V68+W68</f>
        <v>0</v>
      </c>
    </row>
    <row r="69" spans="11:59">
      <c r="K69" s="190"/>
      <c r="Q69" s="192"/>
      <c r="T69" s="192"/>
      <c r="V69" s="192"/>
      <c r="X69" s="192"/>
    </row>
    <row r="70" spans="11:59">
      <c r="K70" s="190"/>
      <c r="Q70" s="192"/>
      <c r="T70" s="192"/>
      <c r="V70" s="192"/>
      <c r="X70" s="192"/>
    </row>
    <row r="71" spans="11:59">
      <c r="K71" s="190"/>
      <c r="Q71" s="192"/>
      <c r="T71" s="192"/>
      <c r="V71" s="192"/>
      <c r="X71" s="192"/>
    </row>
    <row r="72" spans="11:59">
      <c r="K72" s="190"/>
      <c r="Q72" s="192"/>
      <c r="T72" s="192"/>
      <c r="V72" s="192"/>
      <c r="X72" s="192"/>
    </row>
    <row r="73" spans="11:59">
      <c r="K73" s="190"/>
      <c r="Q73" s="192"/>
      <c r="T73" s="192"/>
      <c r="V73" s="192"/>
      <c r="X73" s="192"/>
    </row>
    <row r="74" spans="11:59">
      <c r="K74" s="190"/>
      <c r="M74" s="195"/>
      <c r="N74" s="195"/>
      <c r="O74" s="195"/>
      <c r="P74" s="195"/>
      <c r="Q74" s="196"/>
      <c r="R74" s="195"/>
      <c r="S74" s="195"/>
      <c r="T74" s="196"/>
      <c r="U74" s="195"/>
      <c r="V74" s="196"/>
      <c r="W74" s="195"/>
      <c r="X74" s="196"/>
    </row>
    <row r="75" spans="11:59">
      <c r="K75" s="190"/>
      <c r="M75" s="195"/>
      <c r="N75" s="195"/>
      <c r="O75" s="195"/>
      <c r="P75" s="195"/>
      <c r="Q75" s="196"/>
      <c r="R75" s="195"/>
      <c r="S75" s="195"/>
      <c r="T75" s="196"/>
      <c r="U75" s="195"/>
      <c r="V75" s="196"/>
      <c r="W75" s="195"/>
      <c r="X75" s="196"/>
    </row>
    <row r="76" spans="11:59">
      <c r="K76" s="190"/>
      <c r="M76" s="195"/>
      <c r="N76" s="195"/>
      <c r="O76" s="195"/>
      <c r="P76" s="195"/>
      <c r="Q76" s="196"/>
      <c r="R76" s="195"/>
      <c r="S76" s="195"/>
      <c r="T76" s="196"/>
      <c r="U76" s="195"/>
      <c r="V76" s="196"/>
      <c r="W76" s="195"/>
      <c r="X76" s="196"/>
    </row>
    <row r="77" spans="11:59">
      <c r="K77" s="190"/>
      <c r="M77" s="195"/>
      <c r="N77" s="195"/>
      <c r="O77" s="195"/>
      <c r="P77" s="195"/>
      <c r="Q77" s="196"/>
      <c r="R77" s="195"/>
      <c r="S77" s="195"/>
      <c r="T77" s="196"/>
      <c r="U77" s="195"/>
      <c r="V77" s="196"/>
      <c r="W77" s="195"/>
      <c r="X77" s="196"/>
    </row>
    <row r="78" spans="11:59">
      <c r="K78" s="190"/>
      <c r="M78" s="195"/>
      <c r="N78" s="195"/>
      <c r="O78" s="195"/>
      <c r="P78" s="195"/>
      <c r="Q78" s="196"/>
      <c r="R78" s="195"/>
      <c r="S78" s="195"/>
      <c r="T78" s="196"/>
      <c r="U78" s="195"/>
      <c r="V78" s="196"/>
      <c r="W78" s="195"/>
      <c r="X78" s="196"/>
    </row>
    <row r="79" spans="11:59">
      <c r="K79" s="190"/>
      <c r="M79" s="195"/>
      <c r="N79" s="195"/>
      <c r="O79" s="195"/>
      <c r="P79" s="195"/>
      <c r="Q79" s="196"/>
      <c r="R79" s="195"/>
      <c r="S79" s="195"/>
      <c r="T79" s="196"/>
      <c r="U79" s="195"/>
      <c r="V79" s="196"/>
      <c r="W79" s="195"/>
      <c r="X79" s="196"/>
    </row>
    <row r="80" spans="11:59">
      <c r="K80" s="190"/>
      <c r="M80" s="195"/>
      <c r="N80" s="195"/>
      <c r="O80" s="195"/>
      <c r="P80" s="195"/>
      <c r="Q80" s="196"/>
      <c r="R80" s="195"/>
      <c r="S80" s="195"/>
      <c r="T80" s="196"/>
      <c r="U80" s="195"/>
      <c r="V80" s="196"/>
      <c r="W80" s="195"/>
      <c r="X80" s="196"/>
    </row>
    <row r="81" spans="11:24">
      <c r="K81" s="190"/>
      <c r="M81" s="195"/>
      <c r="N81" s="195"/>
      <c r="O81" s="195"/>
      <c r="P81" s="195"/>
      <c r="Q81" s="196"/>
      <c r="R81" s="195"/>
      <c r="S81" s="195"/>
      <c r="T81" s="196"/>
      <c r="U81" s="195"/>
      <c r="V81" s="196"/>
      <c r="W81" s="195"/>
      <c r="X81" s="196"/>
    </row>
    <row r="82" spans="11:24">
      <c r="K82" s="190"/>
      <c r="M82" s="195"/>
      <c r="N82" s="195"/>
      <c r="O82" s="195"/>
      <c r="P82" s="195"/>
      <c r="Q82" s="196"/>
      <c r="R82" s="195"/>
      <c r="S82" s="195"/>
      <c r="T82" s="196"/>
      <c r="U82" s="195"/>
      <c r="V82" s="196"/>
      <c r="W82" s="195"/>
      <c r="X82" s="196"/>
    </row>
    <row r="83" spans="11:24">
      <c r="K83" s="190"/>
      <c r="M83" s="195"/>
      <c r="N83" s="195"/>
      <c r="O83" s="195"/>
      <c r="P83" s="195"/>
      <c r="Q83" s="196"/>
      <c r="R83" s="195"/>
      <c r="S83" s="195"/>
      <c r="T83" s="196"/>
      <c r="U83" s="195"/>
      <c r="V83" s="196"/>
      <c r="W83" s="195"/>
      <c r="X83" s="196"/>
    </row>
    <row r="84" spans="11:24">
      <c r="K84" s="190"/>
      <c r="M84" s="195"/>
      <c r="N84" s="195"/>
      <c r="O84" s="195"/>
      <c r="P84" s="195"/>
      <c r="Q84" s="196"/>
      <c r="R84" s="195"/>
      <c r="S84" s="195"/>
      <c r="T84" s="196"/>
      <c r="U84" s="195"/>
      <c r="V84" s="196"/>
      <c r="W84" s="195"/>
      <c r="X84" s="196"/>
    </row>
    <row r="85" spans="11:24">
      <c r="K85" s="197"/>
      <c r="L85" s="198"/>
      <c r="M85" s="199"/>
      <c r="N85" s="199"/>
      <c r="O85" s="199"/>
      <c r="P85" s="199"/>
      <c r="Q85" s="200"/>
      <c r="R85" s="199"/>
      <c r="S85" s="199"/>
      <c r="T85" s="200"/>
      <c r="U85" s="199"/>
      <c r="V85" s="200"/>
      <c r="W85" s="199"/>
      <c r="X85" s="200"/>
    </row>
    <row r="86" spans="11:24">
      <c r="K86" s="144" t="s">
        <v>302</v>
      </c>
      <c r="L86" s="166"/>
      <c r="M86" s="107" t="s">
        <v>303</v>
      </c>
      <c r="N86" s="107"/>
      <c r="O86" s="113"/>
      <c r="P86" s="113"/>
      <c r="Q86" s="111"/>
      <c r="R86" s="111"/>
      <c r="S86" s="111"/>
      <c r="T86" s="111"/>
      <c r="U86" s="111"/>
      <c r="V86" s="202">
        <f>SUM(V66:V85)</f>
        <v>0</v>
      </c>
      <c r="W86" s="202">
        <f>SUM(W66:W85)</f>
        <v>0</v>
      </c>
      <c r="X86" s="202">
        <f>SUM(X66:X85)</f>
        <v>0</v>
      </c>
    </row>
    <row r="87" spans="11:24">
      <c r="K87" s="98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</row>
    <row r="88" spans="11:24">
      <c r="K88" s="201">
        <v>3</v>
      </c>
      <c r="L88" s="195"/>
      <c r="M88" s="847" t="s">
        <v>783</v>
      </c>
      <c r="N88" s="840"/>
      <c r="O88" s="840"/>
      <c r="P88" s="840"/>
      <c r="Q88" s="840"/>
      <c r="R88" s="840"/>
      <c r="S88" s="840"/>
      <c r="T88" s="840"/>
      <c r="U88" s="840"/>
      <c r="V88" s="841"/>
      <c r="W88" s="840"/>
      <c r="X88" s="841">
        <f>X86</f>
        <v>0</v>
      </c>
    </row>
    <row r="89" spans="11:24">
      <c r="K89" s="195"/>
      <c r="L89" s="195"/>
      <c r="M89" s="840"/>
      <c r="N89" s="840"/>
      <c r="O89" s="840"/>
      <c r="P89" s="840"/>
      <c r="Q89" s="840"/>
      <c r="R89" s="840"/>
      <c r="S89" s="840"/>
      <c r="T89" s="840"/>
      <c r="U89" s="840"/>
      <c r="V89" s="840"/>
      <c r="W89" s="840"/>
      <c r="X89" s="840"/>
    </row>
    <row r="90" spans="11:24">
      <c r="K90" s="195"/>
      <c r="L90" s="195"/>
      <c r="M90" s="840"/>
      <c r="N90" s="840"/>
      <c r="O90" s="840"/>
      <c r="P90" s="840"/>
      <c r="Q90" s="840"/>
      <c r="R90" s="840"/>
      <c r="S90" s="840"/>
      <c r="T90" s="840"/>
      <c r="U90" s="840"/>
      <c r="V90" s="840"/>
      <c r="W90" s="840"/>
      <c r="X90" s="840"/>
    </row>
    <row r="91" spans="11:24">
      <c r="K91" s="106" t="s">
        <v>113</v>
      </c>
      <c r="L91" s="195"/>
      <c r="M91" s="840"/>
      <c r="N91" s="840"/>
      <c r="O91" s="840"/>
      <c r="P91" s="840"/>
      <c r="Q91" s="840"/>
      <c r="R91" s="840"/>
      <c r="S91" s="840"/>
      <c r="T91" s="840"/>
      <c r="U91" s="840"/>
      <c r="V91" s="840"/>
      <c r="W91" s="840"/>
      <c r="X91" s="840"/>
    </row>
    <row r="92" spans="11:24" ht="15.75" thickBot="1">
      <c r="K92" s="203" t="s">
        <v>114</v>
      </c>
      <c r="L92" s="195"/>
      <c r="M92" s="840"/>
      <c r="N92" s="840"/>
      <c r="O92" s="840"/>
      <c r="P92" s="840"/>
      <c r="Q92" s="840"/>
      <c r="R92" s="840"/>
      <c r="S92" s="840"/>
      <c r="T92" s="840"/>
      <c r="U92" s="840"/>
      <c r="V92" s="840"/>
      <c r="W92" s="840"/>
      <c r="X92" s="840"/>
    </row>
    <row r="93" spans="11:24">
      <c r="K93" s="204" t="s">
        <v>115</v>
      </c>
      <c r="L93" s="109"/>
      <c r="M93" s="1042" t="s">
        <v>383</v>
      </c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</row>
    <row r="94" spans="11:24">
      <c r="K94" s="204" t="s">
        <v>116</v>
      </c>
      <c r="L94" s="109"/>
      <c r="M94" s="1042" t="s">
        <v>384</v>
      </c>
      <c r="N94" s="1042"/>
      <c r="O94" s="1042"/>
      <c r="P94" s="1042"/>
      <c r="Q94" s="1042"/>
      <c r="R94" s="1042"/>
      <c r="S94" s="1042"/>
      <c r="T94" s="1042"/>
      <c r="U94" s="1042"/>
      <c r="V94" s="1042"/>
      <c r="W94" s="1042"/>
      <c r="X94" s="1042"/>
    </row>
    <row r="95" spans="11:24" ht="27.75" customHeight="1">
      <c r="K95" s="205" t="s">
        <v>117</v>
      </c>
      <c r="L95" s="109"/>
      <c r="M95" s="1043" t="s">
        <v>304</v>
      </c>
      <c r="N95" s="1043"/>
      <c r="O95" s="1043"/>
      <c r="P95" s="1043"/>
      <c r="Q95" s="1043"/>
      <c r="R95" s="1043"/>
      <c r="S95" s="1043"/>
      <c r="T95" s="1043"/>
      <c r="U95" s="1043"/>
      <c r="V95" s="1043"/>
      <c r="W95" s="1043"/>
      <c r="X95" s="1043"/>
    </row>
    <row r="96" spans="11:24" ht="15" customHeight="1">
      <c r="K96" s="205" t="s">
        <v>118</v>
      </c>
      <c r="L96" s="109"/>
      <c r="M96" s="1043" t="s">
        <v>305</v>
      </c>
      <c r="N96" s="1043"/>
      <c r="O96" s="1043"/>
      <c r="P96" s="1043"/>
      <c r="Q96" s="1043"/>
      <c r="R96" s="1043"/>
      <c r="S96" s="1043"/>
      <c r="T96" s="1043"/>
      <c r="U96" s="1043"/>
      <c r="V96" s="1043"/>
      <c r="W96" s="1043"/>
      <c r="X96" s="1043"/>
    </row>
    <row r="97" spans="1:24">
      <c r="K97" s="204" t="s">
        <v>119</v>
      </c>
      <c r="L97" s="109"/>
      <c r="M97" s="1042" t="s">
        <v>385</v>
      </c>
      <c r="N97" s="1042"/>
      <c r="O97" s="1042"/>
      <c r="P97" s="1042"/>
      <c r="Q97" s="1042"/>
      <c r="R97" s="1042"/>
      <c r="S97" s="1042"/>
      <c r="T97" s="1042"/>
      <c r="U97" s="1042"/>
      <c r="V97" s="1042"/>
      <c r="W97" s="1042"/>
      <c r="X97" s="1042"/>
    </row>
    <row r="98" spans="1:24">
      <c r="K98" s="204" t="s">
        <v>120</v>
      </c>
      <c r="L98" s="109"/>
      <c r="M98" s="1042" t="s">
        <v>306</v>
      </c>
      <c r="N98" s="1042"/>
      <c r="O98" s="1042"/>
      <c r="P98" s="1042"/>
      <c r="Q98" s="1042"/>
      <c r="R98" s="1042"/>
      <c r="S98" s="1042"/>
      <c r="T98" s="1042"/>
      <c r="U98" s="1042"/>
      <c r="V98" s="1042"/>
      <c r="W98" s="1042"/>
      <c r="X98" s="1042"/>
    </row>
    <row r="99" spans="1:24">
      <c r="K99" s="204" t="s">
        <v>121</v>
      </c>
      <c r="L99" s="109"/>
      <c r="M99" s="1041" t="s">
        <v>782</v>
      </c>
      <c r="N99" s="1042"/>
      <c r="O99" s="1042"/>
      <c r="P99" s="1042"/>
      <c r="Q99" s="1042"/>
      <c r="R99" s="1042"/>
      <c r="S99" s="1042"/>
      <c r="T99" s="1042"/>
      <c r="U99" s="1042"/>
      <c r="V99" s="1042"/>
      <c r="W99" s="1042"/>
      <c r="X99" s="1042"/>
    </row>
    <row r="100" spans="1:24">
      <c r="K100" s="416" t="s">
        <v>123</v>
      </c>
      <c r="L100" s="141"/>
      <c r="M100" s="1041" t="s">
        <v>412</v>
      </c>
      <c r="N100" s="1041"/>
      <c r="O100" s="1041"/>
      <c r="P100" s="1041"/>
      <c r="Q100" s="1041"/>
      <c r="R100" s="1041"/>
      <c r="S100" s="1041"/>
      <c r="T100" s="1041"/>
      <c r="U100" s="1041"/>
      <c r="V100" s="1041"/>
      <c r="W100" s="1041"/>
      <c r="X100" s="1041"/>
    </row>
    <row r="101" spans="1:24" ht="15.75">
      <c r="A101" s="169"/>
      <c r="B101" s="206"/>
      <c r="C101" s="207"/>
      <c r="D101" s="165"/>
      <c r="E101" s="113"/>
      <c r="F101" s="113"/>
      <c r="G101" s="111"/>
      <c r="H101" s="106"/>
      <c r="I101" s="106"/>
      <c r="J101" s="155"/>
      <c r="K101" s="195"/>
      <c r="L101" s="195"/>
      <c r="M101" s="195"/>
      <c r="N101" s="195"/>
      <c r="O101" s="195"/>
    </row>
    <row r="102" spans="1:24" ht="15.75">
      <c r="A102" s="169"/>
      <c r="B102" s="206"/>
      <c r="C102" s="207"/>
      <c r="D102" s="165"/>
      <c r="E102" s="113"/>
      <c r="F102" s="113"/>
      <c r="G102" s="111"/>
      <c r="H102" s="106"/>
      <c r="I102" s="106"/>
      <c r="J102" s="155"/>
      <c r="K102" s="195"/>
      <c r="L102" s="195"/>
      <c r="M102" s="195"/>
      <c r="N102" s="195"/>
      <c r="O102" s="195"/>
    </row>
    <row r="103" spans="1:24"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</row>
    <row r="104" spans="1:24"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</row>
    <row r="105" spans="1:24"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</row>
    <row r="106" spans="1:24"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</row>
    <row r="107" spans="1:24"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</row>
    <row r="108" spans="1:24"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</row>
    <row r="109" spans="1:24"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</row>
    <row r="110" spans="1:24"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</row>
    <row r="111" spans="1:24"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</row>
    <row r="112" spans="1:24"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</row>
    <row r="113" spans="3:15"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</row>
    <row r="114" spans="3:15"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</row>
    <row r="115" spans="3:15"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</row>
    <row r="116" spans="3:15"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</row>
    <row r="117" spans="3:15"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</row>
    <row r="118" spans="3:15"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</row>
    <row r="119" spans="3:15"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</row>
    <row r="120" spans="3:15"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</row>
    <row r="121" spans="3:15"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</row>
    <row r="122" spans="3:15"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</row>
    <row r="123" spans="3:15"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</row>
    <row r="124" spans="3:15"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</row>
    <row r="125" spans="3:15"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</row>
    <row r="126" spans="3:15">
      <c r="C126" s="195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</row>
    <row r="127" spans="3:15"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</row>
    <row r="128" spans="3:15"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</row>
    <row r="129" spans="3:15"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</row>
    <row r="130" spans="3:15"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</row>
    <row r="131" spans="3:15"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</row>
    <row r="132" spans="3:15"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</row>
    <row r="133" spans="3:15"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</row>
    <row r="134" spans="3:15"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</row>
    <row r="135" spans="3:15"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</row>
    <row r="136" spans="3:15"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</row>
    <row r="137" spans="3:15"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</row>
    <row r="138" spans="3:15"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</row>
    <row r="139" spans="3:15"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</row>
    <row r="140" spans="3:15"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</row>
    <row r="141" spans="3:15"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</row>
    <row r="142" spans="3:15"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</row>
    <row r="143" spans="3:15"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</row>
    <row r="144" spans="3:15">
      <c r="C144" s="195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</row>
    <row r="145" spans="3:15"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</row>
    <row r="146" spans="3:15"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</row>
    <row r="147" spans="3:15"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</row>
    <row r="148" spans="3:15">
      <c r="C148" s="195"/>
      <c r="D148" s="195"/>
      <c r="E148" s="195"/>
      <c r="F148" s="195"/>
      <c r="G148" s="195"/>
      <c r="H148" s="195"/>
      <c r="I148" s="195"/>
      <c r="J148" s="195"/>
      <c r="K148" s="195"/>
      <c r="L148" s="195"/>
      <c r="M148" s="195"/>
      <c r="N148" s="195"/>
      <c r="O148" s="195"/>
    </row>
    <row r="149" spans="3:15">
      <c r="C149" s="195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</row>
    <row r="150" spans="3:15"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</row>
    <row r="151" spans="3:15"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</row>
    <row r="152" spans="3:15">
      <c r="C152" s="195"/>
      <c r="D152" s="195"/>
      <c r="E152" s="195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</row>
    <row r="153" spans="3:15"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</row>
    <row r="154" spans="3:15"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</row>
    <row r="155" spans="3:15"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</row>
    <row r="156" spans="3:15"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</row>
    <row r="157" spans="3:15"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</row>
    <row r="158" spans="3:15"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</row>
    <row r="159" spans="3:15"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</row>
    <row r="160" spans="3:15"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</row>
    <row r="161" spans="3:15"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</row>
    <row r="162" spans="3:15">
      <c r="C162" s="195"/>
      <c r="D162" s="195"/>
      <c r="E162" s="195"/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</row>
    <row r="163" spans="3:15">
      <c r="C163" s="195"/>
      <c r="D163" s="195"/>
      <c r="E163" s="195"/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</row>
    <row r="164" spans="3:15"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</row>
    <row r="165" spans="3:15"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</row>
    <row r="166" spans="3:15"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</row>
    <row r="167" spans="3:15"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</row>
    <row r="168" spans="3:15"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</row>
    <row r="169" spans="3:15"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</row>
    <row r="170" spans="3:15"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</row>
    <row r="171" spans="3:15"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</row>
    <row r="172" spans="3:15">
      <c r="C172" s="195"/>
      <c r="D172" s="195"/>
      <c r="E172" s="195"/>
      <c r="F172" s="195"/>
      <c r="G172" s="195"/>
      <c r="H172" s="195"/>
      <c r="I172" s="195"/>
      <c r="J172" s="195"/>
      <c r="K172" s="195"/>
      <c r="L172" s="195"/>
      <c r="M172" s="195"/>
      <c r="N172" s="195"/>
      <c r="O172" s="195"/>
    </row>
    <row r="173" spans="3:15"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</row>
    <row r="174" spans="3:15"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</row>
    <row r="175" spans="3:15"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</row>
    <row r="176" spans="3:15">
      <c r="C176" s="195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</row>
    <row r="177" spans="3:15"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</row>
    <row r="178" spans="3:15">
      <c r="C178" s="195"/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195"/>
    </row>
    <row r="179" spans="3:15"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95"/>
      <c r="O179" s="195"/>
    </row>
    <row r="180" spans="3:15">
      <c r="C180" s="195"/>
      <c r="D180" s="195"/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</row>
    <row r="181" spans="3:15"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</row>
    <row r="182" spans="3:15">
      <c r="C182" s="195"/>
      <c r="D182" s="195"/>
      <c r="E182" s="195"/>
      <c r="F182" s="195"/>
      <c r="G182" s="195"/>
      <c r="H182" s="195"/>
      <c r="I182" s="195"/>
      <c r="J182" s="195"/>
      <c r="K182" s="195"/>
      <c r="L182" s="195"/>
      <c r="M182" s="195"/>
      <c r="N182" s="195"/>
      <c r="O182" s="195"/>
    </row>
    <row r="183" spans="3:15">
      <c r="C183" s="19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</row>
    <row r="184" spans="3:15">
      <c r="C184" s="195"/>
      <c r="D184" s="195"/>
      <c r="E184" s="195"/>
      <c r="F184" s="195"/>
      <c r="G184" s="195"/>
      <c r="H184" s="195"/>
      <c r="I184" s="195"/>
      <c r="J184" s="195"/>
      <c r="K184" s="195"/>
      <c r="L184" s="195"/>
      <c r="M184" s="195"/>
      <c r="N184" s="195"/>
      <c r="O184" s="195"/>
    </row>
    <row r="185" spans="3:15">
      <c r="C185" s="195"/>
      <c r="D185" s="195"/>
      <c r="E185" s="195"/>
      <c r="F185" s="195"/>
      <c r="G185" s="195"/>
      <c r="H185" s="195"/>
      <c r="I185" s="195"/>
      <c r="J185" s="195"/>
      <c r="K185" s="195"/>
      <c r="L185" s="195"/>
      <c r="M185" s="195"/>
      <c r="N185" s="195"/>
      <c r="O185" s="195"/>
    </row>
    <row r="186" spans="3:15">
      <c r="C186" s="195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</row>
    <row r="187" spans="3:15"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</row>
    <row r="188" spans="3:15">
      <c r="C188" s="19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</row>
    <row r="189" spans="3:15">
      <c r="C189" s="195"/>
      <c r="D189" s="195"/>
      <c r="E189" s="195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</row>
    <row r="190" spans="3:15"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</row>
    <row r="191" spans="3:15"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</row>
    <row r="192" spans="3:15"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</row>
    <row r="193" spans="3:15">
      <c r="C193" s="195"/>
      <c r="D193" s="195"/>
      <c r="E193" s="195"/>
      <c r="F193" s="195"/>
      <c r="G193" s="195"/>
      <c r="H193" s="195"/>
      <c r="I193" s="195"/>
      <c r="J193" s="195"/>
      <c r="K193" s="195"/>
      <c r="L193" s="195"/>
      <c r="M193" s="195"/>
      <c r="N193" s="195"/>
      <c r="O193" s="195"/>
    </row>
    <row r="194" spans="3:15"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</row>
    <row r="195" spans="3:15"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</row>
    <row r="196" spans="3:15"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</row>
    <row r="197" spans="3:15"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</row>
    <row r="198" spans="3:15"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</row>
    <row r="199" spans="3:15"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</row>
    <row r="200" spans="3:15"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</row>
    <row r="201" spans="3:15"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</row>
    <row r="202" spans="3:15"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</row>
    <row r="203" spans="3:15">
      <c r="C203" s="195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</row>
    <row r="204" spans="3:15">
      <c r="C204" s="19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</row>
    <row r="205" spans="3:15"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</row>
    <row r="206" spans="3:15"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</row>
    <row r="207" spans="3:15"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195"/>
      <c r="O207" s="195"/>
    </row>
    <row r="208" spans="3:15">
      <c r="C208" s="195"/>
      <c r="D208" s="195"/>
      <c r="E208" s="195"/>
      <c r="F208" s="195"/>
      <c r="G208" s="195"/>
      <c r="H208" s="195"/>
      <c r="I208" s="195"/>
      <c r="J208" s="195"/>
      <c r="K208" s="195"/>
      <c r="L208" s="195"/>
      <c r="M208" s="195"/>
      <c r="N208" s="195"/>
      <c r="O208" s="195"/>
    </row>
    <row r="209" spans="3:15">
      <c r="C209" s="195"/>
      <c r="D209" s="195"/>
      <c r="E209" s="195"/>
      <c r="F209" s="195"/>
      <c r="G209" s="195"/>
      <c r="H209" s="195"/>
      <c r="I209" s="195"/>
      <c r="J209" s="195"/>
      <c r="K209" s="195"/>
      <c r="L209" s="195"/>
      <c r="M209" s="195"/>
      <c r="N209" s="195"/>
      <c r="O209" s="195"/>
    </row>
    <row r="210" spans="3:15">
      <c r="C210" s="195"/>
      <c r="D210" s="195"/>
      <c r="E210" s="195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</row>
    <row r="211" spans="3:15"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</row>
    <row r="212" spans="3:15"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95"/>
      <c r="O212" s="195"/>
    </row>
    <row r="213" spans="3:15"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</row>
    <row r="214" spans="3:15"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5"/>
      <c r="O214" s="195"/>
    </row>
    <row r="215" spans="3:15"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195"/>
      <c r="O215" s="195"/>
    </row>
    <row r="216" spans="3:15">
      <c r="C216" s="195"/>
      <c r="D216" s="195"/>
      <c r="E216" s="195"/>
      <c r="F216" s="195"/>
      <c r="G216" s="195"/>
      <c r="H216" s="195"/>
      <c r="I216" s="195"/>
      <c r="J216" s="195"/>
      <c r="K216" s="195"/>
      <c r="L216" s="195"/>
      <c r="M216" s="195"/>
      <c r="N216" s="195"/>
      <c r="O216" s="195"/>
    </row>
    <row r="217" spans="3:15"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5"/>
      <c r="O217" s="195"/>
    </row>
    <row r="218" spans="3:15"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5"/>
      <c r="O218" s="195"/>
    </row>
    <row r="219" spans="3:15">
      <c r="C219" s="195"/>
      <c r="D219" s="195"/>
      <c r="E219" s="195"/>
      <c r="F219" s="195"/>
      <c r="G219" s="195"/>
      <c r="H219" s="195"/>
      <c r="I219" s="195"/>
      <c r="J219" s="195"/>
      <c r="K219" s="195"/>
      <c r="L219" s="195"/>
      <c r="M219" s="195"/>
      <c r="N219" s="195"/>
      <c r="O219" s="195"/>
    </row>
    <row r="220" spans="3:15">
      <c r="C220" s="195"/>
      <c r="D220" s="195"/>
      <c r="E220" s="195"/>
      <c r="F220" s="195"/>
      <c r="G220" s="195"/>
      <c r="H220" s="195"/>
      <c r="I220" s="195"/>
      <c r="J220" s="195"/>
      <c r="K220" s="195"/>
      <c r="L220" s="195"/>
      <c r="M220" s="195"/>
      <c r="N220" s="195"/>
      <c r="O220" s="195"/>
    </row>
    <row r="221" spans="3:15">
      <c r="C221" s="195"/>
      <c r="D221" s="195"/>
      <c r="E221" s="195"/>
      <c r="F221" s="195"/>
      <c r="G221" s="195"/>
      <c r="H221" s="195"/>
      <c r="I221" s="195"/>
      <c r="J221" s="195"/>
      <c r="K221" s="195"/>
      <c r="L221" s="195"/>
      <c r="M221" s="195"/>
      <c r="N221" s="195"/>
      <c r="O221" s="195"/>
    </row>
    <row r="222" spans="3:15"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</row>
    <row r="223" spans="3:15">
      <c r="C223" s="195"/>
      <c r="D223" s="195"/>
      <c r="E223" s="195"/>
      <c r="F223" s="195"/>
      <c r="G223" s="195"/>
      <c r="H223" s="195"/>
      <c r="I223" s="195"/>
      <c r="J223" s="195"/>
      <c r="K223" s="195"/>
      <c r="L223" s="195"/>
      <c r="M223" s="195"/>
      <c r="N223" s="195"/>
      <c r="O223" s="195"/>
    </row>
    <row r="224" spans="3:15"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</row>
    <row r="225" spans="3:15"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</row>
    <row r="226" spans="3:15"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</row>
    <row r="227" spans="3:15">
      <c r="C227" s="195"/>
      <c r="D227" s="195"/>
      <c r="E227" s="195"/>
      <c r="F227" s="195"/>
      <c r="G227" s="195"/>
      <c r="H227" s="195"/>
      <c r="I227" s="195"/>
      <c r="J227" s="195"/>
      <c r="K227" s="195"/>
      <c r="L227" s="195"/>
      <c r="M227" s="195"/>
      <c r="N227" s="195"/>
      <c r="O227" s="195"/>
    </row>
    <row r="228" spans="3:15">
      <c r="C228" s="195"/>
      <c r="D228" s="195"/>
      <c r="E228" s="195"/>
      <c r="F228" s="195"/>
      <c r="G228" s="195"/>
      <c r="H228" s="195"/>
      <c r="I228" s="195"/>
      <c r="J228" s="195"/>
      <c r="K228" s="195"/>
      <c r="L228" s="195"/>
      <c r="M228" s="195"/>
      <c r="N228" s="195"/>
      <c r="O228" s="195"/>
    </row>
    <row r="229" spans="3:15">
      <c r="C229" s="195"/>
      <c r="D229" s="195"/>
      <c r="E229" s="195"/>
      <c r="F229" s="195"/>
      <c r="G229" s="195"/>
      <c r="H229" s="195"/>
      <c r="I229" s="195"/>
      <c r="J229" s="195"/>
      <c r="K229" s="195"/>
      <c r="L229" s="195"/>
      <c r="M229" s="195"/>
      <c r="N229" s="195"/>
      <c r="O229" s="195"/>
    </row>
    <row r="230" spans="3:15">
      <c r="C230" s="195"/>
      <c r="D230" s="195"/>
      <c r="E230" s="195"/>
      <c r="F230" s="195"/>
      <c r="G230" s="195"/>
      <c r="H230" s="195"/>
      <c r="I230" s="195"/>
      <c r="J230" s="195"/>
      <c r="K230" s="195"/>
      <c r="L230" s="195"/>
      <c r="M230" s="195"/>
      <c r="N230" s="195"/>
      <c r="O230" s="195"/>
    </row>
    <row r="231" spans="3:15">
      <c r="C231" s="195"/>
      <c r="D231" s="195"/>
      <c r="E231" s="195"/>
      <c r="F231" s="195"/>
      <c r="G231" s="195"/>
      <c r="H231" s="195"/>
      <c r="I231" s="195"/>
      <c r="J231" s="195"/>
      <c r="K231" s="195"/>
      <c r="L231" s="195"/>
      <c r="M231" s="195"/>
      <c r="N231" s="195"/>
      <c r="O231" s="195"/>
    </row>
    <row r="232" spans="3:15">
      <c r="C232" s="195"/>
      <c r="D232" s="195"/>
      <c r="E232" s="195"/>
      <c r="F232" s="195"/>
      <c r="G232" s="195"/>
      <c r="H232" s="195"/>
      <c r="I232" s="195"/>
      <c r="J232" s="195"/>
      <c r="K232" s="195"/>
      <c r="L232" s="195"/>
      <c r="M232" s="195"/>
      <c r="N232" s="195"/>
      <c r="O232" s="195"/>
    </row>
    <row r="233" spans="3:15">
      <c r="C233" s="195"/>
      <c r="D233" s="195"/>
      <c r="E233" s="195"/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</row>
    <row r="234" spans="3:15">
      <c r="C234" s="195"/>
      <c r="D234" s="195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</row>
    <row r="235" spans="3:15">
      <c r="C235" s="195"/>
      <c r="D235" s="195"/>
      <c r="E235" s="195"/>
      <c r="F235" s="195"/>
      <c r="G235" s="195"/>
      <c r="H235" s="195"/>
      <c r="I235" s="195"/>
      <c r="J235" s="195"/>
      <c r="K235" s="195"/>
      <c r="L235" s="195"/>
      <c r="M235" s="195"/>
      <c r="N235" s="195"/>
      <c r="O235" s="195"/>
    </row>
    <row r="236" spans="3:15">
      <c r="C236" s="195"/>
      <c r="D236" s="195"/>
      <c r="E236" s="195"/>
      <c r="F236" s="195"/>
      <c r="G236" s="195"/>
      <c r="H236" s="195"/>
      <c r="I236" s="195"/>
      <c r="J236" s="195"/>
      <c r="K236" s="195"/>
      <c r="L236" s="195"/>
      <c r="M236" s="195"/>
      <c r="N236" s="195"/>
      <c r="O236" s="195"/>
    </row>
    <row r="237" spans="3:15">
      <c r="C237" s="195"/>
      <c r="D237" s="195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</row>
    <row r="238" spans="3:15">
      <c r="C238" s="195"/>
      <c r="D238" s="195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</row>
    <row r="239" spans="3:15">
      <c r="C239" s="195"/>
      <c r="D239" s="195"/>
      <c r="E239" s="195"/>
      <c r="F239" s="195"/>
      <c r="G239" s="195"/>
      <c r="H239" s="195"/>
      <c r="I239" s="195"/>
      <c r="J239" s="195"/>
      <c r="K239" s="195"/>
      <c r="L239" s="195"/>
      <c r="M239" s="195"/>
      <c r="N239" s="195"/>
      <c r="O239" s="195"/>
    </row>
    <row r="240" spans="3:15">
      <c r="C240" s="195"/>
      <c r="D240" s="195"/>
      <c r="E240" s="195"/>
      <c r="F240" s="195"/>
      <c r="G240" s="195"/>
      <c r="H240" s="195"/>
      <c r="I240" s="195"/>
      <c r="J240" s="195"/>
      <c r="K240" s="195"/>
      <c r="L240" s="195"/>
      <c r="M240" s="195"/>
      <c r="N240" s="195"/>
      <c r="O240" s="195"/>
    </row>
    <row r="241" spans="3:15">
      <c r="C241" s="195"/>
      <c r="D241" s="195"/>
      <c r="E241" s="195"/>
      <c r="F241" s="195"/>
      <c r="G241" s="195"/>
      <c r="H241" s="195"/>
      <c r="I241" s="195"/>
      <c r="J241" s="195"/>
      <c r="K241" s="195"/>
      <c r="L241" s="195"/>
      <c r="M241" s="195"/>
      <c r="N241" s="195"/>
      <c r="O241" s="195"/>
    </row>
    <row r="242" spans="3:15">
      <c r="C242" s="195"/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5"/>
    </row>
    <row r="243" spans="3:15"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195"/>
      <c r="O243" s="195"/>
    </row>
    <row r="244" spans="3:15"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</row>
    <row r="245" spans="3:15"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</row>
    <row r="246" spans="3:15">
      <c r="C246" s="195"/>
      <c r="D246" s="195"/>
      <c r="E246" s="195"/>
      <c r="F246" s="195"/>
      <c r="G246" s="195"/>
      <c r="H246" s="195"/>
      <c r="I246" s="195"/>
      <c r="J246" s="195"/>
      <c r="K246" s="195"/>
      <c r="L246" s="195"/>
      <c r="M246" s="195"/>
      <c r="N246" s="195"/>
      <c r="O246" s="195"/>
    </row>
    <row r="247" spans="3:15">
      <c r="C247" s="195"/>
      <c r="D247" s="195"/>
      <c r="E247" s="195"/>
      <c r="F247" s="195"/>
      <c r="G247" s="195"/>
      <c r="H247" s="195"/>
      <c r="I247" s="195"/>
      <c r="J247" s="195"/>
      <c r="K247" s="195"/>
      <c r="L247" s="195"/>
      <c r="M247" s="195"/>
      <c r="N247" s="195"/>
      <c r="O247" s="195"/>
    </row>
    <row r="248" spans="3:15">
      <c r="C248" s="195"/>
      <c r="D248" s="195"/>
      <c r="E248" s="195"/>
      <c r="F248" s="195"/>
      <c r="G248" s="195"/>
      <c r="H248" s="195"/>
      <c r="I248" s="195"/>
      <c r="J248" s="195"/>
      <c r="K248" s="195"/>
      <c r="L248" s="195"/>
      <c r="M248" s="195"/>
      <c r="N248" s="195"/>
      <c r="O248" s="195"/>
    </row>
    <row r="249" spans="3:15">
      <c r="C249" s="195"/>
      <c r="D249" s="195"/>
      <c r="E249" s="195"/>
      <c r="F249" s="195"/>
      <c r="G249" s="195"/>
      <c r="H249" s="195"/>
      <c r="I249" s="195"/>
      <c r="J249" s="195"/>
      <c r="K249" s="195"/>
      <c r="L249" s="195"/>
      <c r="M249" s="195"/>
      <c r="N249" s="195"/>
      <c r="O249" s="195"/>
    </row>
    <row r="250" spans="3:15"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</row>
    <row r="251" spans="3:15">
      <c r="C251" s="195"/>
      <c r="D251" s="195"/>
      <c r="E251" s="195"/>
      <c r="F251" s="195"/>
      <c r="G251" s="195"/>
      <c r="H251" s="195"/>
      <c r="I251" s="195"/>
      <c r="J251" s="195"/>
      <c r="K251" s="195"/>
      <c r="L251" s="195"/>
      <c r="M251" s="195"/>
      <c r="N251" s="195"/>
      <c r="O251" s="195"/>
    </row>
    <row r="252" spans="3:15">
      <c r="C252" s="195"/>
      <c r="D252" s="195"/>
      <c r="E252" s="195"/>
      <c r="F252" s="195"/>
      <c r="G252" s="195"/>
      <c r="H252" s="195"/>
      <c r="I252" s="195"/>
      <c r="J252" s="195"/>
      <c r="K252" s="195"/>
      <c r="L252" s="195"/>
      <c r="M252" s="195"/>
      <c r="N252" s="195"/>
      <c r="O252" s="195"/>
    </row>
    <row r="253" spans="3:15">
      <c r="C253" s="195"/>
      <c r="D253" s="195"/>
      <c r="E253" s="195"/>
      <c r="F253" s="195"/>
      <c r="G253" s="195"/>
      <c r="H253" s="195"/>
      <c r="I253" s="195"/>
      <c r="J253" s="195"/>
      <c r="K253" s="195"/>
      <c r="L253" s="195"/>
      <c r="M253" s="195"/>
      <c r="N253" s="195"/>
      <c r="O253" s="195"/>
    </row>
    <row r="254" spans="3:15">
      <c r="C254" s="195"/>
      <c r="D254" s="195"/>
      <c r="E254" s="195"/>
      <c r="F254" s="195"/>
      <c r="G254" s="195"/>
      <c r="H254" s="195"/>
      <c r="I254" s="195"/>
      <c r="J254" s="195"/>
      <c r="K254" s="195"/>
      <c r="L254" s="195"/>
      <c r="M254" s="195"/>
      <c r="N254" s="195"/>
      <c r="O254" s="195"/>
    </row>
    <row r="255" spans="3:15">
      <c r="C255" s="195"/>
      <c r="D255" s="195"/>
      <c r="E255" s="195"/>
      <c r="F255" s="195"/>
      <c r="G255" s="195"/>
      <c r="H255" s="195"/>
      <c r="I255" s="195"/>
      <c r="J255" s="195"/>
      <c r="K255" s="195"/>
      <c r="L255" s="195"/>
      <c r="M255" s="195"/>
      <c r="N255" s="195"/>
      <c r="O255" s="195"/>
    </row>
    <row r="256" spans="3:15">
      <c r="C256" s="195"/>
      <c r="D256" s="195"/>
      <c r="E256" s="195"/>
      <c r="F256" s="195"/>
      <c r="G256" s="195"/>
      <c r="H256" s="195"/>
      <c r="I256" s="195"/>
      <c r="J256" s="195"/>
      <c r="K256" s="195"/>
      <c r="L256" s="195"/>
      <c r="M256" s="195"/>
      <c r="N256" s="195"/>
      <c r="O256" s="195"/>
    </row>
    <row r="257" spans="3:15">
      <c r="C257" s="195"/>
      <c r="D257" s="195"/>
      <c r="E257" s="195"/>
      <c r="F257" s="195"/>
      <c r="G257" s="195"/>
      <c r="H257" s="195"/>
      <c r="I257" s="195"/>
      <c r="J257" s="195"/>
      <c r="K257" s="195"/>
      <c r="L257" s="195"/>
      <c r="M257" s="195"/>
      <c r="N257" s="195"/>
      <c r="O257" s="195"/>
    </row>
    <row r="258" spans="3:15"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</row>
    <row r="259" spans="3:15">
      <c r="C259" s="195"/>
      <c r="D259" s="195"/>
      <c r="E259" s="195"/>
      <c r="F259" s="195"/>
      <c r="G259" s="195"/>
      <c r="H259" s="195"/>
      <c r="I259" s="195"/>
      <c r="J259" s="195"/>
      <c r="K259" s="195"/>
      <c r="L259" s="195"/>
      <c r="M259" s="195"/>
      <c r="N259" s="195"/>
      <c r="O259" s="195"/>
    </row>
    <row r="260" spans="3:15">
      <c r="C260" s="195"/>
      <c r="D260" s="195"/>
      <c r="E260" s="195"/>
      <c r="F260" s="195"/>
      <c r="G260" s="195"/>
      <c r="H260" s="195"/>
      <c r="I260" s="195"/>
      <c r="J260" s="195"/>
      <c r="K260" s="195"/>
      <c r="L260" s="195"/>
      <c r="M260" s="195"/>
      <c r="N260" s="195"/>
      <c r="O260" s="195"/>
    </row>
    <row r="261" spans="3:15">
      <c r="C261" s="195"/>
      <c r="D261" s="195"/>
      <c r="E261" s="195"/>
      <c r="F261" s="195"/>
      <c r="G261" s="195"/>
      <c r="H261" s="195"/>
      <c r="I261" s="195"/>
      <c r="J261" s="195"/>
      <c r="K261" s="195"/>
      <c r="L261" s="195"/>
      <c r="M261" s="195"/>
      <c r="N261" s="195"/>
      <c r="O261" s="195"/>
    </row>
    <row r="262" spans="3:15">
      <c r="C262" s="195"/>
      <c r="D262" s="195"/>
      <c r="E262" s="195"/>
      <c r="F262" s="195"/>
      <c r="G262" s="195"/>
      <c r="H262" s="195"/>
      <c r="I262" s="195"/>
      <c r="J262" s="195"/>
      <c r="K262" s="195"/>
      <c r="L262" s="195"/>
      <c r="M262" s="195"/>
      <c r="N262" s="195"/>
      <c r="O262" s="195"/>
    </row>
    <row r="263" spans="3:15">
      <c r="C263" s="195"/>
      <c r="D263" s="195"/>
      <c r="E263" s="195"/>
      <c r="F263" s="195"/>
      <c r="G263" s="195"/>
      <c r="H263" s="195"/>
      <c r="I263" s="195"/>
      <c r="J263" s="195"/>
      <c r="K263" s="195"/>
      <c r="L263" s="195"/>
      <c r="M263" s="195"/>
      <c r="N263" s="195"/>
      <c r="O263" s="195"/>
    </row>
    <row r="264" spans="3:15">
      <c r="C264" s="195"/>
      <c r="D264" s="195"/>
      <c r="E264" s="195"/>
      <c r="F264" s="195"/>
      <c r="G264" s="195"/>
      <c r="H264" s="195"/>
      <c r="I264" s="195"/>
      <c r="J264" s="195"/>
      <c r="K264" s="195"/>
      <c r="L264" s="195"/>
      <c r="M264" s="195"/>
      <c r="N264" s="195"/>
      <c r="O264" s="195"/>
    </row>
    <row r="265" spans="3:15">
      <c r="C265" s="195"/>
      <c r="D265" s="195"/>
      <c r="E265" s="195"/>
      <c r="F265" s="195"/>
      <c r="G265" s="195"/>
      <c r="H265" s="195"/>
      <c r="I265" s="195"/>
      <c r="J265" s="195"/>
      <c r="K265" s="195"/>
      <c r="L265" s="195"/>
      <c r="M265" s="195"/>
      <c r="N265" s="195"/>
      <c r="O265" s="195"/>
    </row>
    <row r="266" spans="3:15">
      <c r="C266" s="195"/>
      <c r="D266" s="195"/>
      <c r="E266" s="195"/>
      <c r="F266" s="195"/>
      <c r="G266" s="195"/>
      <c r="H266" s="195"/>
      <c r="I266" s="195"/>
      <c r="J266" s="195"/>
      <c r="K266" s="195"/>
      <c r="L266" s="195"/>
      <c r="M266" s="195"/>
      <c r="N266" s="195"/>
      <c r="O266" s="195"/>
    </row>
    <row r="267" spans="3:15">
      <c r="C267" s="195"/>
      <c r="D267" s="195"/>
      <c r="E267" s="195"/>
      <c r="F267" s="195"/>
      <c r="G267" s="195"/>
      <c r="H267" s="195"/>
      <c r="I267" s="195"/>
      <c r="J267" s="195"/>
      <c r="K267" s="195"/>
      <c r="L267" s="195"/>
      <c r="M267" s="195"/>
      <c r="N267" s="195"/>
      <c r="O267" s="195"/>
    </row>
    <row r="268" spans="3:15">
      <c r="C268" s="195"/>
      <c r="D268" s="195"/>
      <c r="E268" s="195"/>
      <c r="F268" s="195"/>
      <c r="G268" s="195"/>
      <c r="H268" s="195"/>
      <c r="I268" s="195"/>
      <c r="J268" s="195"/>
      <c r="K268" s="195"/>
      <c r="L268" s="195"/>
      <c r="M268" s="195"/>
      <c r="N268" s="195"/>
      <c r="O268" s="195"/>
    </row>
    <row r="269" spans="3:15">
      <c r="C269" s="195"/>
      <c r="D269" s="195"/>
      <c r="E269" s="195"/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</row>
    <row r="270" spans="3:15">
      <c r="C270" s="195"/>
      <c r="D270" s="195"/>
      <c r="E270" s="195"/>
      <c r="F270" s="195"/>
      <c r="G270" s="195"/>
      <c r="H270" s="195"/>
      <c r="I270" s="195"/>
      <c r="J270" s="195"/>
      <c r="K270" s="195"/>
      <c r="L270" s="195"/>
      <c r="M270" s="195"/>
      <c r="N270" s="195"/>
      <c r="O270" s="195"/>
    </row>
    <row r="271" spans="3:15">
      <c r="C271" s="195"/>
      <c r="D271" s="195"/>
      <c r="E271" s="195"/>
      <c r="F271" s="195"/>
      <c r="G271" s="195"/>
      <c r="H271" s="195"/>
      <c r="I271" s="195"/>
      <c r="J271" s="195"/>
      <c r="K271" s="195"/>
      <c r="L271" s="195"/>
      <c r="M271" s="195"/>
      <c r="N271" s="195"/>
      <c r="O271" s="195"/>
    </row>
    <row r="272" spans="3:15">
      <c r="C272" s="195"/>
      <c r="D272" s="195"/>
      <c r="E272" s="195"/>
      <c r="F272" s="195"/>
      <c r="G272" s="195"/>
      <c r="H272" s="195"/>
      <c r="I272" s="195"/>
      <c r="J272" s="195"/>
      <c r="K272" s="195"/>
      <c r="L272" s="195"/>
      <c r="M272" s="195"/>
      <c r="N272" s="195"/>
      <c r="O272" s="195"/>
    </row>
    <row r="273" spans="3:15">
      <c r="C273" s="195"/>
      <c r="D273" s="195"/>
      <c r="E273" s="195"/>
      <c r="F273" s="195"/>
      <c r="G273" s="195"/>
      <c r="H273" s="195"/>
      <c r="I273" s="195"/>
      <c r="J273" s="195"/>
      <c r="K273" s="195"/>
      <c r="L273" s="195"/>
      <c r="M273" s="195"/>
      <c r="N273" s="195"/>
      <c r="O273" s="195"/>
    </row>
    <row r="274" spans="3:15"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</row>
    <row r="275" spans="3:15">
      <c r="C275" s="195"/>
      <c r="D275" s="195"/>
      <c r="E275" s="195"/>
      <c r="F275" s="195"/>
      <c r="G275" s="195"/>
      <c r="H275" s="195"/>
      <c r="I275" s="195"/>
      <c r="J275" s="195"/>
      <c r="K275" s="195"/>
      <c r="L275" s="195"/>
      <c r="M275" s="195"/>
      <c r="N275" s="195"/>
      <c r="O275" s="195"/>
    </row>
    <row r="276" spans="3:15">
      <c r="C276" s="195"/>
      <c r="D276" s="195"/>
      <c r="E276" s="195"/>
      <c r="F276" s="195"/>
      <c r="G276" s="195"/>
      <c r="H276" s="195"/>
      <c r="I276" s="195"/>
      <c r="J276" s="195"/>
      <c r="K276" s="195"/>
      <c r="L276" s="195"/>
      <c r="M276" s="195"/>
      <c r="N276" s="195"/>
      <c r="O276" s="195"/>
    </row>
    <row r="277" spans="3:15">
      <c r="C277" s="195"/>
      <c r="D277" s="195"/>
      <c r="E277" s="195"/>
      <c r="F277" s="195"/>
      <c r="G277" s="195"/>
      <c r="H277" s="195"/>
      <c r="I277" s="195"/>
      <c r="J277" s="195"/>
      <c r="K277" s="195"/>
      <c r="L277" s="195"/>
      <c r="M277" s="195"/>
      <c r="N277" s="195"/>
      <c r="O277" s="195"/>
    </row>
    <row r="278" spans="3:15">
      <c r="C278" s="195"/>
      <c r="D278" s="195"/>
      <c r="E278" s="195"/>
      <c r="F278" s="195"/>
      <c r="G278" s="195"/>
      <c r="H278" s="195"/>
      <c r="I278" s="195"/>
      <c r="J278" s="195"/>
      <c r="K278" s="195"/>
      <c r="L278" s="195"/>
      <c r="M278" s="195"/>
      <c r="N278" s="195"/>
      <c r="O278" s="195"/>
    </row>
    <row r="279" spans="3:15">
      <c r="C279" s="195"/>
      <c r="D279" s="195"/>
      <c r="E279" s="195"/>
      <c r="F279" s="195"/>
      <c r="G279" s="195"/>
      <c r="H279" s="195"/>
      <c r="I279" s="195"/>
      <c r="J279" s="195"/>
      <c r="K279" s="195"/>
      <c r="L279" s="195"/>
      <c r="M279" s="195"/>
      <c r="N279" s="195"/>
      <c r="O279" s="195"/>
    </row>
    <row r="280" spans="3:15">
      <c r="C280" s="195"/>
      <c r="D280" s="195"/>
      <c r="E280" s="195"/>
      <c r="F280" s="195"/>
      <c r="G280" s="195"/>
      <c r="H280" s="195"/>
      <c r="I280" s="195"/>
      <c r="J280" s="195"/>
      <c r="K280" s="195"/>
      <c r="L280" s="195"/>
      <c r="M280" s="195"/>
      <c r="N280" s="195"/>
      <c r="O280" s="195"/>
    </row>
    <row r="281" spans="3:15">
      <c r="C281" s="195"/>
      <c r="D281" s="195"/>
      <c r="E281" s="195"/>
      <c r="F281" s="195"/>
      <c r="G281" s="195"/>
      <c r="H281" s="195"/>
      <c r="I281" s="195"/>
      <c r="J281" s="195"/>
      <c r="K281" s="195"/>
      <c r="L281" s="195"/>
      <c r="M281" s="195"/>
      <c r="N281" s="195"/>
      <c r="O281" s="195"/>
    </row>
    <row r="282" spans="3:15">
      <c r="C282" s="195"/>
      <c r="D282" s="195"/>
      <c r="E282" s="195"/>
      <c r="F282" s="195"/>
      <c r="G282" s="195"/>
      <c r="H282" s="195"/>
      <c r="I282" s="195"/>
      <c r="J282" s="195"/>
      <c r="K282" s="195"/>
      <c r="L282" s="195"/>
      <c r="M282" s="195"/>
      <c r="N282" s="195"/>
      <c r="O282" s="195"/>
    </row>
    <row r="283" spans="3:15">
      <c r="C283" s="195"/>
      <c r="D283" s="195"/>
      <c r="E283" s="195"/>
      <c r="F283" s="195"/>
      <c r="G283" s="195"/>
      <c r="H283" s="195"/>
      <c r="I283" s="195"/>
      <c r="J283" s="195"/>
      <c r="K283" s="195"/>
      <c r="L283" s="195"/>
      <c r="M283" s="195"/>
      <c r="N283" s="195"/>
      <c r="O283" s="195"/>
    </row>
    <row r="284" spans="3:15">
      <c r="C284" s="195"/>
      <c r="D284" s="195"/>
      <c r="E284" s="195"/>
      <c r="F284" s="195"/>
      <c r="G284" s="195"/>
      <c r="H284" s="195"/>
      <c r="I284" s="195"/>
      <c r="J284" s="195"/>
      <c r="K284" s="195"/>
      <c r="L284" s="195"/>
      <c r="M284" s="195"/>
      <c r="N284" s="195"/>
      <c r="O284" s="195"/>
    </row>
    <row r="285" spans="3:15">
      <c r="C285" s="195"/>
      <c r="D285" s="195"/>
      <c r="E285" s="195"/>
      <c r="F285" s="195"/>
      <c r="G285" s="195"/>
      <c r="H285" s="195"/>
      <c r="I285" s="195"/>
      <c r="J285" s="195"/>
      <c r="K285" s="195"/>
      <c r="L285" s="195"/>
      <c r="M285" s="195"/>
      <c r="N285" s="195"/>
      <c r="O285" s="195"/>
    </row>
    <row r="286" spans="3:15">
      <c r="C286" s="195"/>
      <c r="D286" s="195"/>
      <c r="E286" s="195"/>
      <c r="F286" s="195"/>
      <c r="G286" s="195"/>
      <c r="H286" s="195"/>
      <c r="I286" s="195"/>
      <c r="J286" s="195"/>
      <c r="K286" s="195"/>
      <c r="L286" s="195"/>
      <c r="M286" s="195"/>
      <c r="N286" s="195"/>
      <c r="O286" s="195"/>
    </row>
    <row r="287" spans="3:15">
      <c r="C287" s="195"/>
      <c r="D287" s="195"/>
      <c r="E287" s="195"/>
      <c r="F287" s="195"/>
      <c r="G287" s="195"/>
      <c r="H287" s="195"/>
      <c r="I287" s="195"/>
      <c r="J287" s="195"/>
      <c r="K287" s="195"/>
      <c r="L287" s="195"/>
      <c r="M287" s="195"/>
      <c r="N287" s="195"/>
      <c r="O287" s="195"/>
    </row>
    <row r="288" spans="3:15">
      <c r="C288" s="195"/>
      <c r="D288" s="195"/>
      <c r="E288" s="195"/>
      <c r="F288" s="195"/>
      <c r="G288" s="195"/>
      <c r="H288" s="195"/>
      <c r="I288" s="195"/>
      <c r="J288" s="195"/>
      <c r="K288" s="195"/>
      <c r="L288" s="195"/>
      <c r="M288" s="195"/>
      <c r="N288" s="195"/>
      <c r="O288" s="195"/>
    </row>
    <row r="289" spans="3:15">
      <c r="C289" s="195"/>
      <c r="D289" s="195"/>
      <c r="E289" s="195"/>
      <c r="F289" s="195"/>
      <c r="G289" s="195"/>
      <c r="H289" s="195"/>
      <c r="I289" s="195"/>
      <c r="J289" s="195"/>
      <c r="K289" s="195"/>
      <c r="L289" s="195"/>
      <c r="M289" s="195"/>
      <c r="N289" s="195"/>
      <c r="O289" s="195"/>
    </row>
    <row r="290" spans="3:15">
      <c r="C290" s="195"/>
      <c r="D290" s="195"/>
      <c r="E290" s="195"/>
      <c r="F290" s="195"/>
      <c r="G290" s="195"/>
      <c r="H290" s="195"/>
      <c r="I290" s="195"/>
      <c r="J290" s="195"/>
      <c r="K290" s="195"/>
      <c r="L290" s="195"/>
      <c r="M290" s="195"/>
      <c r="N290" s="195"/>
      <c r="O290" s="195"/>
    </row>
    <row r="291" spans="3:15">
      <c r="C291" s="195"/>
      <c r="D291" s="195"/>
      <c r="E291" s="195"/>
      <c r="F291" s="195"/>
      <c r="G291" s="195"/>
      <c r="H291" s="195"/>
      <c r="I291" s="195"/>
      <c r="J291" s="195"/>
    </row>
    <row r="292" spans="3:15">
      <c r="C292" s="195"/>
      <c r="D292" s="195"/>
      <c r="E292" s="195"/>
      <c r="F292" s="195"/>
      <c r="G292" s="195"/>
      <c r="H292" s="195"/>
      <c r="I292" s="195"/>
      <c r="J292" s="195"/>
    </row>
    <row r="293" spans="3:15">
      <c r="C293" s="195"/>
      <c r="D293" s="195"/>
      <c r="E293" s="195"/>
      <c r="F293" s="195"/>
      <c r="G293" s="195"/>
      <c r="H293" s="195"/>
      <c r="I293" s="195"/>
      <c r="J293" s="195"/>
    </row>
    <row r="294" spans="3:15">
      <c r="C294" s="195"/>
      <c r="D294" s="195"/>
      <c r="E294" s="195"/>
      <c r="F294" s="195"/>
      <c r="G294" s="195"/>
      <c r="H294" s="195"/>
      <c r="I294" s="195"/>
      <c r="J294" s="195"/>
    </row>
    <row r="295" spans="3:15">
      <c r="C295" s="195"/>
      <c r="D295" s="195"/>
      <c r="E295" s="195"/>
      <c r="F295" s="195"/>
      <c r="G295" s="195"/>
      <c r="H295" s="195"/>
      <c r="I295" s="195"/>
      <c r="J295" s="195"/>
    </row>
    <row r="296" spans="3:15">
      <c r="C296" s="195"/>
      <c r="D296" s="195"/>
      <c r="E296" s="195"/>
      <c r="F296" s="195"/>
      <c r="G296" s="195"/>
      <c r="H296" s="195"/>
      <c r="I296" s="195"/>
      <c r="J296" s="195"/>
    </row>
    <row r="297" spans="3:15">
      <c r="C297" s="195"/>
      <c r="D297" s="195"/>
      <c r="E297" s="195"/>
      <c r="F297" s="195"/>
      <c r="G297" s="195"/>
      <c r="H297" s="195"/>
      <c r="I297" s="195"/>
      <c r="J297" s="195"/>
    </row>
    <row r="298" spans="3:15">
      <c r="C298" s="195"/>
      <c r="D298" s="195"/>
      <c r="E298" s="195"/>
      <c r="F298" s="195"/>
      <c r="G298" s="195"/>
      <c r="H298" s="195"/>
      <c r="I298" s="195"/>
      <c r="J298" s="195"/>
    </row>
  </sheetData>
  <mergeCells count="8">
    <mergeCell ref="M100:X100"/>
    <mergeCell ref="M99:X99"/>
    <mergeCell ref="M93:X93"/>
    <mergeCell ref="M94:X94"/>
    <mergeCell ref="M95:X95"/>
    <mergeCell ref="M96:X96"/>
    <mergeCell ref="M97:X97"/>
    <mergeCell ref="M98:X98"/>
  </mergeCells>
  <printOptions horizontalCentered="1"/>
  <pageMargins left="0.75" right="0.75" top="0.75" bottom="0.5" header="0.5" footer="0.5"/>
  <pageSetup scale="56" orientation="landscape" r:id="rId1"/>
  <headerFooter alignWithMargins="0"/>
  <rowBreaks count="1" manualBreakCount="1">
    <brk id="48" min="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85</vt:i4>
      </vt:variant>
    </vt:vector>
  </HeadingPairs>
  <TitlesOfParts>
    <vt:vector size="114" baseType="lpstr">
      <vt:lpstr>Print</vt:lpstr>
      <vt:lpstr>INPUT</vt:lpstr>
      <vt:lpstr>Corrections to May 2016 filing</vt:lpstr>
      <vt:lpstr>Corrections due FERC Audit</vt:lpstr>
      <vt:lpstr>DE Ohio &amp; Kentucky</vt:lpstr>
      <vt:lpstr>DEO</vt:lpstr>
      <vt:lpstr>DEK</vt:lpstr>
      <vt:lpstr>Sch 1A - Appx A</vt:lpstr>
      <vt:lpstr>Appx B - DEOK(RTEP)</vt:lpstr>
      <vt:lpstr>Appx B - DEO(RTEP)</vt:lpstr>
      <vt:lpstr>Appx B - DEK(RTEP)</vt:lpstr>
      <vt:lpstr>Appx C - DEOK(MTEP)</vt:lpstr>
      <vt:lpstr>Appx C - DEO(MTEP)</vt:lpstr>
      <vt:lpstr>Appx C - DEK(MTEP)</vt:lpstr>
      <vt:lpstr>Appx D DEO</vt:lpstr>
      <vt:lpstr>Appx D DEK</vt:lpstr>
      <vt:lpstr>Appx E</vt:lpstr>
      <vt:lpstr>Appx E - Workpaper</vt:lpstr>
      <vt:lpstr>P1 ADIT 190 &amp; 282</vt:lpstr>
      <vt:lpstr>P2 Allocate M&amp;S</vt:lpstr>
      <vt:lpstr>P3 Land Held for Future Use</vt:lpstr>
      <vt:lpstr>P4 Advertising - EPRI Adj.</vt:lpstr>
      <vt:lpstr>P5 Schedule 1 Charges acct 561</vt:lpstr>
      <vt:lpstr>P6 Statetax</vt:lpstr>
      <vt:lpstr>P7 Trans Plant In OATT</vt:lpstr>
      <vt:lpstr>P8 Rev Cred Support</vt:lpstr>
      <vt:lpstr>P9 Capital Structure - Confiden</vt:lpstr>
      <vt:lpstr>P10 Partner KW</vt:lpstr>
      <vt:lpstr>P11 Salaries and Wages</vt:lpstr>
      <vt:lpstr>Appendix_A</vt:lpstr>
      <vt:lpstr>AppxB_DEK_Pg1_RTEP</vt:lpstr>
      <vt:lpstr>AppxB_DEK_Pg2_RTEP</vt:lpstr>
      <vt:lpstr>AppxB_DEM_Pg1_RTEP</vt:lpstr>
      <vt:lpstr>AppxB_DEM_Pg2_RTEP</vt:lpstr>
      <vt:lpstr>AppxB_DEO_Pg1_RTEP</vt:lpstr>
      <vt:lpstr>AppxB_DEO_Pg2_RTEP</vt:lpstr>
      <vt:lpstr>AppxC_DEK_Pg1_MTEP</vt:lpstr>
      <vt:lpstr>AppxC_DEK_Pg2_MTEP</vt:lpstr>
      <vt:lpstr>AppxC_DEM_Pg1_MTEP</vt:lpstr>
      <vt:lpstr>AppxC_DEM_Pg2_MTEP</vt:lpstr>
      <vt:lpstr>AppxC_DEO_Pg1_MTEP</vt:lpstr>
      <vt:lpstr>AppxC_DEO_Pg2_MTEP</vt:lpstr>
      <vt:lpstr>AppxD_DEK</vt:lpstr>
      <vt:lpstr>AppxD_DEO</vt:lpstr>
      <vt:lpstr>AppxE_DEOK</vt:lpstr>
      <vt:lpstr>AppxE_DEOK_WP</vt:lpstr>
      <vt:lpstr>DEK_1of6</vt:lpstr>
      <vt:lpstr>DEK_2of6</vt:lpstr>
      <vt:lpstr>DEK_3of6</vt:lpstr>
      <vt:lpstr>DEK_4of6</vt:lpstr>
      <vt:lpstr>DEK_5of6</vt:lpstr>
      <vt:lpstr>DEK_6of6</vt:lpstr>
      <vt:lpstr>DEO_1of6</vt:lpstr>
      <vt:lpstr>DEO_2of6</vt:lpstr>
      <vt:lpstr>DEO_3of6</vt:lpstr>
      <vt:lpstr>DEO_4of6</vt:lpstr>
      <vt:lpstr>DEO_5of6</vt:lpstr>
      <vt:lpstr>DEO_6of6</vt:lpstr>
      <vt:lpstr>DEOK_1of6</vt:lpstr>
      <vt:lpstr>DEOK_2of6</vt:lpstr>
      <vt:lpstr>DEOK_3of6</vt:lpstr>
      <vt:lpstr>DEOK_4of6</vt:lpstr>
      <vt:lpstr>DEOK_5of6</vt:lpstr>
      <vt:lpstr>DEOK_6of6</vt:lpstr>
      <vt:lpstr>FERCrefund</vt:lpstr>
      <vt:lpstr>FIT</vt:lpstr>
      <vt:lpstr>PeakKW_DEK</vt:lpstr>
      <vt:lpstr>PeakKW_DEO</vt:lpstr>
      <vt:lpstr>PeakKW_DEOK</vt:lpstr>
      <vt:lpstr>'Corrections to May 2016 filing'!PG1_Support_Corrections</vt:lpstr>
      <vt:lpstr>PG1_Support_Corrections</vt:lpstr>
      <vt:lpstr>PG1_Support_KW</vt:lpstr>
      <vt:lpstr>PG2_Support_FAS106</vt:lpstr>
      <vt:lpstr>PG2_Support_LandHeld</vt:lpstr>
      <vt:lpstr>PG2_Support_MS</vt:lpstr>
      <vt:lpstr>PG3_Support_Adv</vt:lpstr>
      <vt:lpstr>'P11 Salaries and Wages'!PG3_Support_BAcosts</vt:lpstr>
      <vt:lpstr>PG3_Support_BAcosts</vt:lpstr>
      <vt:lpstr>PG3_Support_StateTax</vt:lpstr>
      <vt:lpstr>PG4_Support_Ancillary</vt:lpstr>
      <vt:lpstr>PG4_Support_CapStructure</vt:lpstr>
      <vt:lpstr>PG4_Support_RevCr</vt:lpstr>
      <vt:lpstr>'Appx B - DEK(RTEP)'!Print_Area</vt:lpstr>
      <vt:lpstr>'Appx B - DEO(RTEP)'!Print_Area</vt:lpstr>
      <vt:lpstr>'Appx B - DEOK(RTEP)'!Print_Area</vt:lpstr>
      <vt:lpstr>'Appx C - DEK(MTEP)'!Print_Area</vt:lpstr>
      <vt:lpstr>'Appx C - DEO(MTEP)'!Print_Area</vt:lpstr>
      <vt:lpstr>'Appx C - DEOK(MTEP)'!Print_Area</vt:lpstr>
      <vt:lpstr>'Appx D DEK'!Print_Area</vt:lpstr>
      <vt:lpstr>'Appx D DEO'!Print_Area</vt:lpstr>
      <vt:lpstr>'Appx E'!Print_Area</vt:lpstr>
      <vt:lpstr>'Appx E - Workpaper'!Print_Area</vt:lpstr>
      <vt:lpstr>'Corrections to May 2016 filing'!Print_Area</vt:lpstr>
      <vt:lpstr>'DE Ohio &amp; Kentucky'!Print_Area</vt:lpstr>
      <vt:lpstr>DEK!Print_Area</vt:lpstr>
      <vt:lpstr>DEO!Print_Area</vt:lpstr>
      <vt:lpstr>INPUT!Print_Area</vt:lpstr>
      <vt:lpstr>'P1 ADIT 190 &amp; 282'!Print_Area</vt:lpstr>
      <vt:lpstr>'P10 Partner KW'!Print_Area</vt:lpstr>
      <vt:lpstr>'P11 Salaries and Wages'!Print_Area</vt:lpstr>
      <vt:lpstr>'P2 Allocate M&amp;S'!Print_Area</vt:lpstr>
      <vt:lpstr>'P3 Land Held for Future Use'!Print_Area</vt:lpstr>
      <vt:lpstr>'P4 Advertising - EPRI Adj.'!Print_Area</vt:lpstr>
      <vt:lpstr>'P5 Schedule 1 Charges acct 561'!Print_Area</vt:lpstr>
      <vt:lpstr>'P6 Statetax'!Print_Area</vt:lpstr>
      <vt:lpstr>'P7 Trans Plant In OATT'!Print_Area</vt:lpstr>
      <vt:lpstr>'P8 Rev Cred Support'!Print_Area</vt:lpstr>
      <vt:lpstr>'P9 Capital Structure - Confiden'!Print_Area</vt:lpstr>
      <vt:lpstr>'Sch 1A - Appx A'!Print_Area</vt:lpstr>
      <vt:lpstr>INPUT!Print_Titles</vt:lpstr>
      <vt:lpstr>PriorYearCorrections</vt:lpstr>
      <vt:lpstr>ROE</vt:lpstr>
      <vt:lpstr>SCH_1A</vt:lpstr>
      <vt:lpstr>Workpaper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Schleicher, Heather M.</cp:lastModifiedBy>
  <cp:lastPrinted>2017-05-09T14:50:30Z</cp:lastPrinted>
  <dcterms:created xsi:type="dcterms:W3CDTF">1997-04-03T19:40:56Z</dcterms:created>
  <dcterms:modified xsi:type="dcterms:W3CDTF">2017-05-09T17:18:48Z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