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ntk\Desktop\ODEC\2019 Annual Update\"/>
    </mc:Choice>
  </mc:AlternateContent>
  <bookViews>
    <workbookView xWindow="0" yWindow="0" windowWidth="11940" windowHeight="10680" tabRatio="828"/>
  </bookViews>
  <sheets>
    <sheet name="Workpaper page 1" sheetId="8" r:id="rId1"/>
    <sheet name="Workpaper page 2" sheetId="2" r:id="rId2"/>
    <sheet name="Workpaper page 3" sheetId="5" r:id="rId3"/>
    <sheet name="Workpaper page 4" sheetId="9" state="hidden" r:id="rId4"/>
  </sheets>
  <definedNames>
    <definedName name="_xlnm.Print_Area" localSheetId="0">'Workpaper page 1'!$A$1:$J$38</definedName>
    <definedName name="_xlnm.Print_Area" localSheetId="1">'Workpaper page 2'!$A$1:$F$27</definedName>
    <definedName name="_xlnm.Print_Area" localSheetId="2">'Workpaper page 3'!$A$1:$O$19</definedName>
    <definedName name="_xlnm.Print_Area" localSheetId="3">'Workpaper page 4'!$A$1:$P$40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2" l="1"/>
  <c r="F20" i="2"/>
  <c r="F19" i="2"/>
  <c r="F18" i="2"/>
  <c r="G24" i="8"/>
  <c r="F24" i="8"/>
  <c r="E24" i="8"/>
  <c r="F19" i="8"/>
  <c r="G23" i="8"/>
  <c r="A23" i="8"/>
  <c r="A24" i="8" s="1"/>
  <c r="F24" i="9" l="1"/>
  <c r="I14" i="9" l="1"/>
  <c r="H14" i="9"/>
  <c r="H13" i="9"/>
  <c r="H12" i="9"/>
  <c r="E11" i="9"/>
  <c r="P12" i="9" l="1"/>
  <c r="P13" i="9"/>
  <c r="P14" i="9"/>
  <c r="P15" i="9"/>
  <c r="P35" i="9" l="1"/>
  <c r="P36" i="9"/>
  <c r="P21" i="9"/>
  <c r="P22" i="9"/>
  <c r="P23" i="9"/>
  <c r="P24" i="9"/>
  <c r="P25" i="9"/>
  <c r="D17" i="9" l="1"/>
  <c r="J17" i="9"/>
  <c r="N38" i="9"/>
  <c r="M38" i="9"/>
  <c r="L38" i="9"/>
  <c r="K38" i="9"/>
  <c r="J38" i="9"/>
  <c r="I38" i="9"/>
  <c r="H38" i="9"/>
  <c r="G38" i="9"/>
  <c r="F38" i="9"/>
  <c r="E38" i="9"/>
  <c r="D38" i="9"/>
  <c r="C38" i="9"/>
  <c r="P34" i="9"/>
  <c r="P31" i="9"/>
  <c r="N31" i="9"/>
  <c r="M31" i="9"/>
  <c r="L31" i="9"/>
  <c r="K31" i="9"/>
  <c r="J31" i="9"/>
  <c r="I31" i="9"/>
  <c r="H31" i="9"/>
  <c r="G31" i="9"/>
  <c r="F31" i="9"/>
  <c r="E31" i="9"/>
  <c r="D31" i="9"/>
  <c r="C31" i="9"/>
  <c r="N27" i="9"/>
  <c r="M27" i="9"/>
  <c r="L27" i="9"/>
  <c r="K27" i="9"/>
  <c r="J27" i="9"/>
  <c r="I27" i="9"/>
  <c r="H27" i="9"/>
  <c r="F27" i="9"/>
  <c r="E27" i="9"/>
  <c r="D27" i="9"/>
  <c r="C27" i="9"/>
  <c r="G27" i="9"/>
  <c r="P20" i="9"/>
  <c r="N17" i="9"/>
  <c r="M17" i="9"/>
  <c r="L17" i="9"/>
  <c r="K17" i="9"/>
  <c r="I17" i="9"/>
  <c r="H17" i="9"/>
  <c r="F17" i="9"/>
  <c r="E17" i="9"/>
  <c r="C17" i="9"/>
  <c r="G17" i="9"/>
  <c r="N29" i="9" l="1"/>
  <c r="P27" i="9"/>
  <c r="K29" i="9"/>
  <c r="P38" i="9"/>
  <c r="E29" i="9"/>
  <c r="F29" i="9"/>
  <c r="J29" i="9"/>
  <c r="P11" i="9"/>
  <c r="P17" i="9" s="1"/>
  <c r="C29" i="9"/>
  <c r="G29" i="9"/>
  <c r="H29" i="9"/>
  <c r="L29" i="9"/>
  <c r="D29" i="9"/>
  <c r="I29" i="9"/>
  <c r="M29" i="9"/>
  <c r="P29" i="9" l="1"/>
  <c r="F22" i="8"/>
  <c r="G22" i="8" s="1"/>
  <c r="G21" i="8"/>
  <c r="G20" i="8"/>
  <c r="G19" i="8"/>
  <c r="G18" i="8"/>
  <c r="G17" i="8"/>
  <c r="F16" i="8"/>
  <c r="G15" i="8"/>
  <c r="A15" i="8"/>
  <c r="A16" i="8" s="1"/>
  <c r="A17" i="8" s="1"/>
  <c r="A18" i="8" s="1"/>
  <c r="A19" i="8" s="1"/>
  <c r="A20" i="8" s="1"/>
  <c r="A21" i="8" s="1"/>
  <c r="A22" i="8" s="1"/>
  <c r="E9" i="8"/>
  <c r="G9" i="8" s="1"/>
  <c r="G16" i="8" l="1"/>
  <c r="O15" i="5" l="1"/>
  <c r="O10" i="5" l="1"/>
  <c r="O11" i="5"/>
  <c r="O12" i="5"/>
  <c r="O13" i="5"/>
  <c r="O17" i="5" l="1"/>
  <c r="O16" i="5"/>
  <c r="O14" i="5"/>
  <c r="M19" i="5"/>
  <c r="L19" i="5"/>
  <c r="K19" i="5"/>
  <c r="J19" i="5"/>
  <c r="I19" i="5"/>
  <c r="H19" i="5"/>
  <c r="G19" i="5"/>
  <c r="F19" i="5"/>
  <c r="E19" i="5"/>
  <c r="D19" i="5"/>
  <c r="C19" i="5"/>
  <c r="B19" i="5"/>
  <c r="O9" i="5"/>
  <c r="F27" i="2"/>
  <c r="F21" i="2"/>
  <c r="F14" i="2" l="1"/>
  <c r="O19" i="5"/>
</calcChain>
</file>

<file path=xl/sharedStrings.xml><?xml version="1.0" encoding="utf-8"?>
<sst xmlns="http://schemas.openxmlformats.org/spreadsheetml/2006/main" count="112" uniqueCount="95">
  <si>
    <t>Old Dominion Electric Cooperative</t>
  </si>
  <si>
    <t>Form 1</t>
  </si>
  <si>
    <t>Transmission O&amp;M</t>
  </si>
  <si>
    <t>Adjs.</t>
  </si>
  <si>
    <t>Adjusted</t>
  </si>
  <si>
    <t>Reference</t>
  </si>
  <si>
    <t>Pg. 321.96.b</t>
  </si>
  <si>
    <t>Source of Adjustments</t>
  </si>
  <si>
    <t>Note 1</t>
  </si>
  <si>
    <t>Pg. 321.93.b</t>
  </si>
  <si>
    <t>Net Transmission O&amp;M in Template</t>
  </si>
  <si>
    <t>Notes:</t>
  </si>
  <si>
    <t>template ln. 66</t>
  </si>
  <si>
    <t>Expense Items</t>
  </si>
  <si>
    <t>(Template Entries)</t>
  </si>
  <si>
    <t>Clover</t>
  </si>
  <si>
    <t>North Anna</t>
  </si>
  <si>
    <t>Asset Balance</t>
  </si>
  <si>
    <t>Removed per formula</t>
  </si>
  <si>
    <t>Description</t>
  </si>
  <si>
    <t>Line</t>
  </si>
  <si>
    <t>No.</t>
  </si>
  <si>
    <t>(a)</t>
  </si>
  <si>
    <t>(b)</t>
  </si>
  <si>
    <t>(c)</t>
  </si>
  <si>
    <t>(d)</t>
  </si>
  <si>
    <t>(e)</t>
  </si>
  <si>
    <t>(f)</t>
  </si>
  <si>
    <t>(g)</t>
  </si>
  <si>
    <t>Template Workpapers</t>
  </si>
  <si>
    <t>Transmission Account Balances</t>
  </si>
  <si>
    <t>ODEC- Static Var</t>
  </si>
  <si>
    <t>Excluded Facilities:</t>
  </si>
  <si>
    <t>Included Facilities:</t>
  </si>
  <si>
    <t>Transmission Original Cost Workpaper for</t>
  </si>
  <si>
    <t>Excluded Plant Cost Support</t>
  </si>
  <si>
    <t>Attachment 5 - Line 149</t>
  </si>
  <si>
    <t>Eastern Shore Facilities</t>
  </si>
  <si>
    <t>Total Excluded Facilities</t>
  </si>
  <si>
    <t>Total Included Facilities (template line 150)</t>
  </si>
  <si>
    <t>Pg. 321.88.b</t>
  </si>
  <si>
    <t>(560) Operation Supervision and Engineering</t>
  </si>
  <si>
    <t>Pg. 321.83.b</t>
  </si>
  <si>
    <t>(561.4) Scheduling, Sys Control and Dispatch</t>
  </si>
  <si>
    <t>(561.7) Generation Interconnection Studies</t>
  </si>
  <si>
    <t>Pg. 321.91.b</t>
  </si>
  <si>
    <t>(561.8) Reliability, Planning and Standards Development</t>
  </si>
  <si>
    <t>Pg. 321.92.b</t>
  </si>
  <si>
    <t>(562) Station Expenses</t>
  </si>
  <si>
    <t>(563) Overhead Lines Expenses</t>
  </si>
  <si>
    <t>Pg. 321.94.b</t>
  </si>
  <si>
    <t>(564) Underground Lines Expenses</t>
  </si>
  <si>
    <t>Pg. 321.95.b</t>
  </si>
  <si>
    <t>(565) Transmission of Electricity by Others</t>
  </si>
  <si>
    <r>
      <t xml:space="preserve">Total Transmission Assets </t>
    </r>
    <r>
      <rPr>
        <sz val="12"/>
        <rFont val="Arial"/>
        <family val="2"/>
      </rPr>
      <t>(FF1 p. 207.58.g)</t>
    </r>
  </si>
  <si>
    <t>Capital Transmission Additions</t>
  </si>
  <si>
    <t>Transmission</t>
  </si>
  <si>
    <t>Total Transmission</t>
  </si>
  <si>
    <t>Capital Transmission Additions, Retirements, and CWIP</t>
  </si>
  <si>
    <t>Transmission - included facilities</t>
  </si>
  <si>
    <t>ROW - Kellam/Tasley Lines</t>
  </si>
  <si>
    <t>Total Additions - included facilities</t>
  </si>
  <si>
    <t>Louisa</t>
  </si>
  <si>
    <t>Marsh Run</t>
  </si>
  <si>
    <t>Rock Springs</t>
  </si>
  <si>
    <t>Total Transmission additions</t>
  </si>
  <si>
    <t>Total Retirements</t>
  </si>
  <si>
    <t>Total Additions - excluded facilities</t>
  </si>
  <si>
    <t>Transmission - excluded facilities</t>
  </si>
  <si>
    <t>Tasley Bus Rearrangment PJM S-1090</t>
  </si>
  <si>
    <t>Structure Replacements (6745-6746)</t>
  </si>
  <si>
    <t>Structure Replacements (6790 Phase II)</t>
  </si>
  <si>
    <t>Structure Replacements (6790 Phase III)</t>
  </si>
  <si>
    <t>Static Var Compensator Control Cabinet</t>
  </si>
  <si>
    <t>Weirwood Tap Point RTU</t>
  </si>
  <si>
    <t>Total 2017</t>
  </si>
  <si>
    <t>Diesels</t>
  </si>
  <si>
    <t>2017 Actual</t>
  </si>
  <si>
    <t>2017 Actual Additions</t>
  </si>
  <si>
    <t>Replace Wallops Tap Pole/Switch</t>
  </si>
  <si>
    <t>Tasley-Transf #2 Relay &amp; Brk</t>
  </si>
  <si>
    <t>2017 Actual Retirements</t>
  </si>
  <si>
    <t>Retire Old Wallops Asset</t>
  </si>
  <si>
    <t>CTs - Louisa/Marsh Run/Rock Springs/Diesels</t>
  </si>
  <si>
    <t>Summary of 2018 Formulary Transmission Expenses &amp; Adjustments</t>
  </si>
  <si>
    <t>(570) Maintenance of Station Equipment</t>
  </si>
  <si>
    <t>Pg. 321.107.b</t>
  </si>
  <si>
    <t xml:space="preserve">     through the exclusion/inclusion factor in the formula.</t>
  </si>
  <si>
    <t>1.  Excluded $816,923 ($599,790 in wheeling charges and $217,132 in facility charges) from account 562 related to Virginia mainland cost</t>
  </si>
  <si>
    <t xml:space="preserve">     of facilities that ODEC does not own and, thus, would otherwise not be properly excluded from the transmission revenue requirements</t>
  </si>
  <si>
    <t>2019 Projected</t>
  </si>
  <si>
    <t>Total 2019</t>
  </si>
  <si>
    <t>Replace Air Conditioners on Statcom</t>
  </si>
  <si>
    <t>Replace Structures on Circuit 6750</t>
  </si>
  <si>
    <t>Replace Insulators on Chincoteague Causeway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</si>
</sst>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_(* #,##0_);_(* \(#,##0\);_(* &quot;-&quot;??_);_(@_)"/>
    <numFmt numFmtId="167" formatCode="General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b/>
      <u/>
      <sz val="12"/>
      <name val="Arial"/>
      <family val="2"/>
    </font>
    <font>
      <b/>
      <u val="singleAccounting"/>
      <sz val="12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Helv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8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43" fontId="0" fillId="0" borderId="0" xfId="0" applyNumberFormat="1"/>
    <xf numFmtId="0" fontId="9" fillId="0" borderId="0" xfId="0" quotePrefix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7" fillId="0" borderId="1" xfId="0" applyFont="1" applyBorder="1"/>
    <xf numFmtId="0" fontId="10" fillId="0" borderId="1" xfId="0" applyFont="1" applyBorder="1"/>
    <xf numFmtId="0" fontId="10" fillId="0" borderId="0" xfId="0" applyFont="1"/>
    <xf numFmtId="43" fontId="10" fillId="0" borderId="0" xfId="1" applyFont="1"/>
    <xf numFmtId="43" fontId="10" fillId="0" borderId="0" xfId="0" applyNumberFormat="1" applyFont="1"/>
    <xf numFmtId="0" fontId="0" fillId="0" borderId="0" xfId="0" applyAlignment="1">
      <alignment horizontal="centerContinuous"/>
    </xf>
    <xf numFmtId="0" fontId="10" fillId="0" borderId="0" xfId="0" quotePrefix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4" fillId="0" borderId="0" xfId="0" applyFont="1" applyAlignment="1">
      <alignment horizontal="left"/>
    </xf>
    <xf numFmtId="43" fontId="11" fillId="0" borderId="0" xfId="1" applyFont="1"/>
    <xf numFmtId="164" fontId="11" fillId="0" borderId="0" xfId="3" applyNumberFormat="1" applyFont="1"/>
    <xf numFmtId="165" fontId="11" fillId="0" borderId="0" xfId="5" applyNumberFormat="1" applyFont="1"/>
    <xf numFmtId="43" fontId="15" fillId="0" borderId="0" xfId="1" applyFont="1"/>
    <xf numFmtId="0" fontId="7" fillId="0" borderId="0" xfId="0" quotePrefix="1" applyFont="1" applyAlignment="1">
      <alignment horizontal="left"/>
    </xf>
    <xf numFmtId="167" fontId="16" fillId="0" borderId="0" xfId="0" applyNumberFormat="1" applyFont="1"/>
    <xf numFmtId="167" fontId="10" fillId="0" borderId="0" xfId="0" applyNumberFormat="1" applyFont="1"/>
    <xf numFmtId="0" fontId="21" fillId="0" borderId="0" xfId="0" applyFont="1" applyAlignment="1">
      <alignment horizontal="centerContinuous"/>
    </xf>
    <xf numFmtId="10" fontId="0" fillId="0" borderId="0" xfId="0" applyNumberFormat="1"/>
    <xf numFmtId="164" fontId="11" fillId="0" borderId="0" xfId="3" applyNumberFormat="1" applyFont="1" applyFill="1"/>
    <xf numFmtId="164" fontId="13" fillId="0" borderId="0" xfId="3" applyNumberFormat="1" applyFont="1" applyFill="1"/>
    <xf numFmtId="166" fontId="10" fillId="0" borderId="0" xfId="2" applyNumberFormat="1" applyFont="1" applyBorder="1"/>
    <xf numFmtId="164" fontId="10" fillId="0" borderId="0" xfId="4" applyNumberFormat="1" applyFont="1" applyBorder="1"/>
    <xf numFmtId="164" fontId="17" fillId="0" borderId="0" xfId="4" applyNumberFormat="1" applyFont="1" applyAlignment="1">
      <alignment horizontal="right"/>
    </xf>
    <xf numFmtId="164" fontId="7" fillId="0" borderId="2" xfId="4" applyNumberFormat="1" applyFont="1" applyBorder="1"/>
    <xf numFmtId="164" fontId="0" fillId="0" borderId="0" xfId="0" applyNumberFormat="1"/>
    <xf numFmtId="0" fontId="0" fillId="0" borderId="0" xfId="0" applyFill="1"/>
    <xf numFmtId="164" fontId="11" fillId="0" borderId="0" xfId="3" quotePrefix="1" applyNumberFormat="1" applyFont="1" applyFill="1" applyAlignment="1">
      <alignment horizontal="center"/>
    </xf>
    <xf numFmtId="166" fontId="10" fillId="0" borderId="0" xfId="1" applyNumberFormat="1" applyFont="1" applyBorder="1"/>
    <xf numFmtId="0" fontId="21" fillId="0" borderId="0" xfId="7" applyFont="1"/>
    <xf numFmtId="0" fontId="1" fillId="0" borderId="0" xfId="7"/>
    <xf numFmtId="0" fontId="20" fillId="0" borderId="0" xfId="7" applyFont="1" applyAlignment="1">
      <alignment horizontal="center"/>
    </xf>
    <xf numFmtId="167" fontId="16" fillId="0" borderId="0" xfId="7" applyNumberFormat="1" applyFont="1"/>
    <xf numFmtId="0" fontId="10" fillId="0" borderId="0" xfId="7" applyFont="1" applyFill="1" applyBorder="1"/>
    <xf numFmtId="164" fontId="10" fillId="0" borderId="0" xfId="8" applyNumberFormat="1" applyFont="1"/>
    <xf numFmtId="164" fontId="10" fillId="0" borderId="0" xfId="8" applyNumberFormat="1" applyFont="1" applyBorder="1"/>
    <xf numFmtId="164" fontId="23" fillId="0" borderId="0" xfId="8" applyNumberFormat="1" applyFont="1"/>
    <xf numFmtId="164" fontId="17" fillId="0" borderId="0" xfId="8" applyNumberFormat="1" applyFont="1" applyAlignment="1">
      <alignment horizontal="right"/>
    </xf>
    <xf numFmtId="164" fontId="7" fillId="0" borderId="3" xfId="8" applyNumberFormat="1" applyFont="1" applyBorder="1"/>
    <xf numFmtId="164" fontId="7" fillId="0" borderId="0" xfId="8" applyNumberFormat="1" applyFont="1"/>
    <xf numFmtId="164" fontId="7" fillId="0" borderId="0" xfId="8" applyNumberFormat="1" applyFont="1" applyBorder="1"/>
    <xf numFmtId="164" fontId="10" fillId="0" borderId="0" xfId="8" applyNumberFormat="1" applyFont="1" applyAlignment="1">
      <alignment horizontal="left"/>
    </xf>
    <xf numFmtId="164" fontId="21" fillId="0" borderId="3" xfId="7" applyNumberFormat="1" applyFont="1" applyBorder="1"/>
    <xf numFmtId="0" fontId="21" fillId="0" borderId="3" xfId="7" applyFont="1" applyBorder="1"/>
    <xf numFmtId="0" fontId="24" fillId="0" borderId="0" xfId="7" applyFont="1"/>
    <xf numFmtId="164" fontId="7" fillId="0" borderId="0" xfId="8" applyNumberFormat="1" applyFont="1" applyAlignment="1">
      <alignment horizontal="left"/>
    </xf>
    <xf numFmtId="164" fontId="21" fillId="0" borderId="4" xfId="7" applyNumberFormat="1" applyFont="1" applyBorder="1"/>
    <xf numFmtId="0" fontId="21" fillId="0" borderId="4" xfId="7" applyFont="1" applyBorder="1"/>
    <xf numFmtId="164" fontId="7" fillId="0" borderId="2" xfId="8" applyNumberFormat="1" applyFont="1" applyBorder="1"/>
    <xf numFmtId="0" fontId="26" fillId="0" borderId="0" xfId="0" applyFont="1" applyAlignment="1">
      <alignment horizontal="center"/>
    </xf>
    <xf numFmtId="164" fontId="0" fillId="0" borderId="0" xfId="10" applyNumberFormat="1" applyFont="1"/>
    <xf numFmtId="164" fontId="0" fillId="0" borderId="0" xfId="10" applyNumberFormat="1" applyFont="1" applyAlignment="1">
      <alignment horizontal="left"/>
    </xf>
    <xf numFmtId="164" fontId="25" fillId="0" borderId="0" xfId="10" applyNumberFormat="1" applyFont="1" applyFill="1"/>
    <xf numFmtId="164" fontId="25" fillId="0" borderId="0" xfId="10" applyNumberFormat="1" applyFont="1"/>
    <xf numFmtId="164" fontId="6" fillId="0" borderId="0" xfId="10" applyNumberFormat="1" applyFont="1"/>
    <xf numFmtId="164" fontId="2" fillId="0" borderId="0" xfId="10" quotePrefix="1" applyNumberFormat="1" applyFont="1" applyAlignment="1">
      <alignment horizontal="left"/>
    </xf>
    <xf numFmtId="164" fontId="5" fillId="0" borderId="0" xfId="10" applyNumberFormat="1" applyFont="1" applyFill="1"/>
    <xf numFmtId="164" fontId="18" fillId="0" borderId="0" xfId="10" applyNumberFormat="1" applyFont="1"/>
    <xf numFmtId="164" fontId="2" fillId="0" borderId="0" xfId="10" applyNumberFormat="1" applyFont="1" applyAlignment="1">
      <alignment horizontal="left"/>
    </xf>
    <xf numFmtId="164" fontId="0" fillId="0" borderId="0" xfId="10" quotePrefix="1" applyNumberFormat="1" applyFont="1" applyAlignment="1">
      <alignment horizontal="left"/>
    </xf>
    <xf numFmtId="0" fontId="2" fillId="0" borderId="0" xfId="0" quotePrefix="1" applyFont="1" applyFill="1" applyAlignment="1">
      <alignment horizontal="left"/>
    </xf>
    <xf numFmtId="17" fontId="27" fillId="0" borderId="0" xfId="7" applyNumberFormat="1" applyFont="1" applyAlignment="1">
      <alignment horizontal="center"/>
    </xf>
    <xf numFmtId="0" fontId="27" fillId="0" borderId="0" xfId="7" applyFont="1" applyAlignment="1">
      <alignment horizontal="center"/>
    </xf>
    <xf numFmtId="167" fontId="10" fillId="0" borderId="0" xfId="0" applyNumberFormat="1" applyFont="1" applyFill="1"/>
    <xf numFmtId="0" fontId="21" fillId="0" borderId="0" xfId="0" applyFont="1" applyAlignment="1">
      <alignment horizontal="center"/>
    </xf>
    <xf numFmtId="17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2" fillId="0" borderId="0" xfId="10" applyNumberFormat="1" applyFont="1" applyFill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4" fontId="2" fillId="0" borderId="0" xfId="11" applyNumberFormat="1" applyFont="1" applyFill="1"/>
    <xf numFmtId="164" fontId="10" fillId="0" borderId="0" xfId="3" applyNumberFormat="1" applyFont="1" applyFill="1"/>
  </cellXfs>
  <cellStyles count="12">
    <cellStyle name="Comma" xfId="1" builtinId="3"/>
    <cellStyle name="Comma 2" xfId="2"/>
    <cellStyle name="Comma 3" xfId="9"/>
    <cellStyle name="Currency" xfId="3" builtinId="4"/>
    <cellStyle name="Currency 2" xfId="4"/>
    <cellStyle name="Currency 2 2" xfId="11"/>
    <cellStyle name="Currency 3" xfId="8"/>
    <cellStyle name="Currency 4" xfId="10"/>
    <cellStyle name="Normal" xfId="0" builtinId="0"/>
    <cellStyle name="Normal 2" xfId="7"/>
    <cellStyle name="Normal 2 4" xfId="6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/>
  </sheetViews>
  <sheetFormatPr defaultRowHeight="12.75" x14ac:dyDescent="0.2"/>
  <cols>
    <col min="2" max="2" width="18.5703125" customWidth="1"/>
    <col min="3" max="3" width="35.5703125" customWidth="1"/>
    <col min="4" max="4" width="15.85546875" customWidth="1"/>
    <col min="5" max="5" width="16" customWidth="1"/>
    <col min="6" max="6" width="14.5703125" customWidth="1"/>
    <col min="7" max="7" width="17.85546875" customWidth="1"/>
  </cols>
  <sheetData>
    <row r="1" spans="1:9" ht="20.25" x14ac:dyDescent="0.3">
      <c r="B1" s="11" t="s">
        <v>0</v>
      </c>
      <c r="C1" s="5"/>
      <c r="D1" s="6"/>
      <c r="E1" s="6"/>
      <c r="F1" s="6"/>
      <c r="G1" s="6"/>
      <c r="H1" s="6"/>
      <c r="I1" s="6"/>
    </row>
    <row r="2" spans="1:9" ht="20.25" x14ac:dyDescent="0.3">
      <c r="B2" s="12" t="s">
        <v>29</v>
      </c>
      <c r="C2" s="6"/>
      <c r="D2" s="6"/>
      <c r="E2" s="6"/>
      <c r="F2" s="6"/>
      <c r="G2" s="6"/>
      <c r="H2" s="6"/>
      <c r="I2" s="6"/>
    </row>
    <row r="3" spans="1:9" ht="20.25" x14ac:dyDescent="0.3">
      <c r="B3" s="12" t="s">
        <v>84</v>
      </c>
      <c r="C3" s="18"/>
      <c r="D3" s="18"/>
      <c r="E3" s="18"/>
      <c r="F3" s="18"/>
      <c r="G3" s="18"/>
      <c r="H3" s="18"/>
      <c r="I3" s="18"/>
    </row>
    <row r="5" spans="1:9" x14ac:dyDescent="0.2">
      <c r="C5" s="43"/>
    </row>
    <row r="6" spans="1:9" x14ac:dyDescent="0.2">
      <c r="F6" s="2"/>
      <c r="G6" s="2"/>
    </row>
    <row r="7" spans="1:9" x14ac:dyDescent="0.2">
      <c r="F7" s="2"/>
      <c r="G7" s="2"/>
    </row>
    <row r="8" spans="1:9" x14ac:dyDescent="0.2">
      <c r="D8" s="2">
        <v>2018</v>
      </c>
      <c r="F8" s="2"/>
      <c r="G8" s="9" t="s">
        <v>14</v>
      </c>
    </row>
    <row r="9" spans="1:9" x14ac:dyDescent="0.2">
      <c r="A9" s="2" t="s">
        <v>20</v>
      </c>
      <c r="D9" s="2" t="s">
        <v>1</v>
      </c>
      <c r="E9" s="2">
        <f>+D8</f>
        <v>2018</v>
      </c>
      <c r="F9" s="2"/>
      <c r="G9" s="2">
        <f>+E9</f>
        <v>2018</v>
      </c>
    </row>
    <row r="10" spans="1:9" x14ac:dyDescent="0.2">
      <c r="A10" s="3" t="s">
        <v>21</v>
      </c>
      <c r="B10" s="3" t="s">
        <v>19</v>
      </c>
      <c r="D10" s="3" t="s">
        <v>5</v>
      </c>
      <c r="E10" s="3" t="s">
        <v>1</v>
      </c>
      <c r="F10" s="66" t="s">
        <v>3</v>
      </c>
      <c r="G10" s="3" t="s">
        <v>4</v>
      </c>
      <c r="H10" s="4" t="s">
        <v>7</v>
      </c>
    </row>
    <row r="11" spans="1:9" x14ac:dyDescent="0.2">
      <c r="A11" s="9" t="s">
        <v>22</v>
      </c>
      <c r="B11" s="9" t="s">
        <v>23</v>
      </c>
      <c r="D11" s="9" t="s">
        <v>24</v>
      </c>
      <c r="E11" s="9" t="s">
        <v>25</v>
      </c>
      <c r="F11" s="9" t="s">
        <v>26</v>
      </c>
      <c r="G11" s="9" t="s">
        <v>27</v>
      </c>
      <c r="H11" s="9" t="s">
        <v>28</v>
      </c>
    </row>
    <row r="12" spans="1:9" x14ac:dyDescent="0.2">
      <c r="A12" s="2"/>
      <c r="B12" s="1"/>
      <c r="D12" s="1"/>
      <c r="E12" s="67"/>
      <c r="F12" s="67"/>
      <c r="G12" s="67"/>
    </row>
    <row r="13" spans="1:9" x14ac:dyDescent="0.2">
      <c r="A13" s="2"/>
      <c r="B13" s="8" t="s">
        <v>13</v>
      </c>
      <c r="E13" s="67"/>
      <c r="F13" s="67"/>
      <c r="G13" s="67"/>
    </row>
    <row r="14" spans="1:9" x14ac:dyDescent="0.2">
      <c r="A14" s="2">
        <v>1</v>
      </c>
      <c r="B14" t="s">
        <v>2</v>
      </c>
      <c r="E14" s="67"/>
      <c r="F14" s="67"/>
      <c r="G14" s="67"/>
      <c r="H14" s="68"/>
    </row>
    <row r="15" spans="1:9" x14ac:dyDescent="0.2">
      <c r="A15" s="2">
        <f>A14+1</f>
        <v>2</v>
      </c>
      <c r="B15" s="7" t="s">
        <v>41</v>
      </c>
      <c r="C15" s="1"/>
      <c r="D15" s="1" t="s">
        <v>42</v>
      </c>
      <c r="E15" s="69">
        <v>427307</v>
      </c>
      <c r="F15" s="70"/>
      <c r="G15" s="71">
        <f t="shared" ref="G15:G23" si="0">F15+E15</f>
        <v>427307</v>
      </c>
      <c r="H15" s="67"/>
    </row>
    <row r="16" spans="1:9" x14ac:dyDescent="0.2">
      <c r="A16" s="2">
        <f t="shared" ref="A16:A24" si="1">A15+1</f>
        <v>3</v>
      </c>
      <c r="B16" s="7" t="s">
        <v>43</v>
      </c>
      <c r="C16" s="1"/>
      <c r="D16" s="1" t="s">
        <v>40</v>
      </c>
      <c r="E16" s="69">
        <v>3549604</v>
      </c>
      <c r="F16" s="69">
        <f>-E16</f>
        <v>-3549604</v>
      </c>
      <c r="G16" s="71">
        <f t="shared" si="0"/>
        <v>0</v>
      </c>
      <c r="H16" s="67" t="s">
        <v>18</v>
      </c>
    </row>
    <row r="17" spans="1:10" x14ac:dyDescent="0.2">
      <c r="A17" s="2">
        <f t="shared" si="1"/>
        <v>4</v>
      </c>
      <c r="B17" s="7" t="s">
        <v>44</v>
      </c>
      <c r="C17" s="1"/>
      <c r="D17" s="1" t="s">
        <v>45</v>
      </c>
      <c r="E17" s="69">
        <v>0</v>
      </c>
      <c r="F17" s="70"/>
      <c r="G17" s="71">
        <f t="shared" si="0"/>
        <v>0</v>
      </c>
      <c r="H17" s="67"/>
    </row>
    <row r="18" spans="1:10" x14ac:dyDescent="0.2">
      <c r="A18" s="2">
        <f t="shared" si="1"/>
        <v>5</v>
      </c>
      <c r="B18" s="7" t="s">
        <v>46</v>
      </c>
      <c r="C18" s="1"/>
      <c r="D18" s="1" t="s">
        <v>47</v>
      </c>
      <c r="E18" s="69">
        <v>216303</v>
      </c>
      <c r="F18" s="70"/>
      <c r="G18" s="71">
        <f t="shared" si="0"/>
        <v>216303</v>
      </c>
      <c r="H18" s="67"/>
    </row>
    <row r="19" spans="1:10" x14ac:dyDescent="0.2">
      <c r="A19" s="2">
        <f t="shared" si="1"/>
        <v>6</v>
      </c>
      <c r="B19" s="7" t="s">
        <v>48</v>
      </c>
      <c r="C19" s="1"/>
      <c r="D19" s="1" t="s">
        <v>9</v>
      </c>
      <c r="E19" s="69">
        <v>1122824</v>
      </c>
      <c r="F19" s="87">
        <f>-252721.8-347068.62-156372.6-60759.84</f>
        <v>-816922.85999999987</v>
      </c>
      <c r="G19" s="71">
        <f t="shared" si="0"/>
        <v>305901.14000000013</v>
      </c>
      <c r="H19" s="72" t="s">
        <v>8</v>
      </c>
    </row>
    <row r="20" spans="1:10" x14ac:dyDescent="0.2">
      <c r="A20" s="2">
        <f t="shared" si="1"/>
        <v>7</v>
      </c>
      <c r="B20" s="7" t="s">
        <v>49</v>
      </c>
      <c r="C20" s="1"/>
      <c r="D20" s="1" t="s">
        <v>50</v>
      </c>
      <c r="E20" s="69">
        <v>591322</v>
      </c>
      <c r="F20" s="70"/>
      <c r="G20" s="71">
        <f t="shared" si="0"/>
        <v>591322</v>
      </c>
      <c r="H20" s="67"/>
    </row>
    <row r="21" spans="1:10" x14ac:dyDescent="0.2">
      <c r="A21" s="2">
        <f t="shared" si="1"/>
        <v>8</v>
      </c>
      <c r="B21" s="1" t="s">
        <v>51</v>
      </c>
      <c r="C21" s="1"/>
      <c r="D21" s="1" t="s">
        <v>52</v>
      </c>
      <c r="E21" s="69">
        <v>61118</v>
      </c>
      <c r="F21" s="70"/>
      <c r="G21" s="71">
        <f t="shared" si="0"/>
        <v>61118</v>
      </c>
      <c r="H21" s="67"/>
    </row>
    <row r="22" spans="1:10" x14ac:dyDescent="0.2">
      <c r="A22" s="2">
        <f t="shared" si="1"/>
        <v>9</v>
      </c>
      <c r="B22" s="7" t="s">
        <v>53</v>
      </c>
      <c r="C22" s="1"/>
      <c r="D22" s="1" t="s">
        <v>6</v>
      </c>
      <c r="E22" s="84">
        <v>130337533</v>
      </c>
      <c r="F22" s="84">
        <f>-E22</f>
        <v>-130337533</v>
      </c>
      <c r="G22" s="71">
        <f t="shared" si="0"/>
        <v>0</v>
      </c>
      <c r="H22" s="75" t="s">
        <v>18</v>
      </c>
    </row>
    <row r="23" spans="1:10" ht="15" x14ac:dyDescent="0.35">
      <c r="A23" s="2">
        <f t="shared" si="1"/>
        <v>10</v>
      </c>
      <c r="B23" s="85" t="s">
        <v>85</v>
      </c>
      <c r="C23" s="1"/>
      <c r="D23" s="86" t="s">
        <v>86</v>
      </c>
      <c r="E23" s="73">
        <v>2020</v>
      </c>
      <c r="F23" s="73">
        <v>0</v>
      </c>
      <c r="G23" s="74">
        <f t="shared" si="0"/>
        <v>2020</v>
      </c>
      <c r="H23" s="75"/>
    </row>
    <row r="24" spans="1:10" x14ac:dyDescent="0.2">
      <c r="A24" s="2">
        <f t="shared" si="1"/>
        <v>11</v>
      </c>
      <c r="B24" s="1" t="s">
        <v>10</v>
      </c>
      <c r="D24" s="7" t="s">
        <v>12</v>
      </c>
      <c r="E24" s="67">
        <f>SUM(E15:E23)</f>
        <v>136308031</v>
      </c>
      <c r="F24" s="67">
        <f>SUM(F15:F23)</f>
        <v>-134704059.86000001</v>
      </c>
      <c r="G24" s="71">
        <f>SUM(G15:G23)</f>
        <v>1603971.1400000001</v>
      </c>
      <c r="H24" s="67"/>
    </row>
    <row r="25" spans="1:10" x14ac:dyDescent="0.2">
      <c r="A25" s="2"/>
      <c r="E25" s="67"/>
      <c r="F25" s="67"/>
      <c r="G25" s="71"/>
      <c r="H25" s="67"/>
    </row>
    <row r="26" spans="1:10" x14ac:dyDescent="0.2">
      <c r="E26" s="67"/>
      <c r="F26" s="67"/>
      <c r="G26" s="67"/>
      <c r="H26" s="76"/>
      <c r="J26" s="42"/>
    </row>
    <row r="27" spans="1:10" x14ac:dyDescent="0.2">
      <c r="E27" s="67"/>
      <c r="F27" s="67"/>
      <c r="G27" s="67"/>
      <c r="H27" s="76"/>
    </row>
    <row r="28" spans="1:10" x14ac:dyDescent="0.2">
      <c r="E28" s="67"/>
      <c r="F28" s="67"/>
      <c r="G28" s="67"/>
      <c r="H28" s="67"/>
    </row>
    <row r="29" spans="1:10" x14ac:dyDescent="0.2">
      <c r="E29" s="67"/>
      <c r="F29" s="67"/>
      <c r="G29" s="67"/>
      <c r="H29" s="67"/>
    </row>
    <row r="30" spans="1:10" x14ac:dyDescent="0.2">
      <c r="B30" t="s">
        <v>11</v>
      </c>
      <c r="C30" s="77" t="s">
        <v>88</v>
      </c>
    </row>
    <row r="31" spans="1:10" x14ac:dyDescent="0.2">
      <c r="C31" s="77" t="s">
        <v>89</v>
      </c>
    </row>
    <row r="32" spans="1:10" x14ac:dyDescent="0.2">
      <c r="C32" s="77" t="s">
        <v>87</v>
      </c>
    </row>
    <row r="35" spans="3:3" x14ac:dyDescent="0.2">
      <c r="C35" s="1"/>
    </row>
    <row r="36" spans="3:3" x14ac:dyDescent="0.2">
      <c r="C36" s="1"/>
    </row>
    <row r="37" spans="3:3" x14ac:dyDescent="0.2">
      <c r="C37" s="1"/>
    </row>
    <row r="55" spans="3:4" x14ac:dyDescent="0.2">
      <c r="C55" s="35"/>
      <c r="D55" s="35"/>
    </row>
  </sheetData>
  <pageMargins left="0.42" right="0.38" top="1" bottom="1" header="0.5" footer="0.5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/>
  </sheetViews>
  <sheetFormatPr defaultRowHeight="12.75" x14ac:dyDescent="0.2"/>
  <cols>
    <col min="1" max="1" width="10.28515625" customWidth="1"/>
    <col min="2" max="2" width="33.5703125" customWidth="1"/>
    <col min="3" max="4" width="4.140625" customWidth="1"/>
    <col min="6" max="6" width="18.28515625" customWidth="1"/>
    <col min="7" max="7" width="14" bestFit="1" customWidth="1"/>
  </cols>
  <sheetData>
    <row r="1" spans="1:8" ht="20.25" x14ac:dyDescent="0.3">
      <c r="A1" s="11" t="s">
        <v>0</v>
      </c>
      <c r="B1" s="18"/>
      <c r="C1" s="18"/>
      <c r="D1" s="18"/>
      <c r="E1" s="18"/>
      <c r="F1" s="18"/>
    </row>
    <row r="2" spans="1:8" ht="20.25" x14ac:dyDescent="0.3">
      <c r="A2" s="12" t="s">
        <v>34</v>
      </c>
      <c r="B2" s="18"/>
      <c r="C2" s="18"/>
      <c r="D2" s="18"/>
      <c r="E2" s="18"/>
      <c r="F2" s="18"/>
    </row>
    <row r="3" spans="1:8" ht="20.25" x14ac:dyDescent="0.3">
      <c r="A3" s="12" t="s">
        <v>35</v>
      </c>
      <c r="B3" s="11"/>
      <c r="C3" s="18"/>
      <c r="D3" s="18"/>
      <c r="E3" s="18"/>
      <c r="F3" s="18"/>
    </row>
    <row r="4" spans="1:8" ht="20.25" x14ac:dyDescent="0.3">
      <c r="A4" s="12" t="s">
        <v>36</v>
      </c>
      <c r="B4" s="11"/>
      <c r="C4" s="18"/>
      <c r="D4" s="18"/>
      <c r="E4" s="18"/>
      <c r="F4" s="18"/>
    </row>
    <row r="5" spans="1:8" ht="20.25" x14ac:dyDescent="0.3">
      <c r="A5" s="12"/>
      <c r="B5" s="11"/>
      <c r="C5" s="18"/>
      <c r="D5" s="18"/>
      <c r="E5" s="18"/>
      <c r="F5" s="18"/>
      <c r="G5" s="43"/>
    </row>
    <row r="7" spans="1:8" ht="15.75" x14ac:dyDescent="0.25">
      <c r="B7" s="13" t="s">
        <v>30</v>
      </c>
      <c r="C7" s="14"/>
      <c r="D7" s="14"/>
      <c r="E7" s="14"/>
      <c r="F7" s="14"/>
    </row>
    <row r="8" spans="1:8" ht="15" x14ac:dyDescent="0.2">
      <c r="B8" s="15"/>
      <c r="C8" s="15"/>
      <c r="D8" s="15"/>
      <c r="E8" s="15"/>
      <c r="F8" s="15"/>
    </row>
    <row r="9" spans="1:8" ht="15" x14ac:dyDescent="0.2">
      <c r="A9" s="20"/>
      <c r="B9" s="20"/>
      <c r="C9" s="20"/>
      <c r="D9" s="20"/>
      <c r="E9" s="20"/>
      <c r="F9" s="20"/>
      <c r="G9" s="20"/>
      <c r="H9" s="20"/>
    </row>
    <row r="10" spans="1:8" ht="15" x14ac:dyDescent="0.2">
      <c r="A10" s="21" t="s">
        <v>20</v>
      </c>
      <c r="B10" s="20"/>
      <c r="C10" s="20"/>
      <c r="D10" s="20"/>
      <c r="E10" s="20"/>
      <c r="F10" s="22">
        <v>43465</v>
      </c>
      <c r="G10" s="20"/>
      <c r="H10" s="20"/>
    </row>
    <row r="11" spans="1:8" ht="17.25" x14ac:dyDescent="0.35">
      <c r="A11" s="23" t="s">
        <v>21</v>
      </c>
      <c r="B11" s="24" t="s">
        <v>19</v>
      </c>
      <c r="C11" s="24"/>
      <c r="D11" s="24"/>
      <c r="E11" s="24"/>
      <c r="F11" s="24" t="s">
        <v>17</v>
      </c>
      <c r="G11" s="20"/>
      <c r="H11" s="20"/>
    </row>
    <row r="12" spans="1:8" ht="15" x14ac:dyDescent="0.2">
      <c r="A12" s="25" t="s">
        <v>22</v>
      </c>
      <c r="B12" s="25" t="s">
        <v>23</v>
      </c>
      <c r="C12" s="20"/>
      <c r="D12" s="20"/>
      <c r="E12" s="20"/>
      <c r="F12" s="25" t="s">
        <v>24</v>
      </c>
      <c r="G12" s="20"/>
      <c r="H12" s="20"/>
    </row>
    <row r="13" spans="1:8" ht="15" x14ac:dyDescent="0.2">
      <c r="A13" s="25"/>
      <c r="B13" s="25"/>
      <c r="C13" s="20"/>
      <c r="D13" s="20"/>
      <c r="E13" s="20"/>
      <c r="F13" s="25"/>
      <c r="G13" s="20"/>
      <c r="H13" s="20"/>
    </row>
    <row r="14" spans="1:8" ht="15.75" x14ac:dyDescent="0.25">
      <c r="A14" s="25">
        <v>1</v>
      </c>
      <c r="B14" s="31" t="s">
        <v>54</v>
      </c>
      <c r="C14" s="20"/>
      <c r="D14" s="20"/>
      <c r="E14" s="20"/>
      <c r="F14" s="44">
        <f>+F21+F27</f>
        <v>93007586.439999998</v>
      </c>
      <c r="G14" s="20"/>
      <c r="H14" s="20"/>
    </row>
    <row r="15" spans="1:8" ht="15" x14ac:dyDescent="0.2">
      <c r="A15" s="25"/>
      <c r="B15" s="25"/>
      <c r="C15" s="20"/>
      <c r="D15" s="20"/>
      <c r="E15" s="20"/>
      <c r="F15" s="25"/>
      <c r="G15" s="20"/>
      <c r="H15" s="20"/>
    </row>
    <row r="16" spans="1:8" ht="15.75" x14ac:dyDescent="0.25">
      <c r="A16" s="20"/>
      <c r="B16" s="26" t="s">
        <v>32</v>
      </c>
      <c r="C16" s="20"/>
      <c r="D16" s="20"/>
      <c r="E16" s="20"/>
      <c r="F16" s="25"/>
      <c r="G16" s="20"/>
      <c r="H16" s="20"/>
    </row>
    <row r="17" spans="1:8" ht="15" x14ac:dyDescent="0.2">
      <c r="A17" s="25"/>
      <c r="B17" s="25"/>
      <c r="C17" s="20"/>
      <c r="D17" s="20"/>
      <c r="E17" s="20"/>
      <c r="F17" s="25"/>
      <c r="G17" s="20"/>
      <c r="H17" s="20"/>
    </row>
    <row r="18" spans="1:8" ht="15" x14ac:dyDescent="0.2">
      <c r="A18" s="21">
        <v>2</v>
      </c>
      <c r="B18" s="27" t="s">
        <v>15</v>
      </c>
      <c r="C18" s="27"/>
      <c r="D18" s="27"/>
      <c r="E18" s="27"/>
      <c r="F18" s="88">
        <f>5197+334611.45+11757033.62+128201+5359</f>
        <v>12230402.069999998</v>
      </c>
      <c r="G18" s="36"/>
      <c r="H18" s="20"/>
    </row>
    <row r="19" spans="1:8" ht="15" x14ac:dyDescent="0.2">
      <c r="A19" s="21">
        <v>3</v>
      </c>
      <c r="B19" s="27" t="s">
        <v>16</v>
      </c>
      <c r="C19" s="27"/>
      <c r="D19" s="27"/>
      <c r="E19" s="27"/>
      <c r="F19" s="36">
        <f>49195.47+6076756.84+31731</f>
        <v>6157683.3099999996</v>
      </c>
      <c r="G19" s="36"/>
      <c r="H19" s="20"/>
    </row>
    <row r="20" spans="1:8" ht="17.25" x14ac:dyDescent="0.35">
      <c r="A20" s="21">
        <v>4</v>
      </c>
      <c r="B20" s="16" t="s">
        <v>83</v>
      </c>
      <c r="C20" s="27"/>
      <c r="D20" s="27"/>
      <c r="E20" s="27"/>
      <c r="F20" s="37">
        <f>100000+6272872.83+6696071.08+21616598</f>
        <v>34685541.909999996</v>
      </c>
      <c r="G20" s="37"/>
      <c r="H20" s="20"/>
    </row>
    <row r="21" spans="1:8" ht="15" x14ac:dyDescent="0.2">
      <c r="A21" s="21">
        <v>5</v>
      </c>
      <c r="B21" s="27" t="s">
        <v>38</v>
      </c>
      <c r="C21" s="27"/>
      <c r="D21" s="27"/>
      <c r="E21" s="27"/>
      <c r="F21" s="28">
        <f>SUM(F18:F20)</f>
        <v>53073627.289999992</v>
      </c>
      <c r="G21" s="29"/>
      <c r="H21" s="20"/>
    </row>
    <row r="22" spans="1:8" ht="15" x14ac:dyDescent="0.2">
      <c r="A22" s="21"/>
      <c r="B22" s="27"/>
      <c r="C22" s="27"/>
      <c r="D22" s="27"/>
      <c r="E22" s="27"/>
      <c r="F22" s="28"/>
      <c r="G22" s="29"/>
      <c r="H22" s="20"/>
    </row>
    <row r="23" spans="1:8" ht="20.25" x14ac:dyDescent="0.55000000000000004">
      <c r="A23" s="21"/>
      <c r="B23" s="30" t="s">
        <v>33</v>
      </c>
      <c r="C23" s="27"/>
      <c r="D23" s="27"/>
      <c r="E23" s="27"/>
      <c r="F23" s="28"/>
      <c r="G23" s="29"/>
      <c r="H23" s="20"/>
    </row>
    <row r="24" spans="1:8" ht="15" x14ac:dyDescent="0.2">
      <c r="A24" s="21"/>
      <c r="B24" s="27"/>
      <c r="C24" s="27"/>
      <c r="D24" s="27"/>
      <c r="E24" s="27"/>
      <c r="F24" s="28"/>
      <c r="G24" s="29"/>
      <c r="H24" s="20"/>
    </row>
    <row r="25" spans="1:8" ht="15" x14ac:dyDescent="0.2">
      <c r="A25" s="21">
        <v>6</v>
      </c>
      <c r="B25" s="27" t="s">
        <v>31</v>
      </c>
      <c r="C25" s="27"/>
      <c r="D25" s="27"/>
      <c r="E25" s="27"/>
      <c r="F25" s="36">
        <v>1926088.64</v>
      </c>
      <c r="G25" s="29"/>
      <c r="H25" s="20"/>
    </row>
    <row r="26" spans="1:8" ht="17.25" x14ac:dyDescent="0.35">
      <c r="A26" s="21">
        <v>7</v>
      </c>
      <c r="B26" s="27" t="s">
        <v>37</v>
      </c>
      <c r="C26" s="27"/>
      <c r="D26" s="27"/>
      <c r="E26" s="27"/>
      <c r="F26" s="37">
        <f>+(40166280.51-1926089)-232321</f>
        <v>38007870.509999998</v>
      </c>
      <c r="G26" s="29"/>
      <c r="H26" s="20"/>
    </row>
    <row r="27" spans="1:8" ht="15" x14ac:dyDescent="0.2">
      <c r="A27" s="21">
        <v>8</v>
      </c>
      <c r="B27" s="27" t="s">
        <v>39</v>
      </c>
      <c r="C27" s="27"/>
      <c r="D27" s="27"/>
      <c r="E27" s="27"/>
      <c r="F27" s="28">
        <f>SUM(F25:F26)</f>
        <v>39933959.149999999</v>
      </c>
      <c r="G27" s="20"/>
      <c r="H27" s="20"/>
    </row>
    <row r="28" spans="1:8" ht="15" x14ac:dyDescent="0.2">
      <c r="A28" s="21"/>
      <c r="B28" s="20"/>
      <c r="C28" s="20"/>
      <c r="D28" s="20"/>
      <c r="E28" s="20"/>
      <c r="F28" s="20"/>
      <c r="G28" s="20"/>
      <c r="H28" s="20"/>
    </row>
    <row r="29" spans="1:8" ht="15" x14ac:dyDescent="0.2">
      <c r="A29" s="2"/>
      <c r="B29" s="15"/>
      <c r="C29" s="15"/>
      <c r="D29" s="15"/>
      <c r="E29" s="15"/>
      <c r="F29" s="15"/>
    </row>
    <row r="30" spans="1:8" ht="15" x14ac:dyDescent="0.2">
      <c r="B30" s="19"/>
      <c r="C30" s="15"/>
      <c r="D30" s="15"/>
      <c r="E30" s="15"/>
      <c r="F30" s="17"/>
      <c r="G30" s="10"/>
    </row>
    <row r="31" spans="1:8" ht="15" x14ac:dyDescent="0.2">
      <c r="B31" s="16"/>
      <c r="C31" s="16"/>
      <c r="D31" s="16"/>
      <c r="E31" s="16"/>
      <c r="F31" s="16"/>
    </row>
    <row r="32" spans="1:8" ht="15" x14ac:dyDescent="0.2">
      <c r="B32" s="15"/>
      <c r="C32" s="15"/>
      <c r="D32" s="15"/>
      <c r="E32" s="15"/>
      <c r="F32" s="15"/>
    </row>
    <row r="33" spans="2:6" ht="15" x14ac:dyDescent="0.2">
      <c r="B33" s="15"/>
      <c r="C33" s="15"/>
      <c r="D33" s="15"/>
      <c r="E33" s="15"/>
      <c r="F33" s="15"/>
    </row>
    <row r="34" spans="2:6" ht="15" x14ac:dyDescent="0.2">
      <c r="B34" s="15"/>
      <c r="C34" s="15"/>
      <c r="D34" s="15"/>
      <c r="E34" s="15"/>
      <c r="F34" s="15"/>
    </row>
    <row r="35" spans="2:6" ht="15" x14ac:dyDescent="0.2">
      <c r="B35" s="15"/>
      <c r="C35" s="15"/>
      <c r="D35" s="15"/>
      <c r="E35" s="15"/>
      <c r="F35" s="16"/>
    </row>
    <row r="36" spans="2:6" ht="15" x14ac:dyDescent="0.2">
      <c r="B36" s="15"/>
      <c r="C36" s="15"/>
      <c r="D36" s="15"/>
      <c r="E36" s="15"/>
      <c r="F36" s="15"/>
    </row>
    <row r="37" spans="2:6" ht="15" x14ac:dyDescent="0.2">
      <c r="B37" s="15"/>
      <c r="C37" s="15"/>
      <c r="D37" s="15"/>
      <c r="E37" s="15"/>
      <c r="F37" s="15"/>
    </row>
  </sheetData>
  <phoneticPr fontId="3" type="noConversion"/>
  <pageMargins left="1.04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Normal="100" workbookViewId="0"/>
  </sheetViews>
  <sheetFormatPr defaultRowHeight="12.75" x14ac:dyDescent="0.2"/>
  <cols>
    <col min="1" max="1" width="51" bestFit="1" customWidth="1"/>
    <col min="2" max="5" width="12.28515625" bestFit="1" customWidth="1"/>
    <col min="6" max="6" width="14.28515625" bestFit="1" customWidth="1"/>
    <col min="7" max="7" width="13.140625" customWidth="1"/>
    <col min="8" max="9" width="12.28515625" bestFit="1" customWidth="1"/>
    <col min="10" max="10" width="13" customWidth="1"/>
    <col min="11" max="11" width="13.28515625" customWidth="1"/>
    <col min="12" max="12" width="13.7109375" customWidth="1"/>
    <col min="13" max="13" width="14.28515625" bestFit="1" customWidth="1"/>
    <col min="14" max="14" width="2.85546875" customWidth="1"/>
    <col min="15" max="15" width="15.28515625" customWidth="1"/>
  </cols>
  <sheetData>
    <row r="1" spans="1:15" ht="15.75" x14ac:dyDescent="0.25">
      <c r="A1" s="34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.75" x14ac:dyDescent="0.25">
      <c r="A2" s="34" t="s">
        <v>55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.75" x14ac:dyDescent="0.25">
      <c r="A3" s="34" t="s">
        <v>90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x14ac:dyDescent="0.2">
      <c r="B5" s="43"/>
    </row>
    <row r="6" spans="1:15" ht="15.75" x14ac:dyDescent="0.25">
      <c r="A6" s="81" t="s">
        <v>90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5" x14ac:dyDescent="0.2">
      <c r="A7" s="15"/>
      <c r="B7" s="82">
        <v>43466</v>
      </c>
      <c r="C7" s="82">
        <v>43497</v>
      </c>
      <c r="D7" s="82">
        <v>43525</v>
      </c>
      <c r="E7" s="82">
        <v>43556</v>
      </c>
      <c r="F7" s="82">
        <v>43586</v>
      </c>
      <c r="G7" s="82">
        <v>43617</v>
      </c>
      <c r="H7" s="82">
        <v>43647</v>
      </c>
      <c r="I7" s="82">
        <v>43678</v>
      </c>
      <c r="J7" s="82">
        <v>43709</v>
      </c>
      <c r="K7" s="82">
        <v>43739</v>
      </c>
      <c r="L7" s="82">
        <v>43770</v>
      </c>
      <c r="M7" s="82">
        <v>43800</v>
      </c>
      <c r="N7" s="15"/>
      <c r="O7" s="83" t="s">
        <v>91</v>
      </c>
    </row>
    <row r="8" spans="1:15" ht="15" x14ac:dyDescent="0.2">
      <c r="A8" s="32" t="s">
        <v>56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ht="15" x14ac:dyDescent="0.2">
      <c r="A9" s="33" t="s">
        <v>70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282241</v>
      </c>
      <c r="N9" s="39"/>
      <c r="O9" s="39">
        <f>SUM(B9:N9)</f>
        <v>282241</v>
      </c>
    </row>
    <row r="10" spans="1:15" ht="15" x14ac:dyDescent="0.2">
      <c r="A10" s="33" t="s">
        <v>71</v>
      </c>
      <c r="B10" s="45">
        <v>0</v>
      </c>
      <c r="C10" s="45">
        <v>0</v>
      </c>
      <c r="D10" s="45">
        <v>0</v>
      </c>
      <c r="E10" s="45">
        <v>0</v>
      </c>
      <c r="F10" s="45">
        <v>934632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39"/>
      <c r="O10" s="38">
        <f t="shared" ref="O10:O13" si="0">SUM(B10:N10)</f>
        <v>934632</v>
      </c>
    </row>
    <row r="11" spans="1:15" ht="15" x14ac:dyDescent="0.2">
      <c r="A11" s="33" t="s">
        <v>72</v>
      </c>
      <c r="B11" s="45">
        <v>0</v>
      </c>
      <c r="C11" s="45">
        <v>0</v>
      </c>
      <c r="D11" s="45">
        <v>0</v>
      </c>
      <c r="E11" s="45">
        <v>0</v>
      </c>
      <c r="F11" s="45">
        <v>977262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39"/>
      <c r="O11" s="38">
        <f t="shared" si="0"/>
        <v>977262</v>
      </c>
    </row>
    <row r="12" spans="1:15" ht="15" x14ac:dyDescent="0.2">
      <c r="A12" s="80" t="s">
        <v>74</v>
      </c>
      <c r="B12" s="45">
        <v>0</v>
      </c>
      <c r="C12" s="45">
        <v>0</v>
      </c>
      <c r="D12" s="45">
        <v>0</v>
      </c>
      <c r="E12" s="45">
        <v>0</v>
      </c>
      <c r="F12" s="45">
        <v>52746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39"/>
      <c r="O12" s="38">
        <f t="shared" si="0"/>
        <v>52746</v>
      </c>
    </row>
    <row r="13" spans="1:15" ht="15" x14ac:dyDescent="0.2">
      <c r="A13" s="33" t="s">
        <v>92</v>
      </c>
      <c r="B13" s="45">
        <v>0</v>
      </c>
      <c r="C13" s="45">
        <v>0</v>
      </c>
      <c r="D13" s="45">
        <v>0</v>
      </c>
      <c r="E13" s="45">
        <v>0</v>
      </c>
      <c r="F13" s="45">
        <v>100000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39"/>
      <c r="O13" s="38">
        <f t="shared" si="0"/>
        <v>100000</v>
      </c>
    </row>
    <row r="14" spans="1:15" ht="15" x14ac:dyDescent="0.2">
      <c r="A14" s="33" t="s">
        <v>93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370000</v>
      </c>
      <c r="N14" s="38"/>
      <c r="O14" s="38">
        <f>SUM(B14:M14)</f>
        <v>370000</v>
      </c>
    </row>
    <row r="15" spans="1:15" ht="15" x14ac:dyDescent="0.2">
      <c r="A15" s="33" t="s">
        <v>94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530000</v>
      </c>
      <c r="N15" s="38"/>
      <c r="O15" s="38">
        <f>SUM(B15:M15)</f>
        <v>530000</v>
      </c>
    </row>
    <row r="16" spans="1:15" ht="15" x14ac:dyDescent="0.2">
      <c r="A16" s="33"/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38"/>
      <c r="O16" s="38">
        <f>SUM(B16:M16)</f>
        <v>0</v>
      </c>
    </row>
    <row r="17" spans="1:15" ht="15" x14ac:dyDescent="0.2">
      <c r="A17" s="33"/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38"/>
      <c r="O17" s="38">
        <f>SUM(B17:M17)</f>
        <v>0</v>
      </c>
    </row>
    <row r="18" spans="1:15" ht="15" x14ac:dyDescent="0.2">
      <c r="A18" s="33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6.5" thickBot="1" x14ac:dyDescent="0.3">
      <c r="A19" s="40" t="s">
        <v>57</v>
      </c>
      <c r="B19" s="41">
        <f t="shared" ref="B19:M19" si="1">SUM(B9:B18)</f>
        <v>0</v>
      </c>
      <c r="C19" s="41">
        <f t="shared" si="1"/>
        <v>0</v>
      </c>
      <c r="D19" s="41">
        <f t="shared" si="1"/>
        <v>0</v>
      </c>
      <c r="E19" s="41">
        <f t="shared" si="1"/>
        <v>0</v>
      </c>
      <c r="F19" s="41">
        <f t="shared" si="1"/>
        <v>2064640</v>
      </c>
      <c r="G19" s="41">
        <f t="shared" si="1"/>
        <v>0</v>
      </c>
      <c r="H19" s="41">
        <f t="shared" si="1"/>
        <v>0</v>
      </c>
      <c r="I19" s="41">
        <f t="shared" si="1"/>
        <v>0</v>
      </c>
      <c r="J19" s="41">
        <f t="shared" si="1"/>
        <v>0</v>
      </c>
      <c r="K19" s="41">
        <f t="shared" si="1"/>
        <v>0</v>
      </c>
      <c r="L19" s="41">
        <f t="shared" si="1"/>
        <v>0</v>
      </c>
      <c r="M19" s="41">
        <f t="shared" si="1"/>
        <v>1182241</v>
      </c>
      <c r="N19" s="41"/>
      <c r="O19" s="41">
        <f>SUM(O9:O18)</f>
        <v>3246881</v>
      </c>
    </row>
    <row r="20" spans="1:15" ht="13.5" thickTop="1" x14ac:dyDescent="0.2"/>
  </sheetData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D13" zoomScaleNormal="100" workbookViewId="0">
      <selection activeCell="F25" sqref="F25"/>
    </sheetView>
  </sheetViews>
  <sheetFormatPr defaultColWidth="9.140625" defaultRowHeight="15" x14ac:dyDescent="0.25"/>
  <cols>
    <col min="1" max="1" width="53.28515625" style="47" customWidth="1"/>
    <col min="2" max="2" width="15.28515625" style="47" customWidth="1"/>
    <col min="3" max="3" width="13" style="47" bestFit="1" customWidth="1"/>
    <col min="4" max="4" width="12.28515625" style="47" bestFit="1" customWidth="1"/>
    <col min="5" max="5" width="13" style="47" bestFit="1" customWidth="1"/>
    <col min="6" max="6" width="12.28515625" style="47" bestFit="1" customWidth="1"/>
    <col min="7" max="10" width="14.28515625" style="47" bestFit="1" customWidth="1"/>
    <col min="11" max="11" width="12.28515625" style="47" bestFit="1" customWidth="1"/>
    <col min="12" max="12" width="14.28515625" style="47" bestFit="1" customWidth="1"/>
    <col min="13" max="13" width="13" style="47" bestFit="1" customWidth="1"/>
    <col min="14" max="14" width="14.28515625" style="47" bestFit="1" customWidth="1"/>
    <col min="15" max="15" width="2.85546875" style="47" customWidth="1"/>
    <col min="16" max="16" width="15.28515625" style="47" customWidth="1"/>
    <col min="17" max="16384" width="9.140625" style="47"/>
  </cols>
  <sheetData>
    <row r="1" spans="1:16" ht="15.75" x14ac:dyDescent="0.25">
      <c r="A1" s="46" t="s">
        <v>0</v>
      </c>
      <c r="B1" s="46"/>
    </row>
    <row r="2" spans="1:16" ht="15.75" x14ac:dyDescent="0.25">
      <c r="A2" s="46" t="s">
        <v>58</v>
      </c>
      <c r="B2" s="46"/>
    </row>
    <row r="3" spans="1:16" ht="15.75" x14ac:dyDescent="0.25">
      <c r="A3" s="46" t="s">
        <v>77</v>
      </c>
      <c r="B3" s="46"/>
    </row>
    <row r="8" spans="1:16" ht="15.75" x14ac:dyDescent="0.25">
      <c r="A8" s="48" t="s">
        <v>78</v>
      </c>
      <c r="B8" s="48"/>
      <c r="C8" s="78">
        <v>42736</v>
      </c>
      <c r="D8" s="78">
        <v>42767</v>
      </c>
      <c r="E8" s="78">
        <v>42795</v>
      </c>
      <c r="F8" s="78">
        <v>42826</v>
      </c>
      <c r="G8" s="78">
        <v>42856</v>
      </c>
      <c r="H8" s="78">
        <v>42887</v>
      </c>
      <c r="I8" s="78">
        <v>42917</v>
      </c>
      <c r="J8" s="78">
        <v>42948</v>
      </c>
      <c r="K8" s="78">
        <v>42979</v>
      </c>
      <c r="L8" s="78">
        <v>43009</v>
      </c>
      <c r="M8" s="78">
        <v>43040</v>
      </c>
      <c r="N8" s="78">
        <v>43070</v>
      </c>
      <c r="O8" s="78"/>
      <c r="P8" s="79" t="s">
        <v>75</v>
      </c>
    </row>
    <row r="10" spans="1:16" ht="15.75" x14ac:dyDescent="0.25">
      <c r="A10" s="49" t="s">
        <v>59</v>
      </c>
      <c r="B10" s="49"/>
    </row>
    <row r="11" spans="1:16" ht="15.75" x14ac:dyDescent="0.25">
      <c r="A11" s="50" t="s">
        <v>60</v>
      </c>
      <c r="B11" s="50">
        <v>241095</v>
      </c>
      <c r="C11" s="51"/>
      <c r="D11" s="51">
        <v>75000</v>
      </c>
      <c r="E11" s="51">
        <f>700+5781.3</f>
        <v>6481.3</v>
      </c>
      <c r="F11" s="51"/>
      <c r="G11" s="51">
        <v>150</v>
      </c>
      <c r="H11" s="52"/>
      <c r="I11" s="51"/>
      <c r="J11" s="51"/>
      <c r="K11" s="51"/>
      <c r="L11" s="51"/>
      <c r="M11" s="51"/>
      <c r="N11" s="51"/>
      <c r="O11" s="53"/>
      <c r="P11" s="53">
        <f t="shared" ref="P11:P15" si="0">SUM(C11:N11)</f>
        <v>81631.3</v>
      </c>
    </row>
    <row r="12" spans="1:16" ht="15.75" x14ac:dyDescent="0.25">
      <c r="A12" s="50" t="s">
        <v>69</v>
      </c>
      <c r="B12" s="50">
        <v>241097</v>
      </c>
      <c r="C12" s="51"/>
      <c r="D12" s="51"/>
      <c r="E12" s="51"/>
      <c r="F12" s="51"/>
      <c r="G12" s="51"/>
      <c r="H12" s="51">
        <f>1348220.88+2719.72</f>
        <v>1350940.5999999999</v>
      </c>
      <c r="I12" s="51">
        <v>-187349.1</v>
      </c>
      <c r="J12" s="51"/>
      <c r="K12" s="51"/>
      <c r="L12" s="51"/>
      <c r="M12" s="51">
        <v>2534.7800000000002</v>
      </c>
      <c r="N12" s="51">
        <v>22813.040000000001</v>
      </c>
      <c r="O12" s="53"/>
      <c r="P12" s="53">
        <f t="shared" si="0"/>
        <v>1188939.3199999998</v>
      </c>
    </row>
    <row r="13" spans="1:16" ht="15.75" x14ac:dyDescent="0.25">
      <c r="A13" s="50" t="s">
        <v>79</v>
      </c>
      <c r="B13" s="50">
        <v>241353</v>
      </c>
      <c r="C13" s="51"/>
      <c r="D13" s="51"/>
      <c r="E13" s="51"/>
      <c r="F13" s="51"/>
      <c r="G13" s="51"/>
      <c r="H13" s="51">
        <f>65919.43+595.35</f>
        <v>66514.78</v>
      </c>
      <c r="I13" s="51"/>
      <c r="J13" s="51"/>
      <c r="K13" s="51"/>
      <c r="L13" s="51"/>
      <c r="M13" s="51"/>
      <c r="N13" s="51"/>
      <c r="O13" s="53"/>
      <c r="P13" s="53">
        <f t="shared" si="0"/>
        <v>66514.78</v>
      </c>
    </row>
    <row r="14" spans="1:16" ht="15.75" x14ac:dyDescent="0.25">
      <c r="A14" s="50" t="s">
        <v>80</v>
      </c>
      <c r="B14" s="50">
        <v>241393</v>
      </c>
      <c r="C14" s="51"/>
      <c r="D14" s="51"/>
      <c r="E14" s="51"/>
      <c r="F14" s="51"/>
      <c r="G14" s="51"/>
      <c r="H14" s="51">
        <f>54420.39+29364.28</f>
        <v>83784.67</v>
      </c>
      <c r="I14" s="51">
        <f>189602.54+1558.2</f>
        <v>191160.74000000002</v>
      </c>
      <c r="J14" s="51"/>
      <c r="K14" s="51"/>
      <c r="L14" s="51"/>
      <c r="M14" s="51"/>
      <c r="N14" s="51">
        <v>1207.5</v>
      </c>
      <c r="O14" s="53"/>
      <c r="P14" s="53">
        <f t="shared" si="0"/>
        <v>276152.91000000003</v>
      </c>
    </row>
    <row r="15" spans="1:16" ht="15.75" x14ac:dyDescent="0.25">
      <c r="A15" s="50" t="s">
        <v>73</v>
      </c>
      <c r="B15" s="50">
        <v>253018</v>
      </c>
      <c r="C15" s="51"/>
      <c r="D15" s="51"/>
      <c r="E15" s="51"/>
      <c r="F15" s="51"/>
      <c r="G15" s="51"/>
      <c r="H15" s="51">
        <v>49267.24</v>
      </c>
      <c r="I15" s="51"/>
      <c r="J15" s="51"/>
      <c r="K15" s="51"/>
      <c r="L15" s="51"/>
      <c r="M15" s="51"/>
      <c r="N15" s="51"/>
      <c r="O15" s="53"/>
      <c r="P15" s="53">
        <f t="shared" si="0"/>
        <v>49267.24</v>
      </c>
    </row>
    <row r="16" spans="1:16" ht="15.75" x14ac:dyDescent="0.25">
      <c r="D16" s="51"/>
    </row>
    <row r="17" spans="1:16" s="56" customFormat="1" ht="15.75" x14ac:dyDescent="0.25">
      <c r="A17" s="54" t="s">
        <v>61</v>
      </c>
      <c r="B17" s="54"/>
      <c r="C17" s="55">
        <f t="shared" ref="C17:N17" si="1">SUM(C11:C16)</f>
        <v>0</v>
      </c>
      <c r="D17" s="55">
        <f t="shared" si="1"/>
        <v>75000</v>
      </c>
      <c r="E17" s="55">
        <f t="shared" si="1"/>
        <v>6481.3</v>
      </c>
      <c r="F17" s="55">
        <f t="shared" si="1"/>
        <v>0</v>
      </c>
      <c r="G17" s="55">
        <f t="shared" si="1"/>
        <v>150</v>
      </c>
      <c r="H17" s="55">
        <f t="shared" si="1"/>
        <v>1550507.2899999998</v>
      </c>
      <c r="I17" s="55">
        <f t="shared" si="1"/>
        <v>3811.640000000014</v>
      </c>
      <c r="J17" s="55">
        <f t="shared" si="1"/>
        <v>0</v>
      </c>
      <c r="K17" s="55">
        <f t="shared" si="1"/>
        <v>0</v>
      </c>
      <c r="L17" s="55">
        <f t="shared" si="1"/>
        <v>0</v>
      </c>
      <c r="M17" s="55">
        <f t="shared" si="1"/>
        <v>2534.7800000000002</v>
      </c>
      <c r="N17" s="55">
        <f t="shared" si="1"/>
        <v>24020.54</v>
      </c>
      <c r="O17" s="55"/>
      <c r="P17" s="55">
        <f>SUM(P11:P16)</f>
        <v>1662505.55</v>
      </c>
    </row>
    <row r="18" spans="1:16" s="56" customFormat="1" ht="15.75" x14ac:dyDescent="0.25">
      <c r="A18" s="54"/>
      <c r="B18" s="54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</row>
    <row r="19" spans="1:16" s="56" customFormat="1" ht="15.75" x14ac:dyDescent="0.25">
      <c r="A19" s="49" t="s">
        <v>68</v>
      </c>
      <c r="B19" s="49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6" s="56" customFormat="1" ht="15.75" x14ac:dyDescent="0.25">
      <c r="A20" s="58" t="s">
        <v>15</v>
      </c>
      <c r="B20" s="58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7"/>
      <c r="P20" s="52">
        <f>SUM(C20:N20)</f>
        <v>0</v>
      </c>
    </row>
    <row r="21" spans="1:16" s="56" customFormat="1" ht="15.75" x14ac:dyDescent="0.25">
      <c r="A21" s="58" t="s">
        <v>76</v>
      </c>
      <c r="B21" s="58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7"/>
      <c r="P21" s="52">
        <f t="shared" ref="P21:P25" si="2">SUM(C21:N21)</f>
        <v>0</v>
      </c>
    </row>
    <row r="22" spans="1:16" s="56" customFormat="1" ht="15.75" x14ac:dyDescent="0.25">
      <c r="A22" s="58" t="s">
        <v>62</v>
      </c>
      <c r="B22" s="58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7"/>
      <c r="P22" s="52">
        <f t="shared" si="2"/>
        <v>0</v>
      </c>
    </row>
    <row r="23" spans="1:16" s="56" customFormat="1" ht="15.75" x14ac:dyDescent="0.25">
      <c r="A23" s="58" t="s">
        <v>63</v>
      </c>
      <c r="B23" s="58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7"/>
      <c r="P23" s="52">
        <f t="shared" si="2"/>
        <v>0</v>
      </c>
    </row>
    <row r="24" spans="1:16" s="56" customFormat="1" ht="15.75" x14ac:dyDescent="0.25">
      <c r="A24" s="58" t="s">
        <v>16</v>
      </c>
      <c r="B24" s="58"/>
      <c r="C24" s="51"/>
      <c r="D24" s="51"/>
      <c r="E24" s="51"/>
      <c r="F24" s="51">
        <f>2+110</f>
        <v>112</v>
      </c>
      <c r="G24" s="51"/>
      <c r="H24" s="51"/>
      <c r="I24" s="51"/>
      <c r="J24" s="51"/>
      <c r="K24" s="51"/>
      <c r="L24" s="51"/>
      <c r="M24" s="51"/>
      <c r="N24" s="51"/>
      <c r="O24" s="57"/>
      <c r="P24" s="52">
        <f t="shared" si="2"/>
        <v>112</v>
      </c>
    </row>
    <row r="25" spans="1:16" ht="15.75" x14ac:dyDescent="0.25">
      <c r="A25" s="58" t="s">
        <v>64</v>
      </c>
      <c r="B25" s="58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P25" s="52">
        <f t="shared" si="2"/>
        <v>0</v>
      </c>
    </row>
    <row r="26" spans="1:16" ht="15.75" x14ac:dyDescent="0.25">
      <c r="A26" s="58"/>
      <c r="B26" s="58"/>
    </row>
    <row r="27" spans="1:16" ht="15.75" x14ac:dyDescent="0.25">
      <c r="A27" s="54" t="s">
        <v>67</v>
      </c>
      <c r="B27" s="54"/>
      <c r="C27" s="59">
        <f>SUM(C20:C25)</f>
        <v>0</v>
      </c>
      <c r="D27" s="59">
        <f t="shared" ref="D27:N27" si="3">SUM(D20:D25)</f>
        <v>0</v>
      </c>
      <c r="E27" s="59">
        <f t="shared" si="3"/>
        <v>0</v>
      </c>
      <c r="F27" s="59">
        <f t="shared" si="3"/>
        <v>112</v>
      </c>
      <c r="G27" s="59">
        <f t="shared" si="3"/>
        <v>0</v>
      </c>
      <c r="H27" s="59">
        <f t="shared" si="3"/>
        <v>0</v>
      </c>
      <c r="I27" s="59">
        <f t="shared" si="3"/>
        <v>0</v>
      </c>
      <c r="J27" s="59">
        <f t="shared" si="3"/>
        <v>0</v>
      </c>
      <c r="K27" s="59">
        <f t="shared" si="3"/>
        <v>0</v>
      </c>
      <c r="L27" s="59">
        <f t="shared" si="3"/>
        <v>0</v>
      </c>
      <c r="M27" s="59">
        <f t="shared" si="3"/>
        <v>0</v>
      </c>
      <c r="N27" s="59">
        <f t="shared" si="3"/>
        <v>0</v>
      </c>
      <c r="O27" s="60"/>
      <c r="P27" s="59">
        <f>SUM(C27:N27)</f>
        <v>112</v>
      </c>
    </row>
    <row r="28" spans="1:16" ht="15.75" x14ac:dyDescent="0.25">
      <c r="A28" s="58"/>
      <c r="B28" s="58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1:16" ht="16.5" thickBot="1" x14ac:dyDescent="0.3">
      <c r="A29" s="62" t="s">
        <v>65</v>
      </c>
      <c r="B29" s="62"/>
      <c r="C29" s="63">
        <f>+C17+C27</f>
        <v>0</v>
      </c>
      <c r="D29" s="63">
        <f t="shared" ref="D29:N29" si="4">+D17+D27</f>
        <v>75000</v>
      </c>
      <c r="E29" s="63">
        <f t="shared" si="4"/>
        <v>6481.3</v>
      </c>
      <c r="F29" s="63">
        <f t="shared" si="4"/>
        <v>112</v>
      </c>
      <c r="G29" s="63">
        <f t="shared" si="4"/>
        <v>150</v>
      </c>
      <c r="H29" s="63">
        <f t="shared" si="4"/>
        <v>1550507.2899999998</v>
      </c>
      <c r="I29" s="63">
        <f t="shared" si="4"/>
        <v>3811.640000000014</v>
      </c>
      <c r="J29" s="63">
        <f t="shared" si="4"/>
        <v>0</v>
      </c>
      <c r="K29" s="63">
        <f t="shared" si="4"/>
        <v>0</v>
      </c>
      <c r="L29" s="63">
        <f t="shared" si="4"/>
        <v>0</v>
      </c>
      <c r="M29" s="63">
        <f t="shared" si="4"/>
        <v>2534.7800000000002</v>
      </c>
      <c r="N29" s="63">
        <f t="shared" si="4"/>
        <v>24020.54</v>
      </c>
      <c r="O29" s="64"/>
      <c r="P29" s="63">
        <f>SUM(C29:O29)</f>
        <v>1662617.55</v>
      </c>
    </row>
    <row r="30" spans="1:16" ht="15.75" thickTop="1" x14ac:dyDescent="0.25"/>
    <row r="31" spans="1:16" ht="15.75" x14ac:dyDescent="0.25">
      <c r="A31" s="48" t="s">
        <v>81</v>
      </c>
      <c r="B31" s="48"/>
      <c r="C31" s="78">
        <f t="shared" ref="C31:N31" si="5">C8</f>
        <v>42736</v>
      </c>
      <c r="D31" s="78">
        <f t="shared" si="5"/>
        <v>42767</v>
      </c>
      <c r="E31" s="78">
        <f t="shared" si="5"/>
        <v>42795</v>
      </c>
      <c r="F31" s="78">
        <f t="shared" si="5"/>
        <v>42826</v>
      </c>
      <c r="G31" s="78">
        <f t="shared" si="5"/>
        <v>42856</v>
      </c>
      <c r="H31" s="78">
        <f t="shared" si="5"/>
        <v>42887</v>
      </c>
      <c r="I31" s="78">
        <f t="shared" si="5"/>
        <v>42917</v>
      </c>
      <c r="J31" s="78">
        <f t="shared" si="5"/>
        <v>42948</v>
      </c>
      <c r="K31" s="78">
        <f t="shared" si="5"/>
        <v>42979</v>
      </c>
      <c r="L31" s="78">
        <f t="shared" si="5"/>
        <v>43009</v>
      </c>
      <c r="M31" s="78">
        <f t="shared" si="5"/>
        <v>43040</v>
      </c>
      <c r="N31" s="78">
        <f t="shared" si="5"/>
        <v>43070</v>
      </c>
      <c r="O31" s="78"/>
      <c r="P31" s="79" t="str">
        <f>P8</f>
        <v>Total 2017</v>
      </c>
    </row>
    <row r="33" spans="1:16" ht="15.75" x14ac:dyDescent="0.25">
      <c r="A33" s="49" t="s">
        <v>56</v>
      </c>
      <c r="B33" s="49"/>
    </row>
    <row r="34" spans="1:16" ht="15.75" x14ac:dyDescent="0.25">
      <c r="A34" s="50" t="s">
        <v>82</v>
      </c>
      <c r="B34" s="50"/>
      <c r="C34" s="51"/>
      <c r="D34" s="51"/>
      <c r="E34" s="51"/>
      <c r="F34" s="51"/>
      <c r="G34" s="51"/>
      <c r="H34" s="52">
        <v>-2862</v>
      </c>
      <c r="I34" s="51"/>
      <c r="J34" s="51"/>
      <c r="K34" s="51"/>
      <c r="L34" s="51"/>
      <c r="M34" s="51"/>
      <c r="N34" s="51"/>
      <c r="O34" s="53"/>
      <c r="P34" s="53">
        <f t="shared" ref="P34:P36" si="6">SUM(C34:N34)</f>
        <v>-2862</v>
      </c>
    </row>
    <row r="35" spans="1:16" ht="15.75" x14ac:dyDescent="0.25">
      <c r="A35" s="50" t="s">
        <v>15</v>
      </c>
      <c r="B35" s="50"/>
      <c r="C35" s="51"/>
      <c r="D35" s="51"/>
      <c r="E35" s="51">
        <v>-5315.5</v>
      </c>
      <c r="F35" s="51"/>
      <c r="G35" s="51"/>
      <c r="H35" s="52"/>
      <c r="I35" s="51"/>
      <c r="J35" s="51"/>
      <c r="K35" s="51"/>
      <c r="L35" s="51"/>
      <c r="M35" s="51"/>
      <c r="N35" s="51"/>
      <c r="O35" s="53"/>
      <c r="P35" s="53">
        <f t="shared" si="6"/>
        <v>-5315.5</v>
      </c>
    </row>
    <row r="36" spans="1:16" ht="15.75" x14ac:dyDescent="0.25">
      <c r="A36" s="50" t="s">
        <v>16</v>
      </c>
      <c r="B36" s="50"/>
      <c r="C36" s="51"/>
      <c r="D36" s="51"/>
      <c r="E36" s="51"/>
      <c r="F36" s="51"/>
      <c r="G36" s="51"/>
      <c r="H36" s="52"/>
      <c r="I36" s="51"/>
      <c r="J36" s="51"/>
      <c r="K36" s="51"/>
      <c r="L36" s="51"/>
      <c r="M36" s="51"/>
      <c r="N36" s="51"/>
      <c r="O36" s="53"/>
      <c r="P36" s="53">
        <f t="shared" si="6"/>
        <v>0</v>
      </c>
    </row>
    <row r="38" spans="1:16" ht="16.5" thickBot="1" x14ac:dyDescent="0.3">
      <c r="A38" s="54" t="s">
        <v>66</v>
      </c>
      <c r="B38" s="54"/>
      <c r="C38" s="65">
        <f t="shared" ref="C38:N38" si="7">SUM(C34:C37)</f>
        <v>0</v>
      </c>
      <c r="D38" s="65">
        <f t="shared" si="7"/>
        <v>0</v>
      </c>
      <c r="E38" s="65">
        <f t="shared" si="7"/>
        <v>-5315.5</v>
      </c>
      <c r="F38" s="65">
        <f t="shared" si="7"/>
        <v>0</v>
      </c>
      <c r="G38" s="65">
        <f t="shared" si="7"/>
        <v>0</v>
      </c>
      <c r="H38" s="65">
        <f t="shared" si="7"/>
        <v>-2862</v>
      </c>
      <c r="I38" s="65">
        <f t="shared" si="7"/>
        <v>0</v>
      </c>
      <c r="J38" s="65">
        <f t="shared" si="7"/>
        <v>0</v>
      </c>
      <c r="K38" s="65">
        <f t="shared" si="7"/>
        <v>0</v>
      </c>
      <c r="L38" s="65">
        <f t="shared" si="7"/>
        <v>0</v>
      </c>
      <c r="M38" s="65">
        <f t="shared" si="7"/>
        <v>0</v>
      </c>
      <c r="N38" s="65">
        <f t="shared" si="7"/>
        <v>0</v>
      </c>
      <c r="O38" s="65"/>
      <c r="P38" s="65">
        <f>SUM(P34:P37)</f>
        <v>-8177.5</v>
      </c>
    </row>
    <row r="39" spans="1:16" ht="15.75" thickTop="1" x14ac:dyDescent="0.25"/>
  </sheetData>
  <pageMargins left="0.7" right="0.7" top="0.75" bottom="0.75" header="0.3" footer="0.3"/>
  <pageSetup paperSize="17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Workpaper page 1</vt:lpstr>
      <vt:lpstr>Workpaper page 2</vt:lpstr>
      <vt:lpstr>Workpaper page 3</vt:lpstr>
      <vt:lpstr>Workpaper page 4</vt:lpstr>
      <vt:lpstr>'Workpaper page 1'!Print_Area</vt:lpstr>
      <vt:lpstr>'Workpaper page 2'!Print_Area</vt:lpstr>
      <vt:lpstr>'Workpaper page 3'!Print_Area</vt:lpstr>
      <vt:lpstr>'Workpaper page 4'!Print_Area</vt:lpstr>
    </vt:vector>
  </TitlesOfParts>
  <Company>GDS Associates,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Smith</dc:creator>
  <cp:lastModifiedBy>Grant, Kayla J.</cp:lastModifiedBy>
  <cp:lastPrinted>2019-05-06T16:40:17Z</cp:lastPrinted>
  <dcterms:created xsi:type="dcterms:W3CDTF">2007-06-27T15:47:51Z</dcterms:created>
  <dcterms:modified xsi:type="dcterms:W3CDTF">2019-05-15T16:44:36Z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